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赁" sheetId="65" r:id="rId38"/>
    <sheet name="成交案例" sheetId="67" r:id="rId39"/>
    <sheet name="成交案例(未使用）" sheetId="66"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'比较法-住宅'!$A$4:$J$54</definedName>
    <definedName name="_xlnm.Print_Area" localSheetId="29">基准地价修正!$A$1:$J$39</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7" i="1"/>
  <c r="D27" i="9"/>
  <c r="I24" i="1" l="1"/>
  <c r="L23"/>
  <c r="K24" s="1"/>
  <c r="I17"/>
  <c r="N22" l="1"/>
  <c r="E20" s="1"/>
  <c r="I5" i="59" l="1"/>
  <c r="I4" s="1"/>
  <c r="N4" s="1"/>
  <c r="L5"/>
  <c r="L4" s="1"/>
  <c r="Q4" s="1"/>
  <c r="K5"/>
  <c r="K4" s="1"/>
  <c r="P4" s="1"/>
  <c r="J5"/>
  <c r="J4" s="1"/>
  <c r="O4" s="1"/>
  <c r="N5" l="1"/>
  <c r="P5"/>
  <c r="O5"/>
  <c r="Q5"/>
  <c r="A2" i="50"/>
  <c r="K60" i="15" l="1"/>
  <c r="P72" s="1"/>
  <c r="P59" l="1"/>
  <c r="A126" i="57"/>
  <c r="A123" i="9"/>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O7" i="59" l="1"/>
  <c r="P7"/>
  <c r="Q7"/>
  <c r="N7"/>
  <c r="AD3" l="1"/>
  <c r="AE3"/>
  <c r="AF3" s="1"/>
  <c r="AG3"/>
  <c r="AH3"/>
  <c r="AD5"/>
  <c r="AE5"/>
  <c r="AF5" s="1"/>
  <c r="AG5"/>
  <c r="AH5"/>
  <c r="AD6"/>
  <c r="AE6"/>
  <c r="AF6" s="1"/>
  <c r="AG6"/>
  <c r="AH6"/>
  <c r="AD7"/>
  <c r="AE7"/>
  <c r="AF7" s="1"/>
  <c r="AG7"/>
  <c r="AH7"/>
  <c r="AD8"/>
  <c r="AE8"/>
  <c r="AF8" s="1"/>
  <c r="AG8"/>
  <c r="AH8"/>
  <c r="AD9"/>
  <c r="AE9"/>
  <c r="AF9"/>
  <c r="AG9"/>
  <c r="AH9"/>
  <c r="AD10"/>
  <c r="AE10"/>
  <c r="AF10" s="1"/>
  <c r="AG10"/>
  <c r="AH10"/>
  <c r="AD11"/>
  <c r="AE11"/>
  <c r="AF11" s="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H19"/>
  <c r="AG19"/>
  <c r="AE19"/>
  <c r="AD19"/>
  <c r="AF19"/>
  <c r="AD20"/>
  <c r="AE20"/>
  <c r="AF20" s="1"/>
  <c r="AG20"/>
  <c r="AH20"/>
  <c r="S5" i="31" l="1"/>
  <c r="M5"/>
  <c r="N5"/>
  <c r="O5"/>
  <c r="P5"/>
  <c r="Q5"/>
  <c r="R5"/>
  <c r="C1" i="61" l="1"/>
  <c r="L1" s="1"/>
  <c r="F7"/>
  <c r="J1" l="1"/>
  <c r="B68" i="60"/>
  <c r="F6" i="61"/>
  <c r="F4"/>
  <c r="D5"/>
  <c r="F5"/>
  <c r="F3"/>
  <c r="I1" l="1"/>
  <c r="B30" i="1" s="1"/>
  <c r="D7" i="61"/>
  <c r="D6"/>
  <c r="D4"/>
  <c r="D3"/>
  <c r="E20" i="43" l="1"/>
  <c r="D28" i="57"/>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Q60"/>
  <c r="P60"/>
  <c r="O60"/>
  <c r="N60"/>
  <c r="F60"/>
  <c r="V60" s="1"/>
  <c r="E60"/>
  <c r="U60" s="1"/>
  <c r="C60"/>
  <c r="T60" s="1"/>
  <c r="B60"/>
  <c r="S60" s="1"/>
  <c r="Q59"/>
  <c r="P59"/>
  <c r="O59"/>
  <c r="N59"/>
  <c r="F59"/>
  <c r="F58" s="1"/>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Q52"/>
  <c r="P52"/>
  <c r="O52"/>
  <c r="N52"/>
  <c r="F52"/>
  <c r="V52" s="1"/>
  <c r="E52"/>
  <c r="C52"/>
  <c r="B52"/>
  <c r="S52" s="1"/>
  <c r="Q51"/>
  <c r="P51"/>
  <c r="O51"/>
  <c r="N51"/>
  <c r="F51"/>
  <c r="F50" s="1"/>
  <c r="B51"/>
  <c r="B50" s="1"/>
  <c r="Q50"/>
  <c r="P50"/>
  <c r="O50"/>
  <c r="N50"/>
  <c r="Q49"/>
  <c r="P49"/>
  <c r="O49"/>
  <c r="N49"/>
  <c r="D49"/>
  <c r="F48"/>
  <c r="V48" s="1"/>
  <c r="E48"/>
  <c r="E47" s="1"/>
  <c r="P47" s="1"/>
  <c r="C48"/>
  <c r="B48"/>
  <c r="S48" s="1"/>
  <c r="F47"/>
  <c r="F46" s="1"/>
  <c r="Q46" s="1"/>
  <c r="B47"/>
  <c r="D45"/>
  <c r="Q44"/>
  <c r="P44"/>
  <c r="O44"/>
  <c r="N44"/>
  <c r="Q43"/>
  <c r="P43"/>
  <c r="O43"/>
  <c r="N43"/>
  <c r="Q42"/>
  <c r="P42"/>
  <c r="O42"/>
  <c r="N42"/>
  <c r="E42"/>
  <c r="Q41"/>
  <c r="F42" s="1"/>
  <c r="F43" s="1"/>
  <c r="F44" s="1"/>
  <c r="V44" s="1"/>
  <c r="P41"/>
  <c r="O41"/>
  <c r="C42" s="1"/>
  <c r="N41"/>
  <c r="B42" s="1"/>
  <c r="B43" s="1"/>
  <c r="D41"/>
  <c r="Q40"/>
  <c r="P40"/>
  <c r="O40"/>
  <c r="N40"/>
  <c r="Q39"/>
  <c r="P39"/>
  <c r="O39"/>
  <c r="N39"/>
  <c r="Q38"/>
  <c r="P38"/>
  <c r="O38"/>
  <c r="N38"/>
  <c r="E38"/>
  <c r="Q37"/>
  <c r="F38" s="1"/>
  <c r="F39" s="1"/>
  <c r="F40" s="1"/>
  <c r="V40" s="1"/>
  <c r="P37"/>
  <c r="O37"/>
  <c r="C38" s="1"/>
  <c r="N37"/>
  <c r="B38" s="1"/>
  <c r="B39" s="1"/>
  <c r="D37"/>
  <c r="Q36"/>
  <c r="P36"/>
  <c r="O36"/>
  <c r="N36"/>
  <c r="Q35"/>
  <c r="P35"/>
  <c r="O35"/>
  <c r="N35"/>
  <c r="Q34"/>
  <c r="P34"/>
  <c r="O34"/>
  <c r="N34"/>
  <c r="E34"/>
  <c r="Q33"/>
  <c r="F34" s="1"/>
  <c r="F35" s="1"/>
  <c r="F36" s="1"/>
  <c r="V36" s="1"/>
  <c r="P33"/>
  <c r="O33"/>
  <c r="C34" s="1"/>
  <c r="N33"/>
  <c r="B34" s="1"/>
  <c r="B35" s="1"/>
  <c r="B36" s="1"/>
  <c r="S36" s="1"/>
  <c r="D33"/>
  <c r="Q32"/>
  <c r="P32"/>
  <c r="O32"/>
  <c r="N32"/>
  <c r="Q31"/>
  <c r="P31"/>
  <c r="O31"/>
  <c r="N31"/>
  <c r="Q30"/>
  <c r="P30"/>
  <c r="O30"/>
  <c r="N30"/>
  <c r="Q29"/>
  <c r="F30" s="1"/>
  <c r="F31" s="1"/>
  <c r="F32" s="1"/>
  <c r="V32" s="1"/>
  <c r="P29"/>
  <c r="E30" s="1"/>
  <c r="E31" s="1"/>
  <c r="E32" s="1"/>
  <c r="U32" s="1"/>
  <c r="O29"/>
  <c r="C30" s="1"/>
  <c r="N29"/>
  <c r="B30" s="1"/>
  <c r="B31" s="1"/>
  <c r="B32" s="1"/>
  <c r="S32" s="1"/>
  <c r="D29"/>
  <c r="T28"/>
  <c r="Q28"/>
  <c r="P28"/>
  <c r="O28"/>
  <c r="N28"/>
  <c r="D28"/>
  <c r="Q27"/>
  <c r="P27"/>
  <c r="O27"/>
  <c r="N27"/>
  <c r="Q26"/>
  <c r="P26"/>
  <c r="O26"/>
  <c r="N26"/>
  <c r="Q25"/>
  <c r="F26" s="1"/>
  <c r="F27" s="1"/>
  <c r="F28" s="1"/>
  <c r="V28" s="1"/>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Q18"/>
  <c r="AB18" s="1"/>
  <c r="P18"/>
  <c r="O18"/>
  <c r="Y18" s="1"/>
  <c r="Z18" s="1"/>
  <c r="N18"/>
  <c r="X18" s="1"/>
  <c r="F18"/>
  <c r="F19" s="1"/>
  <c r="F20" s="1"/>
  <c r="V20" s="1"/>
  <c r="Q17"/>
  <c r="AB17" s="1"/>
  <c r="P17"/>
  <c r="O17"/>
  <c r="N17"/>
  <c r="D17"/>
  <c r="Q16"/>
  <c r="AB16" s="1"/>
  <c r="P16"/>
  <c r="O16"/>
  <c r="Y16" s="1"/>
  <c r="Z16" s="1"/>
  <c r="N16"/>
  <c r="X16" s="1"/>
  <c r="Q15"/>
  <c r="AB15" s="1"/>
  <c r="P15"/>
  <c r="AA15" s="1"/>
  <c r="O15"/>
  <c r="Y15" s="1"/>
  <c r="Z15" s="1"/>
  <c r="N15"/>
  <c r="X15" s="1"/>
  <c r="Q14"/>
  <c r="AB14" s="1"/>
  <c r="P14"/>
  <c r="AA14" s="1"/>
  <c r="O14"/>
  <c r="Y14" s="1"/>
  <c r="Z14" s="1"/>
  <c r="N14"/>
  <c r="X14" s="1"/>
  <c r="F14"/>
  <c r="F15" s="1"/>
  <c r="F16" s="1"/>
  <c r="V16" s="1"/>
  <c r="Q13"/>
  <c r="AB13" s="1"/>
  <c r="P13"/>
  <c r="O13"/>
  <c r="N13"/>
  <c r="D13"/>
  <c r="Q12"/>
  <c r="AB12" s="1"/>
  <c r="P12"/>
  <c r="O12"/>
  <c r="Y12" s="1"/>
  <c r="Z12" s="1"/>
  <c r="N12"/>
  <c r="X12" s="1"/>
  <c r="Q11"/>
  <c r="AB11" s="1"/>
  <c r="P11"/>
  <c r="AA11" s="1"/>
  <c r="O11"/>
  <c r="Y11" s="1"/>
  <c r="Z11" s="1"/>
  <c r="N11"/>
  <c r="X11" s="1"/>
  <c r="Q10"/>
  <c r="AB10" s="1"/>
  <c r="P10"/>
  <c r="AA10" s="1"/>
  <c r="O10"/>
  <c r="Y10" s="1"/>
  <c r="Z10" s="1"/>
  <c r="N10"/>
  <c r="X10" s="1"/>
  <c r="F10"/>
  <c r="F11" s="1"/>
  <c r="F12" s="1"/>
  <c r="V12" s="1"/>
  <c r="Q9"/>
  <c r="AB9" s="1"/>
  <c r="P9"/>
  <c r="O9"/>
  <c r="N9"/>
  <c r="D9"/>
  <c r="O8"/>
  <c r="N8"/>
  <c r="B14" l="1"/>
  <c r="B15" s="1"/>
  <c r="B16" s="1"/>
  <c r="S16" s="1"/>
  <c r="X13"/>
  <c r="E14"/>
  <c r="E15" s="1"/>
  <c r="E16" s="1"/>
  <c r="U16" s="1"/>
  <c r="AA13"/>
  <c r="B18"/>
  <c r="B19" s="1"/>
  <c r="B20" s="1"/>
  <c r="S20" s="1"/>
  <c r="X17"/>
  <c r="E18"/>
  <c r="E19" s="1"/>
  <c r="E20" s="1"/>
  <c r="AA17"/>
  <c r="B40"/>
  <c r="S40" s="1"/>
  <c r="B44"/>
  <c r="S44" s="1"/>
  <c r="E46"/>
  <c r="P45" s="1"/>
  <c r="P48"/>
  <c r="U48"/>
  <c r="B10"/>
  <c r="B11" s="1"/>
  <c r="B12" s="1"/>
  <c r="S12" s="1"/>
  <c r="X9"/>
  <c r="E10"/>
  <c r="E11" s="1"/>
  <c r="E12" s="1"/>
  <c r="U12" s="1"/>
  <c r="AA9"/>
  <c r="C10"/>
  <c r="Y9"/>
  <c r="Z9" s="1"/>
  <c r="AA12"/>
  <c r="C14"/>
  <c r="Y13"/>
  <c r="Z13" s="1"/>
  <c r="AA16"/>
  <c r="C18"/>
  <c r="Y17"/>
  <c r="Z17" s="1"/>
  <c r="AA18"/>
  <c r="N48"/>
  <c r="C8"/>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U20" l="1"/>
  <c r="M19" i="43"/>
  <c r="B7" i="59"/>
  <c r="B6" s="1"/>
  <c r="B5" s="1"/>
  <c r="B4"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E7"/>
  <c r="E6" s="1"/>
  <c r="E5" s="1"/>
  <c r="E4" s="1"/>
  <c r="U8"/>
  <c r="F7"/>
  <c r="F6" s="1"/>
  <c r="F5" s="1"/>
  <c r="F4" s="1"/>
  <c r="V8"/>
  <c r="O46"/>
  <c r="D46"/>
  <c r="O45"/>
  <c r="T32"/>
  <c r="D32"/>
  <c r="T12"/>
  <c r="D12"/>
  <c r="T16"/>
  <c r="D16"/>
  <c r="T20"/>
  <c r="D20"/>
  <c r="T24"/>
  <c r="D24"/>
  <c r="T36"/>
  <c r="D36"/>
  <c r="T40"/>
  <c r="D40"/>
  <c r="T44"/>
  <c r="D44"/>
  <c r="D6" l="1"/>
  <c r="C5"/>
  <c r="D5" l="1"/>
  <c r="C4"/>
  <c r="D4" s="1"/>
  <c r="Q25" i="40"/>
  <c r="Z25" s="1"/>
  <c r="D94"/>
  <c r="E94" s="1"/>
  <c r="F94" s="1"/>
  <c r="H25"/>
  <c r="U25" s="1"/>
  <c r="F25"/>
  <c r="AA25" s="1"/>
  <c r="Q27" i="39"/>
  <c r="Z27" s="1"/>
  <c r="D101"/>
  <c r="E101" s="1"/>
  <c r="F101" s="1"/>
  <c r="Q18" i="36"/>
  <c r="Z18" s="1"/>
  <c r="F18"/>
  <c r="AA18" s="1"/>
  <c r="C18"/>
  <c r="E66"/>
  <c r="F66" s="1"/>
  <c r="G66" s="1"/>
  <c r="D66"/>
  <c r="Z18" i="35"/>
  <c r="Q18"/>
  <c r="D68"/>
  <c r="E68" s="1"/>
  <c r="F68" s="1"/>
  <c r="G68" s="1"/>
  <c r="J18"/>
  <c r="AC18" s="1"/>
  <c r="H18"/>
  <c r="AB18" s="1"/>
  <c r="F18"/>
  <c r="AA18" s="1"/>
  <c r="C18"/>
  <c r="Q21" i="37"/>
  <c r="Z21" s="1"/>
  <c r="D77"/>
  <c r="E77" s="1"/>
  <c r="F77" s="1"/>
  <c r="H21"/>
  <c r="AB21" s="1"/>
  <c r="F21"/>
  <c r="AA21" s="1"/>
  <c r="C21"/>
  <c r="Q21" i="34"/>
  <c r="Z21" s="1"/>
  <c r="D84"/>
  <c r="E84" s="1"/>
  <c r="F21"/>
  <c r="AA21" s="1"/>
  <c r="C21"/>
  <c r="Z21" i="33"/>
  <c r="Q21"/>
  <c r="D83"/>
  <c r="E83" s="1"/>
  <c r="F83" s="1"/>
  <c r="H21"/>
  <c r="AB21" s="1"/>
  <c r="F21"/>
  <c r="AA21" s="1"/>
  <c r="C21"/>
  <c r="Z21" i="21"/>
  <c r="Q21"/>
  <c r="D83"/>
  <c r="E83" s="1"/>
  <c r="F21"/>
  <c r="AA21" s="1"/>
  <c r="C21"/>
  <c r="G20" i="20"/>
  <c r="B86" i="43" s="1"/>
  <c r="C22" i="20"/>
  <c r="C25" i="40" l="1"/>
  <c r="B66" i="43"/>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s="1"/>
  <c r="K77"/>
  <c r="J77" s="1"/>
  <c r="D77" s="1"/>
  <c r="M76"/>
  <c r="N76" s="1"/>
  <c r="K76"/>
  <c r="J76" s="1"/>
  <c r="D76" s="1"/>
  <c r="M75"/>
  <c r="N75"/>
  <c r="K75"/>
  <c r="J75"/>
  <c r="D75" s="1"/>
  <c r="M74"/>
  <c r="N74" s="1"/>
  <c r="K74"/>
  <c r="J74" s="1"/>
  <c r="D74" s="1"/>
  <c r="M73"/>
  <c r="N73" s="1"/>
  <c r="K73"/>
  <c r="J73" s="1"/>
  <c r="M72"/>
  <c r="N72" s="1"/>
  <c r="K72"/>
  <c r="J72" s="1"/>
  <c r="D72" s="1"/>
  <c r="M71"/>
  <c r="N71" s="1"/>
  <c r="K71"/>
  <c r="J71" s="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D114"/>
  <c r="D113"/>
  <c r="D112"/>
  <c r="I109"/>
  <c r="I108"/>
  <c r="I107"/>
  <c r="I106" s="1"/>
  <c r="D126" s="1"/>
  <c r="D101"/>
  <c r="C101"/>
  <c r="C92"/>
  <c r="E91"/>
  <c r="D90"/>
  <c r="C90" s="1"/>
  <c r="C88" s="1"/>
  <c r="H78"/>
  <c r="D78"/>
  <c r="C78" s="1"/>
  <c r="C75" s="1"/>
  <c r="F60"/>
  <c r="O56" s="1"/>
  <c r="E60"/>
  <c r="N56" s="1"/>
  <c r="D60"/>
  <c r="M56" s="1"/>
  <c r="F57"/>
  <c r="O55" s="1"/>
  <c r="K56"/>
  <c r="I56"/>
  <c r="F56" s="1"/>
  <c r="O54" s="1"/>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H12" i="48"/>
  <c r="H13"/>
  <c r="H14"/>
  <c r="H23"/>
  <c r="H24"/>
  <c r="D24"/>
  <c r="D12"/>
  <c r="D21"/>
  <c r="B21" i="49"/>
  <c r="B5" i="60" s="1"/>
  <c r="B12" i="49"/>
  <c r="B3" i="60" s="1"/>
  <c r="B2" i="48"/>
  <c r="B23" s="1"/>
  <c r="D23" s="1"/>
  <c r="I2" i="43"/>
  <c r="H6" i="44" s="1"/>
  <c r="G2" i="43"/>
  <c r="F33"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P17"/>
  <c r="O17"/>
  <c r="G20" s="1"/>
  <c r="N17"/>
  <c r="M17"/>
  <c r="C18"/>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F30" s="1"/>
  <c r="C28"/>
  <c r="C23" i="39"/>
  <c r="C19" i="40"/>
  <c r="C24" i="9"/>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s="1"/>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6"/>
  <c r="S254"/>
  <c r="S252"/>
  <c r="S250"/>
  <c r="S248"/>
  <c r="S246"/>
  <c r="S244"/>
  <c r="S242"/>
  <c r="S240"/>
  <c r="S238"/>
  <c r="S236"/>
  <c r="S234"/>
  <c r="S232"/>
  <c r="S230"/>
  <c r="S228"/>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1"/>
  <c r="S475"/>
  <c r="S444"/>
  <c r="S440"/>
  <c r="S436"/>
  <c r="S124"/>
  <c r="S122"/>
  <c r="S120"/>
  <c r="S118"/>
  <c r="S116"/>
  <c r="S468"/>
  <c r="S464"/>
  <c r="S460"/>
  <c r="S456"/>
  <c r="S51"/>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s="1"/>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s="1"/>
  <c r="AC33" s="1"/>
  <c r="B103"/>
  <c r="J32" s="1"/>
  <c r="AC32" s="1"/>
  <c r="B101"/>
  <c r="J31" s="1"/>
  <c r="AC31" s="1"/>
  <c r="D100"/>
  <c r="E100" s="1"/>
  <c r="F100" s="1"/>
  <c r="G100" s="1"/>
  <c r="H100" s="1"/>
  <c r="I100" s="1"/>
  <c r="J100" s="1"/>
  <c r="K100" s="1"/>
  <c r="L100" s="1"/>
  <c r="M100" s="1"/>
  <c r="D98"/>
  <c r="E98" s="1"/>
  <c r="D96"/>
  <c r="E96" s="1"/>
  <c r="B95"/>
  <c r="D92"/>
  <c r="E92" s="1"/>
  <c r="F92" s="1"/>
  <c r="G92" s="1"/>
  <c r="D90"/>
  <c r="E90" s="1"/>
  <c r="D88"/>
  <c r="E88" s="1"/>
  <c r="F88" s="1"/>
  <c r="G88" s="1"/>
  <c r="D86"/>
  <c r="E86" s="1"/>
  <c r="D84"/>
  <c r="E84" s="1"/>
  <c r="B81"/>
  <c r="B79"/>
  <c r="B77"/>
  <c r="J12" s="1"/>
  <c r="M74"/>
  <c r="L74"/>
  <c r="K74"/>
  <c r="J74"/>
  <c r="I74"/>
  <c r="H74"/>
  <c r="G74"/>
  <c r="F74"/>
  <c r="E74"/>
  <c r="D74"/>
  <c r="C74"/>
  <c r="P43"/>
  <c r="P42"/>
  <c r="V41"/>
  <c r="T41"/>
  <c r="R41"/>
  <c r="P41"/>
  <c r="Q40"/>
  <c r="Z40"/>
  <c r="Q39"/>
  <c r="Z39"/>
  <c r="J39"/>
  <c r="AC39" s="1"/>
  <c r="H39"/>
  <c r="U39" s="1"/>
  <c r="F39"/>
  <c r="AA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s="1"/>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s="1"/>
  <c r="B129"/>
  <c r="H44" s="1"/>
  <c r="B127"/>
  <c r="J43" s="1"/>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H12" s="1"/>
  <c r="AB12" s="1"/>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s="1"/>
  <c r="Q23"/>
  <c r="Z23" s="1"/>
  <c r="Q21"/>
  <c r="Z21" s="1"/>
  <c r="Q19"/>
  <c r="Z19" s="1"/>
  <c r="Q17"/>
  <c r="Z17" s="1"/>
  <c r="Q15"/>
  <c r="Z15" s="1"/>
  <c r="Q14"/>
  <c r="Z14" s="1"/>
  <c r="Q13"/>
  <c r="Z13" s="1"/>
  <c r="Q12"/>
  <c r="Z12" s="1"/>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s="1"/>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s="1"/>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s="1"/>
  <c r="Q27"/>
  <c r="Z27" s="1"/>
  <c r="Q26"/>
  <c r="Z26" s="1"/>
  <c r="Q25"/>
  <c r="Z25" s="1"/>
  <c r="J25"/>
  <c r="AC25" s="1"/>
  <c r="F25"/>
  <c r="AA25" s="1"/>
  <c r="Q23"/>
  <c r="Z23" s="1"/>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s="1"/>
  <c r="AB33" s="1"/>
  <c r="B91"/>
  <c r="F32" s="1"/>
  <c r="B95"/>
  <c r="H34" s="1"/>
  <c r="U34" s="1"/>
  <c r="D83"/>
  <c r="E83" s="1"/>
  <c r="D78"/>
  <c r="E78" s="1"/>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s="1"/>
  <c r="AB9" s="1"/>
  <c r="P37"/>
  <c r="P36"/>
  <c r="V35"/>
  <c r="T35"/>
  <c r="R35"/>
  <c r="P35"/>
  <c r="Q34"/>
  <c r="Z34" s="1"/>
  <c r="Q33"/>
  <c r="Z33" s="1"/>
  <c r="Q32"/>
  <c r="Z32" s="1"/>
  <c r="Q31"/>
  <c r="Z31" s="1"/>
  <c r="Q30"/>
  <c r="Z30" s="1"/>
  <c r="Q29"/>
  <c r="Z29"/>
  <c r="Q28"/>
  <c r="Z28"/>
  <c r="J28"/>
  <c r="AC28" s="1"/>
  <c r="Q27"/>
  <c r="Z27" s="1"/>
  <c r="Q26"/>
  <c r="Z26" s="1"/>
  <c r="H26"/>
  <c r="Q25"/>
  <c r="Z25"/>
  <c r="Q24"/>
  <c r="Z24"/>
  <c r="Q23"/>
  <c r="Z23"/>
  <c r="J23"/>
  <c r="AC23" s="1"/>
  <c r="H23"/>
  <c r="F23"/>
  <c r="AA23" s="1"/>
  <c r="Q22"/>
  <c r="Z22" s="1"/>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J34" s="1"/>
  <c r="AC34" s="1"/>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J9" s="1"/>
  <c r="P39"/>
  <c r="P38"/>
  <c r="V37"/>
  <c r="T37"/>
  <c r="R37"/>
  <c r="P37"/>
  <c r="Q36"/>
  <c r="Z36" s="1"/>
  <c r="J36"/>
  <c r="AC36" s="1"/>
  <c r="Q35"/>
  <c r="Z35" s="1"/>
  <c r="Q34"/>
  <c r="Z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s="1"/>
  <c r="J23"/>
  <c r="AC23" s="1"/>
  <c r="Q22"/>
  <c r="Z22"/>
  <c r="Q20"/>
  <c r="Z20"/>
  <c r="Q16"/>
  <c r="Z16" s="1"/>
  <c r="Q14"/>
  <c r="Z14" s="1"/>
  <c r="Q13"/>
  <c r="Z13" s="1"/>
  <c r="Q12"/>
  <c r="Z12" s="1"/>
  <c r="J12"/>
  <c r="W12" s="1"/>
  <c r="H12"/>
  <c r="U12" s="1"/>
  <c r="F12"/>
  <c r="S12" s="1"/>
  <c r="Q11"/>
  <c r="Z11" s="1"/>
  <c r="Q10"/>
  <c r="Z10" s="1"/>
  <c r="Q9"/>
  <c r="Z9" s="1"/>
  <c r="H9"/>
  <c r="AB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s="1"/>
  <c r="H67" s="1"/>
  <c r="I67" s="1"/>
  <c r="D126"/>
  <c r="D124"/>
  <c r="E124" s="1"/>
  <c r="F124" s="1"/>
  <c r="G124" s="1"/>
  <c r="H124" s="1"/>
  <c r="I124" s="1"/>
  <c r="J124" s="1"/>
  <c r="K124" s="1"/>
  <c r="L124" s="1"/>
  <c r="M124" s="1"/>
  <c r="D118"/>
  <c r="E118" s="1"/>
  <c r="F118" s="1"/>
  <c r="D116"/>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s="1"/>
  <c r="D78"/>
  <c r="E78" s="1"/>
  <c r="F78" s="1"/>
  <c r="G78" s="1"/>
  <c r="F15"/>
  <c r="AA15" s="1"/>
  <c r="D70"/>
  <c r="E70" s="1"/>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s="1"/>
  <c r="AC26" s="1"/>
  <c r="C23"/>
  <c r="C19"/>
  <c r="C17"/>
  <c r="C15"/>
  <c r="C15" i="21"/>
  <c r="D125" i="33"/>
  <c r="D123"/>
  <c r="E123" s="1"/>
  <c r="F123" s="1"/>
  <c r="G123" s="1"/>
  <c r="H123" s="1"/>
  <c r="I123" s="1"/>
  <c r="J123" s="1"/>
  <c r="K123" s="1"/>
  <c r="L123" s="1"/>
  <c r="M123" s="1"/>
  <c r="D117"/>
  <c r="D115"/>
  <c r="E115" s="1"/>
  <c r="F115" s="1"/>
  <c r="G115" s="1"/>
  <c r="H115" s="1"/>
  <c r="I115" s="1"/>
  <c r="J115" s="1"/>
  <c r="K115" s="1"/>
  <c r="L115" s="1"/>
  <c r="M115" s="1"/>
  <c r="D108"/>
  <c r="E108" s="1"/>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s="1"/>
  <c r="J33"/>
  <c r="H33"/>
  <c r="AB33" s="1"/>
  <c r="F33"/>
  <c r="AA33" s="1"/>
  <c r="Q32"/>
  <c r="Z32" s="1"/>
  <c r="Q31"/>
  <c r="Z31" s="1"/>
  <c r="Q30"/>
  <c r="Z30" s="1"/>
  <c r="Q29"/>
  <c r="Z29" s="1"/>
  <c r="Q28"/>
  <c r="Z28" s="1"/>
  <c r="Q27"/>
  <c r="Z27" s="1"/>
  <c r="Q26"/>
  <c r="Z26" s="1"/>
  <c r="Q25"/>
  <c r="Z25" s="1"/>
  <c r="Q23"/>
  <c r="Z23"/>
  <c r="Q19"/>
  <c r="Z19" s="1"/>
  <c r="Q17"/>
  <c r="Z17" s="1"/>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s="1"/>
  <c r="AA9" s="1"/>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s="1"/>
  <c r="Q26"/>
  <c r="Z26" s="1"/>
  <c r="Q27"/>
  <c r="Z27" s="1"/>
  <c r="Q28"/>
  <c r="Z28" s="1"/>
  <c r="Q29"/>
  <c r="Z29" s="1"/>
  <c r="Q30"/>
  <c r="Z30" s="1"/>
  <c r="Q31"/>
  <c r="Z31" s="1"/>
  <c r="Q32"/>
  <c r="Z32" s="1"/>
  <c r="Q33"/>
  <c r="Z33" s="1"/>
  <c r="Q34"/>
  <c r="Z34" s="1"/>
  <c r="J35"/>
  <c r="W35" s="1"/>
  <c r="Q35"/>
  <c r="Z35" s="1"/>
  <c r="Q36"/>
  <c r="Z36" s="1"/>
  <c r="Q37"/>
  <c r="Z37" s="1"/>
  <c r="J38"/>
  <c r="W38" s="1"/>
  <c r="Q38"/>
  <c r="Z38"/>
  <c r="J39"/>
  <c r="AC39" s="1"/>
  <c r="Q39"/>
  <c r="Z39" s="1"/>
  <c r="Q40"/>
  <c r="Z40" s="1"/>
  <c r="Q41"/>
  <c r="Z41" s="1"/>
  <c r="Q42"/>
  <c r="Z42" s="1"/>
  <c r="J43"/>
  <c r="AC43" s="1"/>
  <c r="Q43"/>
  <c r="Z43"/>
  <c r="Q44"/>
  <c r="Z44"/>
  <c r="Q45"/>
  <c r="Z45" s="1"/>
  <c r="Q46"/>
  <c r="Z46" s="1"/>
  <c r="P47"/>
  <c r="R47"/>
  <c r="T47"/>
  <c r="V47"/>
  <c r="P48"/>
  <c r="P49"/>
  <c r="F8"/>
  <c r="AA8" s="1"/>
  <c r="E10" i="11"/>
  <c r="E9"/>
  <c r="H38" i="21"/>
  <c r="U38" s="1"/>
  <c r="F38"/>
  <c r="AA38" s="1"/>
  <c r="F36"/>
  <c r="S36" s="1"/>
  <c r="F39"/>
  <c r="S39" s="1"/>
  <c r="H35"/>
  <c r="AB35" s="1"/>
  <c r="J8"/>
  <c r="AC8" s="1"/>
  <c r="H8"/>
  <c r="U8" s="1"/>
  <c r="H10"/>
  <c r="AB10" s="1"/>
  <c r="H36"/>
  <c r="U36" s="1"/>
  <c r="F35"/>
  <c r="AA35" s="1"/>
  <c r="J33"/>
  <c r="W33" s="1"/>
  <c r="H33"/>
  <c r="AB33" s="1"/>
  <c r="F33"/>
  <c r="AA33" s="1"/>
  <c r="J10"/>
  <c r="AC10" s="1"/>
  <c r="H26"/>
  <c r="AB26" s="1"/>
  <c r="F19"/>
  <c r="AA19" s="1"/>
  <c r="J19"/>
  <c r="W19" s="1"/>
  <c r="J12"/>
  <c r="AC12" s="1"/>
  <c r="H12"/>
  <c r="AB12"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H39" i="37"/>
  <c r="AB39" s="1"/>
  <c r="S27" i="35"/>
  <c r="F11" i="40"/>
  <c r="AA11" s="1"/>
  <c r="S8"/>
  <c r="H11"/>
  <c r="AB11" s="1"/>
  <c r="W8"/>
  <c r="U9"/>
  <c r="S34"/>
  <c r="U34"/>
  <c r="S39"/>
  <c r="W39"/>
  <c r="F42" i="39"/>
  <c r="AA42" s="1"/>
  <c r="F41"/>
  <c r="AA41" s="1"/>
  <c r="H40"/>
  <c r="AB40" s="1"/>
  <c r="H39"/>
  <c r="U39" s="1"/>
  <c r="S38"/>
  <c r="H34"/>
  <c r="AB34" s="1"/>
  <c r="E109"/>
  <c r="F109"/>
  <c r="G109" s="1"/>
  <c r="H109" s="1"/>
  <c r="I109" s="1"/>
  <c r="J109" s="1"/>
  <c r="K109" s="1"/>
  <c r="L109" s="1"/>
  <c r="M109" s="1"/>
  <c r="H31"/>
  <c r="AB31" s="1"/>
  <c r="F31"/>
  <c r="AA31" s="1"/>
  <c r="E103"/>
  <c r="H19"/>
  <c r="AB19" s="1"/>
  <c r="F19"/>
  <c r="S19" s="1"/>
  <c r="H17"/>
  <c r="U17" s="1"/>
  <c r="F17"/>
  <c r="AA17" s="1"/>
  <c r="J23" i="40"/>
  <c r="AC23" s="1"/>
  <c r="H42" i="39"/>
  <c r="AB42" s="1"/>
  <c r="J34"/>
  <c r="AC34" s="1"/>
  <c r="J31"/>
  <c r="W31" s="1"/>
  <c r="F103"/>
  <c r="H29"/>
  <c r="U29" s="1"/>
  <c r="J19"/>
  <c r="AC19" s="1"/>
  <c r="J17"/>
  <c r="W17" s="1"/>
  <c r="J29"/>
  <c r="AC29" s="1"/>
  <c r="F29"/>
  <c r="AA29" s="1"/>
  <c r="F11" i="21"/>
  <c r="S11" s="1"/>
  <c r="C25" i="39"/>
  <c r="C21"/>
  <c r="H11"/>
  <c r="AB11" s="1"/>
  <c r="H11" i="21"/>
  <c r="U11" s="1"/>
  <c r="J11"/>
  <c r="AC11" s="1"/>
  <c r="H36" i="40"/>
  <c r="U36" s="1"/>
  <c r="F35"/>
  <c r="S35" s="1"/>
  <c r="J30"/>
  <c r="W30" s="1"/>
  <c r="F96"/>
  <c r="G96" s="1"/>
  <c r="H96" s="1"/>
  <c r="I96" s="1"/>
  <c r="J96" s="1"/>
  <c r="K96" s="1"/>
  <c r="L96" s="1"/>
  <c r="M96" s="1"/>
  <c r="H27"/>
  <c r="U27" s="1"/>
  <c r="H23"/>
  <c r="AB23" s="1"/>
  <c r="J11"/>
  <c r="W11" s="1"/>
  <c r="AB12" i="33"/>
  <c r="AA12"/>
  <c r="S44" i="39"/>
  <c r="F37"/>
  <c r="S37" s="1"/>
  <c r="J34" i="36"/>
  <c r="W34" s="1"/>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F14" i="35"/>
  <c r="F23"/>
  <c r="AA23" s="1"/>
  <c r="J32"/>
  <c r="AC32" s="1"/>
  <c r="J16"/>
  <c r="W16" s="1"/>
  <c r="H14"/>
  <c r="AB14" s="1"/>
  <c r="H33"/>
  <c r="AB33" s="1"/>
  <c r="S8"/>
  <c r="W8"/>
  <c r="J20"/>
  <c r="W20" s="1"/>
  <c r="H20"/>
  <c r="U20" s="1"/>
  <c r="F20"/>
  <c r="AA20" s="1"/>
  <c r="E101" i="37"/>
  <c r="F101" s="1"/>
  <c r="G101" s="1"/>
  <c r="H101" s="1"/>
  <c r="I101" s="1"/>
  <c r="J101" s="1"/>
  <c r="K101" s="1"/>
  <c r="L101" s="1"/>
  <c r="M101" s="1"/>
  <c r="J34"/>
  <c r="W34" s="1"/>
  <c r="AA39"/>
  <c r="J43" i="34"/>
  <c r="AC43" s="1"/>
  <c r="H43"/>
  <c r="AB43" s="1"/>
  <c r="U42"/>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F113" i="33"/>
  <c r="G113" s="1"/>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A44" i="33"/>
  <c r="AB37" i="37"/>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C12"/>
  <c r="S28" i="37"/>
  <c r="U39"/>
  <c r="AC8"/>
  <c r="S25"/>
  <c r="AB8" i="34"/>
  <c r="AA13" i="33"/>
  <c r="AA30"/>
  <c r="S11"/>
  <c r="AB38" i="21"/>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F37" s="1"/>
  <c r="D39"/>
  <c r="D41"/>
  <c r="D43"/>
  <c r="D16"/>
  <c r="F15" s="1"/>
  <c r="B13" s="1"/>
  <c r="D18"/>
  <c r="D20"/>
  <c r="D22"/>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W21"/>
  <c r="J11"/>
  <c r="W11" s="1"/>
  <c r="J32"/>
  <c r="AC32" s="1"/>
  <c r="AA15"/>
  <c r="E66"/>
  <c r="E61" i="40"/>
  <c r="F34" i="43"/>
  <c r="C21" i="11"/>
  <c r="H55" i="39"/>
  <c r="G60" i="40"/>
  <c r="C60" s="1"/>
  <c r="H16" i="44"/>
  <c r="E17" i="43"/>
  <c r="I17"/>
  <c r="D108" i="9"/>
  <c r="F22" i="43"/>
  <c r="B56" i="60"/>
  <c r="G22" i="43"/>
  <c r="E22"/>
  <c r="H14" i="44"/>
  <c r="B57" i="60"/>
  <c r="W40" i="39"/>
  <c r="AC20" i="35"/>
  <c r="S39" i="34"/>
  <c r="AC10"/>
  <c r="AB30"/>
  <c r="AB12"/>
  <c r="AC30"/>
  <c r="H23"/>
  <c r="AB23" s="1"/>
  <c r="F33"/>
  <c r="S33" s="1"/>
  <c r="H36"/>
  <c r="AB36" s="1"/>
  <c r="F35"/>
  <c r="AA35" s="1"/>
  <c r="J35"/>
  <c r="AC35" s="1"/>
  <c r="F27"/>
  <c r="S27" s="1"/>
  <c r="W34"/>
  <c r="S28"/>
  <c r="J33"/>
  <c r="W33" s="1"/>
  <c r="J37"/>
  <c r="W37" s="1"/>
  <c r="S23"/>
  <c r="AB33"/>
  <c r="J26" i="35"/>
  <c r="W26" s="1"/>
  <c r="F26"/>
  <c r="AA26" s="1"/>
  <c r="H26"/>
  <c r="U26" s="1"/>
  <c r="K145" i="21"/>
  <c r="K144"/>
  <c r="K141"/>
  <c r="K143"/>
  <c r="B101" i="9"/>
  <c r="C112" s="1"/>
  <c r="H110" s="1"/>
  <c r="J23" i="21"/>
  <c r="AC23" s="1"/>
  <c r="H23"/>
  <c r="U23" s="1"/>
  <c r="F17"/>
  <c r="AA17" s="1"/>
  <c r="J17"/>
  <c r="AC17" s="1"/>
  <c r="H17"/>
  <c r="AB17" s="1"/>
  <c r="J15"/>
  <c r="W15" s="1"/>
  <c r="U35"/>
  <c r="AC35"/>
  <c r="H102" i="57"/>
  <c r="A131" i="9"/>
  <c r="A134" i="57"/>
  <c r="B102"/>
  <c r="B106" s="1"/>
  <c r="C111"/>
  <c r="H106" s="1"/>
  <c r="D127"/>
  <c r="W17" i="21"/>
  <c r="C109" i="57"/>
  <c r="H103" s="1"/>
  <c r="T27" i="31"/>
  <c r="S27"/>
  <c r="B113" i="43"/>
  <c r="I118" s="1"/>
  <c r="J118" s="1"/>
  <c r="K118" s="1"/>
  <c r="L118" s="1"/>
  <c r="M118" s="1"/>
  <c r="M101"/>
  <c r="M103" s="1"/>
  <c r="K101"/>
  <c r="K109" s="1"/>
  <c r="I101"/>
  <c r="I102" s="1"/>
  <c r="G101"/>
  <c r="E101"/>
  <c r="E109" s="1"/>
  <c r="C101"/>
  <c r="C109" s="1"/>
  <c r="N101"/>
  <c r="N107" s="1"/>
  <c r="L101"/>
  <c r="L107" s="1"/>
  <c r="J101"/>
  <c r="J103" s="1"/>
  <c r="H101"/>
  <c r="H109" s="1"/>
  <c r="F101"/>
  <c r="F102" s="1"/>
  <c r="D10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J13"/>
  <c r="F13"/>
  <c r="AA13" s="1"/>
  <c r="J45"/>
  <c r="W45" s="1"/>
  <c r="F45"/>
  <c r="AA45" s="1"/>
  <c r="B41" i="47"/>
  <c r="C23" i="40"/>
  <c r="AC8" i="34"/>
  <c r="W8"/>
  <c r="W12"/>
  <c r="AC12"/>
  <c r="J9"/>
  <c r="AC9" s="1"/>
  <c r="F9"/>
  <c r="S9" s="1"/>
  <c r="AA19"/>
  <c r="S19"/>
  <c r="AA9" i="36"/>
  <c r="S9"/>
  <c r="AB23"/>
  <c r="U23"/>
  <c r="J12"/>
  <c r="W12" s="1"/>
  <c r="H12"/>
  <c r="AB12" s="1"/>
  <c r="AA9" i="39"/>
  <c r="S9"/>
  <c r="U12"/>
  <c r="J12"/>
  <c r="F12"/>
  <c r="S12" s="1"/>
  <c r="R29" i="31"/>
  <c r="T29" s="1"/>
  <c r="F15" i="21"/>
  <c r="S15" s="1"/>
  <c r="AA30"/>
  <c r="J36" i="34"/>
  <c r="W36" s="1"/>
  <c r="S8"/>
  <c r="J19" i="40"/>
  <c r="AC19" s="1"/>
  <c r="W9" i="39"/>
  <c r="U14"/>
  <c r="H32"/>
  <c r="U32" s="1"/>
  <c r="F21"/>
  <c r="AA21" s="1"/>
  <c r="B35" i="47"/>
  <c r="F31" i="37"/>
  <c r="AA31" s="1"/>
  <c r="U25" i="36"/>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H37"/>
  <c r="U37" s="1"/>
  <c r="F26" i="47"/>
  <c r="B24" s="1"/>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H39"/>
  <c r="U39" s="1"/>
  <c r="F117"/>
  <c r="G117" s="1"/>
  <c r="S9"/>
  <c r="AA15" i="33"/>
  <c r="S15"/>
  <c r="AA35"/>
  <c r="E117"/>
  <c r="F117" s="1"/>
  <c r="G117" s="1"/>
  <c r="J39"/>
  <c r="AC39" s="1"/>
  <c r="E125"/>
  <c r="H43"/>
  <c r="U43" s="1"/>
  <c r="E91"/>
  <c r="F91" s="1"/>
  <c r="G91" s="1"/>
  <c r="H91" s="1"/>
  <c r="I91" s="1"/>
  <c r="J91" s="1"/>
  <c r="K91" s="1"/>
  <c r="L91" s="1"/>
  <c r="M91" s="1"/>
  <c r="F27"/>
  <c r="H41"/>
  <c r="U41" s="1"/>
  <c r="S12" i="34"/>
  <c r="AA12"/>
  <c r="AA11"/>
  <c r="S11"/>
  <c r="F80"/>
  <c r="H17"/>
  <c r="U17" s="1"/>
  <c r="H16" i="35"/>
  <c r="U16" s="1"/>
  <c r="J24"/>
  <c r="AC24" s="1"/>
  <c r="F24"/>
  <c r="AA24" s="1"/>
  <c r="H24"/>
  <c r="U24" s="1"/>
  <c r="H34"/>
  <c r="U34" s="1"/>
  <c r="F34"/>
  <c r="G60" i="37"/>
  <c r="F10"/>
  <c r="AA10" s="1"/>
  <c r="J12"/>
  <c r="W12" s="1"/>
  <c r="F12"/>
  <c r="S12" s="1"/>
  <c r="H27"/>
  <c r="F27"/>
  <c r="AA27" s="1"/>
  <c r="J27"/>
  <c r="AC27" s="1"/>
  <c r="J29"/>
  <c r="W29" s="1"/>
  <c r="F29"/>
  <c r="S29" s="1"/>
  <c r="H31"/>
  <c r="AB31" s="1"/>
  <c r="J36"/>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32"/>
  <c r="S32"/>
  <c r="J26" i="37"/>
  <c r="AC26" s="1"/>
  <c r="H26"/>
  <c r="AB26" s="1"/>
  <c r="F26"/>
  <c r="AA26" s="1"/>
  <c r="J23" i="39"/>
  <c r="W23" s="1"/>
  <c r="E97"/>
  <c r="H15" i="37"/>
  <c r="AB15" s="1"/>
  <c r="F15"/>
  <c r="AA15" s="1"/>
  <c r="F38" i="40"/>
  <c r="AA38" s="1"/>
  <c r="J38"/>
  <c r="W38" s="1"/>
  <c r="H38"/>
  <c r="J40"/>
  <c r="AC40" s="1"/>
  <c r="H40"/>
  <c r="AB40" s="1"/>
  <c r="F40"/>
  <c r="AA40" s="1"/>
  <c r="N6" i="43"/>
  <c r="F48"/>
  <c r="H51" s="1"/>
  <c r="M9"/>
  <c r="M1"/>
  <c r="N3"/>
  <c r="A121" i="9"/>
  <c r="N5" i="43"/>
  <c r="F101" i="9"/>
  <c r="M4" i="43"/>
  <c r="F33" i="9"/>
  <c r="C25" i="57"/>
  <c r="G4" i="47"/>
  <c r="F59" i="43"/>
  <c r="H63" s="1"/>
  <c r="G15" i="47"/>
  <c r="W40" i="40"/>
  <c r="U15" i="37"/>
  <c r="AB24" i="36"/>
  <c r="H25" i="34"/>
  <c r="U25" s="1"/>
  <c r="AB35" i="39"/>
  <c r="AC40" i="37"/>
  <c r="S27"/>
  <c r="AA12"/>
  <c r="AA34" i="35"/>
  <c r="S34"/>
  <c r="AB24"/>
  <c r="J17" i="34"/>
  <c r="AC17" s="1"/>
  <c r="G80"/>
  <c r="F17"/>
  <c r="AA17" s="1"/>
  <c r="H27" i="33"/>
  <c r="AB27" s="1"/>
  <c r="F43"/>
  <c r="S43" s="1"/>
  <c r="F125"/>
  <c r="G125" s="1"/>
  <c r="J43"/>
  <c r="AC43" s="1"/>
  <c r="AB31" i="21"/>
  <c r="U31"/>
  <c r="AA29"/>
  <c r="S29"/>
  <c r="W29"/>
  <c r="H27" i="36"/>
  <c r="AB27" s="1"/>
  <c r="F27"/>
  <c r="AA27" s="1"/>
  <c r="J28" i="34"/>
  <c r="W28" s="1"/>
  <c r="H11"/>
  <c r="U11" s="1"/>
  <c r="S17" i="37"/>
  <c r="J11"/>
  <c r="AC11" s="1"/>
  <c r="AC36" i="34"/>
  <c r="W12" i="39"/>
  <c r="AC12"/>
  <c r="W9" i="34"/>
  <c r="S45" i="21"/>
  <c r="AC37" i="37"/>
  <c r="F23" i="39"/>
  <c r="AA23" s="1"/>
  <c r="F97"/>
  <c r="G97" s="1"/>
  <c r="S26" i="37"/>
  <c r="F44" i="34"/>
  <c r="S44" s="1"/>
  <c r="F126"/>
  <c r="G126" s="1"/>
  <c r="J44"/>
  <c r="AC44" s="1"/>
  <c r="U31" i="37"/>
  <c r="W27"/>
  <c r="H60"/>
  <c r="H10"/>
  <c r="U10" s="1"/>
  <c r="S24" i="35"/>
  <c r="AB43" i="33"/>
  <c r="AB29" i="21"/>
  <c r="AC27" i="36"/>
  <c r="W27"/>
  <c r="U9" i="34"/>
  <c r="F101" i="33"/>
  <c r="G101" s="1"/>
  <c r="H101" s="1"/>
  <c r="I101" s="1"/>
  <c r="J101" s="1"/>
  <c r="K101" s="1"/>
  <c r="L101" s="1"/>
  <c r="M101" s="1"/>
  <c r="J32"/>
  <c r="W32" s="1"/>
  <c r="H32"/>
  <c r="AB32" s="1"/>
  <c r="W40" i="34"/>
  <c r="U45" i="21"/>
  <c r="U12" i="36"/>
  <c r="AC45" i="21"/>
  <c r="W13"/>
  <c r="AC13"/>
  <c r="AA44" i="34"/>
  <c r="S27" i="36"/>
  <c r="I60" i="37"/>
  <c r="J10"/>
  <c r="AC10" s="1"/>
  <c r="H23" i="39"/>
  <c r="AB23" s="1"/>
  <c r="J11" i="34"/>
  <c r="W11" s="1"/>
  <c r="J27" i="33"/>
  <c r="W27" s="1"/>
  <c r="W17" i="34"/>
  <c r="J25"/>
  <c r="W25" s="1"/>
  <c r="AC11"/>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S43" i="31" l="1"/>
  <c r="S503"/>
  <c r="S483"/>
  <c r="S499"/>
  <c r="S227"/>
  <c r="S229"/>
  <c r="S231"/>
  <c r="S233"/>
  <c r="S235"/>
  <c r="S237"/>
  <c r="S239"/>
  <c r="S241"/>
  <c r="S243"/>
  <c r="S245"/>
  <c r="S247"/>
  <c r="S249"/>
  <c r="S251"/>
  <c r="S253"/>
  <c r="S255"/>
  <c r="S257"/>
  <c r="AC33" i="21"/>
  <c r="F23"/>
  <c r="AA23" s="1"/>
  <c r="F70" i="43"/>
  <c r="K104"/>
  <c r="AA30" i="40"/>
  <c r="S30"/>
  <c r="H17" i="43"/>
  <c r="U27" i="31"/>
  <c r="U25" s="1"/>
  <c r="H106" i="43"/>
  <c r="C102"/>
  <c r="C106" i="9"/>
  <c r="H102" s="1"/>
  <c r="B103"/>
  <c r="Y27" i="31"/>
  <c r="M105" i="43"/>
  <c r="F107"/>
  <c r="AC30" i="40"/>
  <c r="U33" i="21"/>
  <c r="AB38" i="40"/>
  <c r="U38"/>
  <c r="AA24" i="36"/>
  <c r="S24"/>
  <c r="W36" i="37"/>
  <c r="AC36"/>
  <c r="U27"/>
  <c r="AB27"/>
  <c r="S27" i="33"/>
  <c r="AA27"/>
  <c r="AA31" i="21"/>
  <c r="S31"/>
  <c r="AC9" i="35"/>
  <c r="W9"/>
  <c r="G26" i="47"/>
  <c r="U23" i="39"/>
  <c r="AB25" i="34"/>
  <c r="AA37"/>
  <c r="S37"/>
  <c r="U13" i="21"/>
  <c r="AB13"/>
  <c r="D107" i="43"/>
  <c r="D103"/>
  <c r="G107"/>
  <c r="G103"/>
  <c r="W25" i="21"/>
  <c r="AC37" i="34"/>
  <c r="AB25" i="39"/>
  <c r="AB10" i="33"/>
  <c r="AC31"/>
  <c r="W14"/>
  <c r="W47" i="34"/>
  <c r="AA11" i="35"/>
  <c r="W28" i="37"/>
  <c r="AB14" i="33"/>
  <c r="W13" i="35"/>
  <c r="U15" i="34"/>
  <c r="AB39" i="39"/>
  <c r="AC38" i="21"/>
  <c r="J26"/>
  <c r="W26" s="1"/>
  <c r="H19"/>
  <c r="AB19" s="1"/>
  <c r="H9"/>
  <c r="AB9" s="1"/>
  <c r="J9"/>
  <c r="H43"/>
  <c r="AB43" s="1"/>
  <c r="F43"/>
  <c r="S43" s="1"/>
  <c r="F9" i="35"/>
  <c r="V27" i="31"/>
  <c r="X27"/>
  <c r="X25" s="1"/>
  <c r="J100" i="43"/>
  <c r="F100"/>
  <c r="M100"/>
  <c r="I100"/>
  <c r="E100"/>
  <c r="E26" i="58"/>
  <c r="C30"/>
  <c r="E103" i="43"/>
  <c r="N102"/>
  <c r="D73"/>
  <c r="H56"/>
  <c r="H72"/>
  <c r="H74"/>
  <c r="S44" i="21"/>
  <c r="C115" i="57"/>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C8"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6" i="52" s="1"/>
  <c r="D124" i="9"/>
  <c r="D7" i="52" s="1"/>
  <c r="M48" i="57"/>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D68" i="39" l="1"/>
  <c r="AA9" i="35"/>
  <c r="S9"/>
  <c r="W9" i="21"/>
  <c r="AC9"/>
  <c r="C6" i="43"/>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J5" i="15"/>
  <c r="J18" s="1"/>
  <c r="M81" i="43"/>
  <c r="N81" s="1"/>
  <c r="K81"/>
  <c r="J81" s="1"/>
  <c r="D81" s="1"/>
  <c r="M88"/>
  <c r="N88" s="1"/>
  <c r="K88"/>
  <c r="J88" s="1"/>
  <c r="D88" s="1"/>
  <c r="C10" i="15"/>
  <c r="C5" s="1"/>
  <c r="C32" s="1"/>
  <c r="J7" i="36" l="1"/>
  <c r="R25" i="31"/>
  <c r="B24" s="1"/>
  <c r="B3" s="1"/>
  <c r="C34" i="57" s="1"/>
  <c r="I124" s="1"/>
  <c r="B23" i="31"/>
  <c r="I55" i="15"/>
  <c r="J54"/>
  <c r="G43" i="35"/>
  <c r="H43" s="1"/>
  <c r="B2" i="31"/>
  <c r="C33" i="57" s="1"/>
  <c r="H124" s="1"/>
  <c r="I103" s="1"/>
  <c r="I113" s="1"/>
  <c r="I104"/>
  <c r="C107"/>
  <c r="Q59" i="15"/>
  <c r="C106" i="57"/>
  <c r="F7" i="33"/>
  <c r="AA7" s="1"/>
  <c r="R48" s="1"/>
  <c r="R39" i="35"/>
  <c r="C38" s="1"/>
  <c r="D110" i="57"/>
  <c r="H125"/>
  <c r="D25" i="12"/>
  <c r="C26" i="11"/>
  <c r="D22" s="1"/>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P58" s="1"/>
  <c r="Q46" i="15"/>
  <c r="C49" i="11"/>
  <c r="C51" s="1"/>
  <c r="B3" i="12"/>
  <c r="C13" i="15"/>
  <c r="Q47"/>
  <c r="J19"/>
  <c r="J17" s="1"/>
  <c r="C33"/>
  <c r="C31" s="1"/>
  <c r="J14"/>
  <c r="C58"/>
  <c r="C36"/>
  <c r="K68" i="39"/>
  <c r="J70"/>
  <c r="K63" i="40"/>
  <c r="J65"/>
  <c r="D20" i="57"/>
  <c r="C28" i="11" l="1"/>
  <c r="C27" s="1"/>
  <c r="C25"/>
  <c r="C22" s="1"/>
  <c r="N59" i="57"/>
  <c r="N60"/>
  <c r="N62" s="1"/>
  <c r="D119"/>
  <c r="D120" s="1"/>
  <c r="I116" s="1"/>
  <c r="I115"/>
  <c r="D132" s="1"/>
  <c r="D103"/>
  <c r="J22" i="15"/>
  <c r="J13"/>
  <c r="J23" s="1"/>
  <c r="C62"/>
  <c r="C60" s="1"/>
  <c r="C65"/>
  <c r="J34"/>
  <c r="Q68"/>
  <c r="C37"/>
  <c r="C30" s="1"/>
  <c r="C39" s="1"/>
  <c r="C57"/>
  <c r="C66" s="1"/>
  <c r="L63" i="40"/>
  <c r="K65"/>
  <c r="L68" i="39"/>
  <c r="K70"/>
  <c r="C31" i="11" l="1"/>
  <c r="C52" s="1"/>
  <c r="B3" s="1"/>
  <c r="N61" i="57"/>
  <c r="C59" i="15"/>
  <c r="C68" s="1"/>
  <c r="C69" s="1"/>
  <c r="C72" s="1"/>
  <c r="J16"/>
  <c r="J25" s="1"/>
  <c r="J26" s="1"/>
  <c r="J29" s="1"/>
  <c r="C40"/>
  <c r="Q67"/>
  <c r="Q66" s="1"/>
  <c r="J38"/>
  <c r="M68" i="39"/>
  <c r="L70"/>
  <c r="M63" i="40"/>
  <c r="L65"/>
  <c r="C56" i="11" l="1"/>
  <c r="C57" s="1"/>
  <c r="C47" i="15"/>
  <c r="J39"/>
  <c r="J41"/>
  <c r="J42" s="1"/>
  <c r="C43"/>
  <c r="L52"/>
  <c r="Q63"/>
  <c r="Q45"/>
  <c r="Q51" s="1"/>
  <c r="Q54"/>
  <c r="N63" i="40"/>
  <c r="M65"/>
  <c r="N68" i="39"/>
  <c r="M70"/>
  <c r="C19" i="57"/>
  <c r="C20"/>
  <c r="E2" i="11"/>
  <c r="E2" i="36"/>
  <c r="E2" i="21"/>
  <c r="E2" i="37"/>
  <c r="E2" i="35"/>
  <c r="E2" i="34"/>
  <c r="E2" i="33"/>
  <c r="B2" i="36" l="1"/>
  <c r="B3" s="1"/>
  <c r="B2" i="34"/>
  <c r="B3" s="1"/>
  <c r="B2" i="35"/>
  <c r="B2" i="37"/>
  <c r="B3" s="1"/>
  <c r="B2" i="33"/>
  <c r="B3" s="1"/>
  <c r="B2" i="21"/>
  <c r="B3" s="1"/>
  <c r="C102" i="57"/>
  <c r="B2" i="11"/>
  <c r="G20" i="57"/>
  <c r="C103"/>
  <c r="Q65" i="15"/>
  <c r="L58"/>
  <c r="L61" s="1"/>
  <c r="L47" s="1"/>
  <c r="O68" i="39"/>
  <c r="O70" s="1"/>
  <c r="N70"/>
  <c r="O63" i="40"/>
  <c r="O65" s="1"/>
  <c r="N65"/>
  <c r="C20" i="9"/>
  <c r="C19"/>
  <c r="D19" i="57"/>
  <c r="C102" i="9" l="1"/>
  <c r="B2" i="15"/>
  <c r="B3"/>
  <c r="Q64"/>
  <c r="Q73" s="1"/>
  <c r="Q55"/>
  <c r="Q60" s="1"/>
  <c r="D22" i="57"/>
  <c r="D102"/>
  <c r="G19"/>
  <c r="C105" s="1"/>
  <c r="C101" i="9"/>
  <c r="H7" i="40"/>
  <c r="F7"/>
  <c r="J7"/>
  <c r="H7" i="39"/>
  <c r="F7"/>
  <c r="J7"/>
  <c r="D20" i="9"/>
  <c r="D19"/>
  <c r="D101" l="1"/>
  <c r="G19"/>
  <c r="D22"/>
  <c r="D102"/>
  <c r="G20"/>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C35" s="1"/>
  <c r="C34" l="1"/>
  <c r="D34"/>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D7" i="62" l="1"/>
  <c r="C7"/>
  <c r="M69" i="9"/>
  <c r="N69" s="1"/>
  <c r="I114" l="1"/>
  <c r="D116"/>
  <c r="D129" l="1"/>
  <c r="D21" i="50"/>
  <c r="D42"/>
  <c r="D43" s="1"/>
  <c r="D12" i="52" l="1"/>
  <c r="I14" i="62"/>
  <c r="B8" s="1"/>
  <c r="D22" i="50"/>
  <c r="B35" i="60" s="1"/>
  <c r="B33"/>
  <c r="I121" i="9"/>
  <c r="C104" s="1"/>
  <c r="G121"/>
  <c r="G4" i="52" s="1"/>
  <c r="B41" i="60" s="1"/>
  <c r="E121" i="9"/>
  <c r="E4" i="52" s="1"/>
  <c r="B38" i="60" s="1"/>
  <c r="D8" i="62" l="1"/>
  <c r="C8"/>
  <c r="D121" i="9"/>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D53"/>
  <c r="D48" s="1"/>
  <c r="M52" s="1"/>
  <c r="I111"/>
  <c r="D38" i="50"/>
  <c r="B62" i="60" s="1"/>
  <c r="C95" i="9" l="1"/>
  <c r="C96" s="1"/>
  <c r="E96" s="1"/>
  <c r="E97" s="1"/>
  <c r="D8" i="52"/>
  <c r="G14" i="62"/>
  <c r="B6" s="1"/>
  <c r="D126" i="9"/>
  <c r="D9" i="52" s="1"/>
  <c r="D17" i="50"/>
  <c r="D16"/>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<sst xmlns="http://schemas.openxmlformats.org/spreadsheetml/2006/main" count="6931" uniqueCount="2925">
  <si>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</si>
  <si>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</si>
  <si>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</si>
  <si>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</si>
  <si>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</si>
  <si>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</si>
  <si>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</si>
  <si>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</si>
  <si>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</si>
  <si>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</si>
  <si>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</si>
  <si>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</si>
  <si>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</si>
  <si>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</si>
  <si>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</si>
  <si>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</si>
  <si>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</si>
  <si>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</si>
  <si>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</si>
  <si>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</si>
  <si>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</si>
  <si>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</si>
  <si>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</si>
  <si>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</si>
  <si>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</si>
  <si>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</si>
  <si>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</si>
  <si>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</si>
  <si>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</si>
  <si>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</si>
  <si>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</si>
  <si>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</si>
  <si>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</si>
  <si>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</si>
  <si>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</si>
  <si>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</si>
  <si>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</si>
  <si>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</si>
  <si>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</si>
  <si>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</si>
  <si>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</si>
  <si>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</si>
  <si>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</si>
  <si>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</si>
  <si>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</si>
  <si>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</si>
  <si>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</si>
  <si>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</si>
  <si>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</si>
  <si>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</si>
  <si>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</si>
  <si>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</si>
  <si>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</si>
  <si>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</si>
  <si>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</si>
  <si>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</si>
  <si>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</si>
  <si>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</si>
  <si>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</si>
  <si>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</si>
  <si>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</si>
  <si>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</si>
  <si>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</si>
  <si>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</si>
  <si>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</si>
  <si>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</si>
  <si>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</si>
  <si>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</si>
  <si>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</si>
  <si>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</si>
  <si>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</si>
  <si>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</si>
  <si>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</si>
  <si>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</si>
  <si>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</si>
  <si>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</si>
  <si>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</si>
  <si>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</si>
  <si>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</si>
  <si>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</si>
  <si>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</si>
  <si>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</si>
  <si>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</si>
  <si>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</si>
  <si>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</si>
  <si>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</si>
  <si>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</si>
  <si>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</si>
  <si>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</si>
  <si>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</si>
  <si>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</si>
  <si>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</si>
  <si>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</si>
  <si>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</si>
  <si>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</si>
  <si>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</si>
  <si>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</si>
  <si>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</si>
  <si>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</si>
  <si>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</si>
  <si>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</si>
  <si>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</si>
  <si>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</si>
  <si>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</si>
  <si>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</si>
  <si>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</si>
  <si>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</si>
  <si>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</si>
  <si>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</si>
  <si>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</si>
  <si>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</si>
  <si>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</si>
  <si>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</si>
  <si>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</si>
  <si>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</si>
  <si>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</si>
  <si>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</si>
  <si>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</si>
  <si>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</si>
  <si>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</si>
  <si>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</si>
  <si>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</si>
  <si>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</si>
  <si>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</si>
  <si>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</si>
  <si>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</si>
  <si>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</si>
  <si>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</si>
  <si>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</si>
  <si>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</si>
  <si>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</si>
  <si>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</si>
  <si>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</si>
  <si>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</si>
  <si>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</si>
  <si>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</si>
  <si>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</si>
  <si>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</si>
  <si>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</si>
  <si>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</si>
  <si>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</si>
  <si>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</si>
  <si>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</si>
  <si>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</si>
  <si>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</si>
  <si>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</si>
  <si>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</si>
  <si>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</si>
  <si>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</si>
  <si>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</si>
  <si>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</si>
  <si>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</si>
  <si>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</si>
  <si>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</si>
  <si>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</si>
  <si>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</si>
  <si>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</si>
  <si>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</si>
  <si>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</si>
  <si>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</si>
  <si>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</si>
  <si>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</si>
  <si>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</si>
  <si>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</si>
  <si>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</si>
  <si>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</si>
  <si>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</si>
  <si>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</si>
  <si>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</si>
  <si>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</si>
  <si>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</si>
  <si>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</si>
  <si>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</si>
  <si>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</si>
  <si>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</si>
  <si>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</si>
  <si>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</si>
  <si>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</si>
  <si>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</si>
  <si>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</si>
  <si>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</si>
  <si>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</si>
  <si>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</si>
  <si>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</si>
  <si>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</si>
  <si>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</si>
  <si>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</si>
  <si>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</si>
  <si>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</si>
  <si>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</si>
  <si>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</si>
  <si>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</si>
  <si>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</si>
  <si>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</si>
  <si>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</si>
  <si>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</si>
  <si>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</si>
  <si>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</si>
  <si>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</si>
  <si>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</si>
  <si>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</si>
  <si>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</si>
  <si>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</si>
  <si>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</si>
  <si>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</si>
  <si>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</si>
  <si>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</si>
  <si>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</si>
  <si>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</si>
  <si>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</si>
  <si>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</si>
  <si>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</si>
  <si>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</si>
  <si>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</si>
  <si>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</si>
  <si>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</si>
  <si>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</si>
  <si>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</si>
  <si>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</si>
  <si>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</si>
  <si>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</si>
  <si>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</si>
  <si>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</si>
  <si>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</si>
  <si>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</si>
  <si>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</si>
  <si>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</si>
  <si>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</si>
  <si>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</si>
  <si>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</si>
  <si>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</si>
  <si>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</si>
  <si>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</si>
  <si>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</si>
  <si>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</si>
  <si>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</si>
  <si>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</si>
  <si>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</si>
  <si>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</si>
  <si>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</si>
  <si>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</si>
  <si>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</si>
  <si>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</si>
  <si>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</si>
  <si>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</si>
  <si>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</si>
  <si>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</si>
  <si>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</si>
  <si>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</si>
  <si>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</si>
  <si>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</si>
  <si>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</si>
  <si>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</si>
  <si>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</si>
  <si>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</si>
  <si>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</si>
  <si>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</si>
  <si>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</si>
  <si>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</si>
  <si>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</si>
  <si>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</si>
  <si>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</si>
  <si>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</si>
  <si>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</si>
  <si>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</si>
  <si>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</si>
  <si>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</si>
  <si>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</si>
  <si>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</si>
  <si>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</si>
  <si>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</si>
  <si>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</si>
  <si>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</si>
  <si>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</si>
  <si>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</si>
  <si>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</si>
  <si>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</si>
  <si>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</si>
  <si>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</si>
  <si>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</si>
  <si>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</si>
  <si>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</si>
  <si>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</si>
  <si>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</si>
  <si>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</si>
  <si>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</si>
  <si>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</si>
  <si>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</si>
  <si>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</si>
  <si>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</si>
  <si>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</si>
  <si>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</si>
  <si>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</si>
  <si>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</si>
  <si>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</si>
  <si>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</si>
  <si>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</si>
  <si>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</si>
  <si>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</si>
  <si>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</si>
  <si>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</si>
  <si>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</si>
  <si>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</si>
  <si>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</si>
  <si>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</si>
  <si>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</si>
  <si>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</si>
  <si>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</si>
  <si>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</si>
  <si>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</si>
  <si>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</si>
  <si>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</si>
  <si>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</si>
  <si>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</si>
  <si>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</si>
  <si>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</si>
  <si>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</si>
  <si>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</si>
  <si>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</si>
  <si>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</si>
  <si>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</si>
  <si>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</si>
  <si>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</si>
  <si>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</si>
  <si>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</si>
  <si>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</si>
  <si>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</si>
  <si>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</si>
  <si>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</si>
  <si>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</si>
  <si>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</si>
  <si>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</si>
  <si>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</si>
  <si>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</si>
  <si>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</si>
  <si>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</si>
  <si>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</si>
  <si>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</si>
  <si>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</si>
  <si>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</si>
  <si>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</si>
  <si>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</si>
  <si>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</si>
  <si>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</si>
  <si>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</si>
  <si>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</si>
  <si>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</si>
  <si>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</si>
  <si>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</si>
  <si>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</si>
  <si>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</si>
  <si>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</si>
  <si>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</si>
  <si>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</si>
  <si>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</si>
  <si>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</si>
  <si>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</si>
  <si>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</si>
  <si>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</si>
  <si>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</si>
  <si>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</si>
  <si>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</si>
  <si>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</si>
  <si>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</si>
  <si>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</si>
  <si>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</si>
  <si>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</si>
  <si>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</si>
  <si>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</si>
  <si>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</si>
  <si>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</si>
  <si>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</si>
  <si>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</si>
  <si>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</si>
  <si>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</si>
  <si>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</si>
  <si>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</si>
  <si>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</si>
  <si>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</si>
  <si>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</si>
  <si>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</si>
  <si>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</si>
  <si>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</si>
  <si>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</si>
  <si>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</si>
  <si>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</si>
  <si>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</si>
  <si>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</si>
  <si>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</si>
  <si>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</si>
  <si>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</si>
  <si>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</si>
  <si>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</si>
  <si>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</si>
  <si>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</si>
  <si>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</si>
  <si>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</si>
  <si>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</si>
  <si>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</si>
  <si>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</si>
  <si>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</si>
  <si>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</si>
  <si>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</si>
  <si>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</si>
  <si>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</si>
  <si>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</si>
  <si>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</si>
  <si>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</si>
  <si>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</si>
  <si>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</si>
  <si>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</si>
  <si>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</si>
  <si>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</si>
  <si>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</si>
  <si>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</si>
  <si>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</si>
  <si>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</si>
  <si>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</si>
  <si>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</si>
  <si>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</si>
  <si>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</si>
  <si>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</si>
  <si>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</si>
  <si>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</si>
  <si>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</si>
  <si>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</si>
  <si>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</si>
  <si>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</si>
  <si>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</si>
  <si>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</si>
  <si>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</si>
  <si>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</si>
  <si>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</si>
  <si>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</si>
  <si>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</si>
  <si>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</si>
  <si>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</si>
  <si>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</si>
  <si>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</si>
  <si>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</si>
  <si>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</si>
  <si>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</si>
  <si>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</si>
  <si>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</si>
  <si>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</si>
  <si>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</si>
  <si>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</si>
  <si>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</si>
  <si>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</si>
  <si>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</si>
  <si>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</si>
  <si>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</si>
  <si>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</si>
  <si>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</si>
  <si>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</si>
  <si>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</si>
  <si>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</si>
  <si>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</si>
  <si>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</si>
  <si>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</si>
  <si>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</si>
  <si>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</si>
  <si>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</si>
  <si>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</si>
  <si>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</si>
  <si>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</si>
  <si>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</si>
  <si>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</si>
  <si>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</si>
  <si>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</si>
  <si>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</si>
  <si>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</si>
  <si>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</si>
  <si>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</si>
  <si>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</si>
  <si>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</si>
  <si>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</si>
  <si>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</si>
  <si>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</si>
  <si>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</si>
  <si>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</si>
  <si>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</si>
  <si>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</si>
  <si>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</si>
  <si>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</si>
  <si>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</si>
  <si>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</si>
  <si>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</si>
  <si>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</si>
  <si>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</si>
  <si>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</si>
  <si>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</si>
  <si>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</si>
  <si>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</si>
  <si>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</si>
  <si>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</si>
  <si>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</si>
  <si>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</si>
  <si>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</si>
  <si>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</si>
  <si>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</si>
  <si>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</si>
  <si>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</si>
  <si>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</si>
  <si>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</si>
  <si>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</si>
  <si>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</si>
  <si>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</si>
  <si>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</si>
  <si>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</si>
  <si>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</si>
  <si>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</si>
  <si>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</si>
  <si>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</si>
  <si>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</si>
  <si>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</si>
  <si>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</si>
  <si>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</si>
  <si>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</si>
  <si>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</si>
  <si>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</si>
  <si>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</si>
  <si>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</si>
  <si>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</si>
  <si>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</si>
  <si>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</si>
  <si>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</si>
  <si>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</si>
  <si>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</si>
  <si>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</si>
  <si>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</si>
  <si>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</si>
  <si>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</si>
  <si>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</si>
  <si>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</si>
  <si>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</si>
  <si>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</si>
  <si>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</si>
  <si>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</si>
  <si>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</si>
  <si>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</si>
  <si>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</si>
  <si>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</si>
  <si>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</si>
  <si>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</si>
  <si>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</si>
  <si>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</si>
  <si>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</si>
  <si>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</si>
  <si>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</si>
  <si>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</si>
  <si>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</si>
  <si>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</si>
  <si>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</si>
  <si>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</si>
  <si>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</si>
  <si>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</si>
  <si>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</si>
  <si>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</si>
  <si>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</si>
  <si>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</si>
  <si>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</si>
  <si>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</si>
  <si>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</si>
  <si>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</si>
  <si>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</si>
  <si>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</si>
  <si>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</si>
  <si>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</si>
  <si>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</si>
  <si>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</si>
  <si>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</si>
  <si>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</si>
  <si>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</si>
  <si>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</si>
  <si>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</si>
  <si>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</si>
  <si>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</si>
  <si>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</si>
  <si>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</si>
  <si>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</si>
  <si>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</si>
  <si>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</si>
  <si>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</si>
  <si>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</si>
  <si>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</si>
  <si>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</si>
  <si>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</si>
  <si>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</si>
  <si>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</si>
  <si>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</si>
  <si>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</si>
  <si>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</si>
  <si>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</si>
  <si>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</si>
  <si>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</si>
  <si>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</si>
  <si>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</si>
  <si>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</si>
  <si>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</si>
  <si>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</si>
  <si>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</si>
  <si>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</si>
  <si>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</si>
  <si>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</si>
  <si>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</si>
  <si>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</si>
  <si>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</si>
  <si>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</si>
  <si>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</si>
  <si>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</si>
  <si>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</si>
  <si>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</si>
  <si>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</si>
  <si>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</si>
  <si>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</si>
  <si>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</si>
  <si>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</si>
  <si>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</si>
  <si>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</si>
  <si>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</si>
  <si>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</si>
  <si>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</si>
  <si>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</si>
  <si>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</si>
  <si>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</si>
  <si>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</si>
  <si>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</si>
  <si>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</si>
  <si>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</si>
  <si>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</si>
  <si>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</si>
  <si>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</si>
  <si>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</si>
  <si>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</si>
  <si>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</si>
  <si>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</si>
  <si>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</si>
  <si>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</si>
  <si>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</si>
  <si>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</si>
  <si>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</si>
  <si>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</si>
  <si>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</si>
  <si>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</si>
  <si>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</si>
  <si>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</si>
  <si>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</si>
  <si>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</si>
  <si>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</si>
  <si>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</si>
  <si>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</si>
  <si>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</si>
  <si>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</si>
  <si>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</si>
  <si>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</si>
  <si>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</si>
  <si>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</si>
  <si>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</si>
  <si>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</si>
  <si>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</si>
  <si>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</si>
  <si>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</si>
  <si>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</si>
  <si>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</si>
  <si>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</si>
  <si>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</si>
  <si>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</si>
  <si>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</si>
  <si>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</si>
  <si>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</si>
  <si>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</si>
  <si>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</si>
  <si>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</si>
  <si>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</si>
  <si>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</si>
  <si>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</si>
  <si>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</si>
  <si>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</si>
  <si>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</si>
  <si>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</si>
  <si>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</si>
  <si>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</si>
  <si>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</si>
  <si>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</si>
  <si>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</si>
  <si>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</si>
  <si>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</si>
  <si>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</si>
  <si>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</si>
  <si>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</si>
  <si>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</si>
  <si>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</si>
  <si>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</si>
  <si>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</si>
  <si>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</si>
  <si>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</si>
  <si>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</si>
  <si>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</si>
  <si>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</si>
  <si>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</si>
  <si>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</si>
  <si>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</si>
  <si>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</si>
  <si>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</si>
  <si>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</si>
  <si>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</si>
  <si>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</si>
  <si>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</si>
  <si>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</si>
  <si>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</si>
  <si>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</si>
  <si>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</si>
  <si>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</si>
  <si>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</si>
  <si>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</si>
  <si>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</si>
  <si>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</si>
  <si>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</si>
  <si>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</si>
  <si>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</si>
  <si>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</si>
  <si>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</si>
  <si>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</si>
  <si>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</si>
  <si>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</si>
  <si>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</si>
  <si>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</si>
  <si>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</si>
  <si>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</si>
  <si>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</si>
  <si>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</si>
  <si>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</si>
  <si>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</si>
  <si>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</si>
  <si>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</si>
  <si>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</si>
  <si>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</si>
  <si>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</si>
  <si>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</si>
  <si>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</si>
  <si>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</si>
  <si>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</si>
  <si>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</si>
  <si>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</si>
  <si>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</si>
  <si>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</si>
  <si>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</si>
  <si>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</si>
  <si>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</si>
  <si>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</si>
  <si>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</si>
  <si>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</si>
  <si>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</si>
  <si>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</si>
  <si>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</si>
  <si>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</si>
  <si>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</si>
  <si>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</si>
  <si>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</si>
  <si>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</si>
  <si>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</si>
  <si>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</si>
  <si>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</si>
  <si>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</si>
  <si>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</si>
  <si>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</si>
  <si>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</si>
  <si>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</si>
  <si>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</si>
  <si>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</si>
  <si>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</si>
  <si>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</si>
  <si>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</si>
  <si>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</si>
  <si>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</si>
  <si>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</si>
  <si>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</si>
  <si>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</si>
  <si>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</si>
  <si>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</si>
  <si>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</si>
  <si>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</si>
  <si>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</si>
  <si>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</si>
  <si>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</si>
  <si>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</si>
  <si>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</si>
  <si>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</si>
  <si>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</si>
  <si>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</si>
  <si>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</si>
  <si>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</si>
  <si>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</si>
  <si>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</si>
  <si>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</si>
  <si>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</si>
  <si>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</si>
  <si>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</si>
  <si>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</si>
  <si>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</si>
  <si>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</si>
  <si>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</si>
  <si>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</si>
  <si>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</si>
  <si>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</si>
  <si>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</si>
  <si>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</si>
  <si>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</si>
  <si>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</si>
  <si>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</si>
  <si>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</si>
  <si>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</si>
  <si>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</si>
  <si>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</si>
  <si>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</si>
  <si>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</si>
  <si>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</si>
  <si>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</si>
  <si>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</si>
  <si>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</si>
  <si>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</si>
  <si>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</si>
  <si>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</si>
  <si>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</si>
  <si>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</si>
  <si>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</si>
  <si>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</si>
  <si>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</si>
  <si>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</si>
  <si>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</si>
  <si>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</si>
  <si>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</si>
  <si>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</si>
  <si>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</si>
  <si>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</si>
  <si>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</si>
  <si>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</si>
  <si>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</si>
  <si>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</si>
  <si>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</si>
  <si>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</si>
  <si>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</si>
  <si>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</si>
  <si>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</si>
  <si>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</si>
  <si>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</si>
  <si>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</si>
  <si>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</si>
  <si>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</si>
  <si>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</si>
  <si>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</si>
  <si>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</si>
  <si>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</si>
  <si>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</si>
  <si>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</si>
  <si>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</si>
  <si>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</si>
  <si>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</si>
  <si>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</si>
  <si>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</si>
  <si>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</si>
  <si>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</si>
  <si>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</si>
  <si>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</si>
  <si>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</si>
  <si>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</si>
  <si>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</si>
  <si>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</si>
  <si>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</si>
  <si>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</si>
  <si>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</si>
  <si>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</si>
  <si>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</si>
  <si>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</si>
  <si>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</si>
  <si>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</si>
  <si>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</si>
  <si>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</si>
  <si>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</si>
  <si>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</si>
  <si>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</si>
  <si>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</si>
  <si>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</si>
  <si>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</si>
  <si>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</si>
  <si>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</si>
  <si>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</si>
  <si>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</si>
  <si>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</si>
  <si>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</si>
  <si>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</si>
  <si>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</si>
  <si>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</si>
  <si>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</si>
  <si>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</si>
  <si>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</si>
  <si>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</si>
  <si>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</si>
  <si>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</si>
  <si>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</si>
  <si>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</si>
  <si>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</si>
  <si>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</si>
  <si>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</si>
  <si>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</si>
  <si>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</si>
  <si>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</si>
  <si>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</si>
  <si>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</si>
  <si>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</si>
  <si>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</si>
  <si>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</si>
  <si>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</si>
  <si>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</si>
  <si>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</si>
  <si>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</si>
  <si>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</si>
  <si>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</si>
  <si>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</si>
  <si>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</si>
  <si>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</si>
  <si>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</si>
  <si>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</si>
  <si>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</si>
  <si>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</si>
  <si>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</si>
  <si>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</si>
  <si>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</si>
  <si>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</si>
  <si>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</si>
  <si>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</si>
  <si>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</si>
  <si>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</si>
  <si>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</si>
  <si>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</si>
  <si>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</si>
  <si>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</si>
  <si>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</si>
  <si>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</si>
  <si>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</si>
  <si>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</si>
  <si>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</si>
  <si>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</si>
  <si>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</si>
  <si>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</si>
  <si>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</si>
  <si>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</si>
  <si>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</si>
  <si>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</si>
  <si>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</si>
  <si>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</si>
  <si>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</si>
  <si>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</si>
  <si>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</si>
  <si>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</si>
  <si>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</si>
  <si>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</si>
  <si>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</si>
  <si>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</si>
  <si>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</si>
  <si>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</si>
  <si>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</si>
  <si>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</si>
  <si>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</si>
  <si>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</si>
  <si>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</si>
  <si>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</si>
  <si>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</si>
  <si>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</si>
  <si>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</si>
  <si>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</si>
  <si>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</si>
  <si>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</si>
  <si>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</si>
  <si>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</si>
  <si>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</si>
  <si>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</si>
  <si>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</si>
  <si>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</si>
  <si>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</si>
  <si>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</si>
  <si>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</si>
  <si>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</si>
  <si>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</si>
  <si>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</si>
  <si>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</si>
  <si>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</si>
  <si>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</si>
  <si>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</si>
  <si>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</si>
  <si>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</si>
  <si>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</si>
  <si>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</si>
  <si>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</si>
  <si>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</si>
  <si>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</si>
  <si>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</si>
  <si>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</si>
  <si>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</si>
  <si>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</si>
  <si>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</si>
  <si>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</si>
  <si>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</si>
  <si>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</si>
  <si>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</si>
  <si>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</si>
  <si>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</si>
  <si>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</si>
  <si>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</si>
  <si>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</si>
  <si>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</si>
  <si>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</si>
  <si>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</si>
  <si>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</si>
  <si>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</si>
  <si>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</si>
  <si>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</si>
  <si>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</si>
  <si>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</si>
  <si>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</si>
  <si>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</si>
  <si>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</si>
  <si>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</si>
  <si>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</si>
  <si>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</si>
  <si>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</si>
  <si>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</si>
  <si>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</si>
  <si>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</si>
  <si>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</si>
  <si>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</si>
  <si>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</si>
  <si>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</si>
  <si>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</si>
  <si>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</si>
  <si>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</si>
  <si>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</si>
  <si>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</si>
  <si>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</si>
  <si>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</si>
  <si>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</si>
  <si>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</si>
  <si>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</si>
  <si>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</si>
  <si>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</si>
  <si>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</si>
  <si>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</si>
  <si>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</si>
  <si>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</si>
  <si>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</si>
  <si>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</si>
  <si>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</si>
  <si>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</si>
  <si>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</si>
  <si>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</si>
  <si>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</si>
  <si>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</si>
  <si>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</si>
  <si>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</si>
  <si>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</si>
  <si>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</si>
  <si>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</si>
  <si>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</si>
  <si>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</si>
  <si>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</si>
  <si>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</si>
  <si>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</si>
  <si>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</si>
  <si>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</si>
  <si>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</si>
  <si>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</si>
  <si>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</si>
  <si>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</si>
  <si>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</si>
  <si>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</si>
  <si>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</si>
  <si>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</si>
  <si>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</si>
  <si>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</si>
  <si>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</si>
  <si>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</si>
  <si>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</si>
  <si>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</si>
  <si>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</si>
  <si>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</si>
  <si>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</si>
  <si>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</si>
  <si>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</si>
  <si>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</si>
  <si>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</si>
  <si>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</si>
  <si>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</si>
  <si>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</si>
  <si>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</si>
  <si>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</si>
  <si>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</si>
  <si>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</si>
  <si>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</si>
  <si>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</si>
  <si>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</si>
  <si>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</si>
  <si>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</si>
  <si>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</si>
  <si>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</si>
  <si>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</si>
  <si>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</si>
  <si>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</si>
  <si>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</si>
  <si>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</si>
  <si>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</si>
  <si>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</si>
  <si>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</si>
  <si>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</si>
  <si>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</si>
  <si>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</si>
  <si>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</si>
  <si>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</si>
  <si>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</si>
  <si>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</si>
  <si>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</si>
  <si>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</si>
  <si>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</si>
  <si>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</si>
  <si>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</si>
  <si>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</si>
  <si>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</si>
  <si>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</si>
  <si>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</si>
  <si>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</si>
  <si>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</si>
  <si>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</si>
  <si>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</si>
  <si>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</si>
  <si>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</si>
  <si>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</si>
  <si>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</si>
  <si>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</si>
  <si>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</si>
  <si>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</si>
  <si>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</si>
  <si>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</si>
  <si>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</si>
  <si>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</si>
  <si>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</si>
  <si>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</si>
  <si>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</si>
  <si>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</si>
  <si>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</si>
  <si>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</si>
  <si>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</si>
  <si>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</si>
  <si>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</si>
  <si>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</si>
  <si>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</si>
  <si>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</si>
  <si>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</si>
  <si>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</si>
  <si>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</si>
  <si>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</si>
  <si>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</si>
  <si>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</si>
  <si>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</si>
  <si>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</si>
  <si>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</si>
  <si>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</si>
  <si>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</si>
  <si>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</si>
  <si>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</si>
  <si>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</si>
  <si>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</si>
  <si>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</si>
  <si>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</si>
  <si>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</si>
  <si>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</si>
  <si>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</si>
  <si>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</si>
  <si>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</si>
  <si>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</si>
  <si>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</si>
  <si>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</si>
  <si>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</si>
  <si>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</si>
  <si>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</si>
  <si>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</si>
  <si>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</si>
  <si>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</si>
  <si>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</si>
  <si>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</si>
  <si>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</si>
  <si>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</si>
  <si>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</si>
  <si>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</si>
  <si>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</si>
  <si>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</si>
  <si>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</si>
  <si>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</si>
  <si>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</si>
  <si>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</si>
  <si>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</si>
  <si>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</si>
  <si>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</si>
  <si>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</si>
  <si>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</si>
  <si>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</si>
  <si>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</si>
  <si>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</si>
  <si>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</si>
  <si>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</si>
  <si>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</si>
  <si>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</si>
  <si>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</si>
  <si>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</si>
  <si>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</si>
  <si>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</si>
  <si>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</si>
  <si>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</si>
  <si>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</si>
  <si>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</si>
  <si>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</si>
  <si>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</si>
  <si>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</si>
  <si>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</si>
  <si>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</si>
  <si>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</si>
  <si>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</si>
  <si>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</si>
  <si>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</si>
  <si>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</si>
  <si>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</si>
  <si>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</si>
  <si>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</si>
  <si>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</si>
  <si>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</si>
  <si>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</si>
  <si>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</si>
  <si>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</si>
  <si>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</si>
  <si>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</si>
  <si>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</si>
  <si>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</si>
  <si>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</si>
  <si>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</si>
  <si>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</si>
  <si>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</si>
  <si>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</si>
  <si>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</si>
  <si>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</si>
  <si>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</si>
  <si>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</si>
  <si>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</si>
  <si>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</si>
  <si>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</si>
  <si>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</si>
  <si>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</si>
  <si>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</si>
  <si>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</si>
  <si>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</si>
  <si>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</si>
  <si>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</si>
  <si>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</si>
  <si>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</si>
  <si>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</si>
  <si>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</si>
  <si>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</si>
  <si>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</si>
  <si>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</si>
  <si>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</si>
  <si>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</si>
  <si>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</si>
  <si>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</si>
  <si>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</si>
  <si>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</si>
  <si>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</si>
  <si>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</si>
  <si>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</si>
  <si>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</si>
  <si>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</si>
  <si>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</si>
  <si>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</si>
  <si>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</si>
  <si>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</si>
  <si>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</si>
  <si>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</si>
  <si>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</si>
  <si>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</si>
  <si>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</si>
  <si>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</si>
  <si>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</si>
  <si>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</si>
  <si>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</si>
  <si>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</si>
  <si>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</si>
  <si>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</si>
  <si>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</si>
  <si>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</si>
  <si>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</si>
  <si>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</si>
  <si>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</si>
  <si>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</si>
  <si>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</si>
  <si>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</si>
  <si>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</si>
  <si>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</si>
  <si>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</si>
  <si>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</si>
  <si>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</si>
  <si>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</si>
  <si>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</si>
  <si>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</si>
  <si>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</si>
  <si>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</si>
  <si>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</si>
  <si>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</si>
  <si>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</si>
  <si>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</si>
  <si>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</si>
  <si>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</si>
  <si>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</si>
  <si>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</si>
  <si>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</si>
  <si>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</si>
  <si>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</si>
  <si>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</si>
  <si>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</si>
  <si>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</si>
  <si>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</si>
  <si>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</si>
  <si>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</si>
  <si>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</si>
  <si>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</si>
  <si>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</si>
  <si>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</si>
  <si>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</si>
  <si>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</si>
  <si>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</si>
  <si>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</si>
  <si>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</si>
  <si>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</si>
  <si>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</si>
  <si>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</si>
  <si>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</si>
  <si>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</si>
  <si>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</si>
  <si>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</si>
  <si>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</si>
  <si>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</si>
  <si>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</si>
  <si>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</si>
  <si>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</si>
  <si>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</si>
  <si>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</si>
  <si>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</si>
  <si>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</si>
  <si>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</si>
  <si>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</si>
  <si>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</si>
  <si>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</si>
  <si>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</si>
  <si>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</si>
  <si>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</si>
  <si>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</si>
  <si>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</si>
  <si>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</si>
  <si>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</si>
  <si>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</si>
  <si>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</si>
  <si>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</si>
  <si>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</si>
  <si>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</si>
  <si>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</si>
  <si>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</si>
  <si>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</si>
  <si>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</si>
  <si>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</si>
  <si>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</si>
  <si>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</si>
  <si>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</si>
  <si>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</si>
  <si>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</si>
  <si>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</si>
  <si>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</si>
  <si>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</si>
  <si>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</si>
  <si>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</si>
  <si>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</si>
  <si>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</si>
  <si>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</si>
  <si>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</si>
  <si>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</si>
  <si>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</si>
  <si>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</si>
  <si>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</si>
  <si>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</si>
  <si>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</si>
  <si>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</si>
  <si>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</si>
  <si>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</si>
  <si>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</si>
  <si>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</si>
  <si>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</si>
  <si>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</si>
  <si>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</si>
  <si>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</si>
  <si>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</si>
  <si>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</si>
  <si>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</si>
  <si>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</si>
  <si>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</si>
  <si>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</si>
  <si>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</si>
  <si>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</si>
  <si>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</si>
  <si>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</si>
  <si>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</si>
  <si>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</si>
  <si>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</si>
  <si>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</si>
  <si>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</si>
  <si>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</si>
  <si>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</si>
  <si>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</si>
  <si>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</si>
  <si>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</si>
  <si>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</si>
  <si>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</si>
  <si>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</si>
  <si>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</si>
  <si>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</si>
  <si>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</si>
  <si>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</si>
  <si>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</si>
  <si>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</si>
  <si>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</si>
  <si>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</si>
  <si>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</si>
  <si>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</si>
  <si>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</si>
  <si>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</si>
  <si>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</si>
  <si>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</si>
  <si>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</si>
  <si>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</si>
  <si>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</si>
  <si>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</si>
  <si>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</si>
  <si>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</si>
  <si>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</si>
  <si>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</si>
  <si>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</si>
  <si>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</si>
  <si>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</si>
  <si>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</si>
  <si>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</si>
  <si>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</si>
  <si>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</si>
  <si>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</si>
  <si>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</si>
  <si>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</si>
  <si>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</si>
  <si>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</si>
  <si>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</si>
  <si>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</si>
  <si>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</si>
  <si>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</si>
  <si>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</si>
  <si>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</si>
  <si>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</si>
  <si>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</si>
  <si>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</si>
  <si>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</si>
  <si>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</si>
  <si>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</si>
  <si>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</si>
  <si>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</si>
  <si>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</si>
  <si>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</si>
  <si>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</si>
  <si>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</si>
  <si>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</si>
  <si>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</si>
  <si>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</si>
  <si>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</si>
  <si>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</si>
  <si>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</si>
  <si>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</si>
  <si>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</si>
  <si>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</si>
  <si>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</si>
  <si>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</si>
  <si>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</si>
  <si>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</si>
  <si>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</si>
  <si>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</si>
  <si>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</si>
  <si>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</si>
  <si>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</si>
  <si>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</si>
  <si>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</si>
  <si>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</si>
  <si>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</si>
  <si>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</si>
  <si>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</si>
  <si>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</si>
  <si>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</si>
  <si>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</si>
  <si>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</si>
  <si>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</si>
  <si>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</si>
  <si>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</si>
  <si>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</si>
  <si>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</si>
  <si>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</si>
  <si>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</si>
  <si>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</si>
  <si>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</si>
  <si>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</si>
  <si>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</si>
  <si>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</si>
  <si>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</si>
  <si>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</si>
  <si>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</si>
  <si>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</si>
  <si>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</si>
  <si>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</si>
  <si>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</si>
  <si>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</si>
  <si>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</si>
  <si>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</si>
  <si>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</si>
  <si>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</si>
  <si>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</si>
  <si>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</si>
  <si>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</si>
  <si>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</si>
  <si>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</si>
  <si>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</si>
  <si>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</si>
  <si>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</si>
  <si>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</si>
  <si>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</si>
  <si>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</si>
  <si>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</si>
  <si>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</si>
  <si>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</si>
  <si>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</si>
  <si>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</si>
  <si>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</si>
  <si>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</si>
  <si>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</si>
  <si>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</si>
  <si>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</si>
  <si>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</si>
  <si>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</si>
  <si>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</si>
  <si>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</si>
  <si>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</si>
  <si>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</si>
  <si>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</si>
  <si>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</si>
  <si>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</si>
  <si>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</si>
  <si>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</si>
  <si>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</si>
  <si>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</si>
  <si>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</si>
  <si>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</si>
  <si>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</si>
  <si>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</si>
  <si>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</si>
  <si>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</si>
  <si>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</si>
  <si>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</si>
  <si>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</si>
  <si>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</si>
  <si>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</si>
  <si>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</si>
  <si>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</si>
  <si>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</si>
  <si>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</si>
  <si>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</si>
  <si>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</si>
  <si>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</si>
  <si>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</si>
  <si>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</si>
  <si>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</si>
  <si>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</si>
  <si>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</si>
  <si>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</si>
  <si>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</si>
  <si>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</si>
  <si>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</si>
  <si>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</si>
  <si>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</si>
  <si>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</si>
  <si>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</si>
  <si>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</si>
  <si>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</si>
  <si>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</si>
  <si>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</si>
  <si>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</si>
  <si>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</si>
  <si>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</si>
  <si>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</si>
  <si>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</si>
  <si>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</si>
  <si>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</si>
  <si>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</si>
  <si>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</si>
  <si>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</si>
  <si>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</si>
  <si>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</si>
  <si>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</si>
  <si>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</si>
  <si>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</si>
  <si>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</si>
  <si>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</si>
  <si>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</si>
  <si>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</si>
  <si>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</si>
  <si>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</si>
  <si>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</si>
  <si>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</si>
  <si>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</si>
  <si>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</si>
  <si>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</si>
  <si>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</si>
  <si>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</si>
  <si>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</si>
  <si>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</si>
  <si>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</si>
  <si>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</si>
  <si>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</si>
  <si>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</si>
  <si>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</si>
  <si>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</si>
  <si>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</si>
  <si>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</si>
  <si>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</si>
  <si>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</si>
  <si>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</si>
  <si>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</si>
  <si>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</si>
  <si>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</si>
  <si>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</si>
  <si>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</si>
  <si>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</si>
  <si>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</si>
  <si>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</si>
  <si>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</si>
  <si>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</si>
  <si>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</si>
  <si>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</si>
  <si>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</si>
  <si>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</si>
  <si>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</si>
  <si>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</si>
  <si>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</si>
  <si>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</si>
  <si>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</si>
  <si>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</si>
  <si>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</si>
  <si>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</si>
  <si>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</si>
  <si>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</si>
  <si>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</si>
  <si>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</si>
  <si>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</si>
  <si>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</si>
  <si>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</si>
  <si>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</si>
  <si>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</si>
  <si>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</si>
  <si>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</si>
  <si>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</si>
  <si>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</si>
  <si>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</si>
  <si>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</si>
  <si>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</si>
  <si>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</si>
  <si>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</si>
  <si>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</si>
  <si>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</si>
  <si>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</si>
  <si>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</si>
  <si>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</si>
  <si>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</si>
  <si>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</si>
  <si>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</si>
  <si>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</si>
  <si>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</si>
  <si>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</si>
  <si>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</si>
  <si>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</si>
  <si>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</si>
  <si>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</si>
  <si>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</si>
  <si>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</si>
  <si>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</si>
  <si>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</si>
  <si>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</si>
  <si>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</si>
  <si>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</si>
  <si>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</si>
  <si>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</si>
  <si>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</si>
  <si>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</si>
  <si>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</si>
  <si>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</si>
  <si>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</si>
  <si>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</si>
  <si>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</si>
  <si>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</si>
  <si>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</si>
  <si>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</si>
  <si>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</si>
  <si>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</si>
  <si>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</si>
  <si>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</si>
  <si>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</si>
  <si>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</si>
  <si>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</si>
  <si>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</si>
  <si>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</si>
  <si>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</si>
  <si>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</si>
  <si>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</si>
  <si>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</si>
  <si>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</si>
  <si>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</si>
  <si>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</si>
  <si>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</si>
  <si>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</si>
  <si>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</si>
  <si>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</si>
  <si>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</si>
  <si>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</si>
  <si>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</si>
  <si>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</si>
  <si>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</si>
  <si>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</si>
  <si>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</si>
  <si>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</si>
  <si>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</si>
  <si>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</si>
  <si>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</si>
  <si>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</si>
  <si>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</si>
  <si>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</si>
  <si>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</si>
  <si>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</si>
  <si>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</si>
  <si>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</si>
  <si>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</si>
  <si>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</si>
  <si>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</si>
  <si>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</si>
  <si>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</si>
  <si>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</si>
  <si>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</si>
  <si>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</si>
  <si>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</si>
  <si>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</si>
  <si>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</si>
  <si>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</si>
  <si>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</si>
  <si>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</si>
  <si>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</si>
  <si>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</si>
  <si>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</si>
  <si>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</si>
  <si>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</si>
  <si>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</si>
  <si>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</si>
  <si>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</si>
  <si>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</si>
  <si>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</si>
  <si>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</si>
  <si>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</si>
  <si>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</si>
  <si>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</si>
  <si>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</si>
  <si>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</si>
  <si>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</si>
  <si>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</si>
  <si>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</si>
  <si>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</si>
  <si>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</si>
  <si>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</si>
  <si>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</si>
  <si>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</si>
  <si>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</si>
  <si>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</si>
  <si>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</si>
  <si>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</si>
  <si>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</si>
  <si>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</si>
  <si>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</si>
  <si>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</si>
  <si>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</si>
  <si>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</si>
  <si>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</si>
  <si>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</si>
  <si>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</si>
  <si>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</si>
  <si>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</si>
  <si>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</si>
  <si>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</si>
  <si>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</si>
  <si>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</si>
  <si>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</si>
  <si>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</si>
  <si>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</si>
  <si>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</si>
  <si>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</si>
  <si>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</si>
  <si>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</si>
  <si>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</si>
  <si>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</si>
  <si>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</si>
  <si>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</si>
  <si>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</si>
  <si>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</si>
  <si>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</si>
  <si>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</si>
  <si>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</si>
  <si>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</si>
  <si>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</si>
  <si>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</si>
  <si>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</si>
  <si>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</si>
  <si>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</si>
  <si>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</si>
  <si>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</si>
  <si>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</si>
  <si>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</si>
  <si>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</si>
  <si>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</si>
  <si>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</si>
  <si>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</si>
  <si>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</si>
  <si>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</si>
  <si>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</si>
  <si>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</si>
  <si>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</si>
  <si>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</si>
  <si>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</si>
  <si>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</si>
  <si>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</si>
  <si>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</si>
  <si>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</si>
  <si>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</si>
  <si>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</si>
  <si>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</si>
  <si>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</si>
  <si>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</si>
  <si>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</si>
  <si>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</si>
  <si>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</si>
  <si>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</si>
  <si>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</si>
  <si>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</si>
  <si>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</si>
  <si>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</si>
  <si>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</si>
  <si>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</si>
  <si>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</si>
  <si>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</si>
  <si>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</si>
  <si>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</si>
  <si>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</si>
  <si>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</si>
  <si>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</si>
  <si>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</si>
  <si>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</si>
  <si>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</si>
  <si>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</si>
  <si>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</si>
  <si>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</si>
  <si>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</si>
  <si>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</si>
  <si>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</si>
  <si>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</si>
  <si>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</si>
  <si>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</si>
  <si>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</si>
  <si>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</si>
  <si>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</si>
  <si>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</si>
  <si>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</si>
  <si>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</si>
  <si>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</si>
  <si>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</si>
  <si>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</si>
  <si>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</si>
  <si>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</si>
  <si>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</si>
  <si>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</si>
  <si>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</si>
  <si>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</si>
  <si>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</si>
  <si>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</si>
  <si>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</si>
  <si>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</si>
  <si>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</si>
  <si>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</si>
  <si>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</si>
  <si>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</si>
  <si>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</si>
  <si>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</si>
  <si>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</si>
  <si>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</si>
  <si>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</si>
  <si>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</si>
  <si>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</si>
  <si>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</si>
  <si>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</si>
  <si>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</si>
  <si>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</si>
  <si>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</si>
  <si>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</si>
  <si>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</si>
  <si>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</si>
  <si>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</si>
  <si>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</si>
  <si>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</si>
  <si>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</si>
  <si>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</si>
  <si>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</si>
  <si>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</si>
  <si>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</si>
  <si>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</si>
  <si>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</si>
  <si>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</si>
  <si>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</si>
  <si>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</si>
  <si>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</si>
  <si>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</si>
  <si>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</si>
  <si>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</si>
  <si>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</si>
  <si>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</si>
  <si>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</si>
  <si>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</si>
  <si>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</si>
  <si>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</si>
  <si>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</si>
  <si>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</si>
  <si>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</si>
  <si>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</si>
  <si>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</si>
  <si>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</si>
  <si>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</si>
  <si>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</si>
  <si>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</si>
  <si>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</si>
  <si>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</si>
  <si>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</si>
  <si>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</si>
  <si>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</si>
  <si>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</si>
  <si>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</si>
  <si>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</si>
  <si>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</si>
  <si>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</si>
  <si>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</si>
  <si>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</si>
  <si>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</si>
  <si>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</si>
  <si>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</si>
  <si>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</si>
  <si>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</si>
  <si>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</si>
  <si>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</si>
  <si>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</si>
  <si>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</si>
  <si>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</si>
  <si>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</si>
  <si>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</si>
  <si>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</si>
  <si>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</si>
  <si>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</si>
  <si>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</si>
  <si>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</si>
  <si>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</si>
  <si>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</si>
  <si>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</si>
  <si>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</si>
  <si>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</si>
  <si>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</si>
  <si>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</si>
  <si>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</si>
  <si>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</si>
  <si>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</si>
  <si>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</si>
  <si>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</si>
  <si>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</si>
  <si>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</si>
  <si>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</si>
  <si>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</si>
  <si>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</si>
  <si>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</si>
  <si>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</si>
  <si>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</si>
  <si>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</si>
  <si>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</si>
  <si>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</si>
  <si>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</si>
  <si>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</si>
  <si>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</si>
  <si>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</si>
  <si>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</si>
  <si>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</si>
  <si>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</si>
  <si>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</si>
  <si>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</si>
  <si>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</si>
  <si>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</si>
  <si>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</si>
  <si>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</si>
  <si>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</si>
  <si>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</si>
  <si>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</si>
  <si>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</si>
  <si>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</si>
  <si>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</si>
  <si>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</si>
  <si>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</si>
  <si>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</si>
  <si>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</si>
  <si>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</si>
  <si>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</si>
  <si>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</si>
  <si>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</si>
  <si>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</si>
  <si>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</si>
  <si>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</si>
  <si>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</si>
  <si>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</si>
  <si>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</si>
  <si>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</si>
  <si>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</si>
  <si>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</si>
  <si>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</si>
  <si>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</si>
  <si>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</si>
  <si>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</si>
  <si>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</si>
  <si>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</si>
  <si>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</si>
  <si>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</si>
  <si>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</si>
  <si>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</si>
  <si>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</si>
  <si>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</si>
  <si>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</si>
  <si>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</si>
  <si>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</si>
  <si>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</si>
  <si>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</si>
  <si>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</si>
  <si>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</si>
  <si>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</si>
  <si>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</si>
  <si>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</si>
  <si>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</si>
  <si>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</si>
  <si>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</si>
  <si>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</si>
  <si>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</si>
  <si>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</si>
  <si>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</si>
  <si>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</si>
  <si>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</si>
  <si>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</si>
  <si>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</si>
  <si>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</si>
  <si>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</si>
  <si>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</si>
  <si>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</si>
  <si>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</si>
  <si>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</si>
  <si>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</si>
  <si>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</si>
  <si>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</si>
  <si>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</si>
  <si>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</si>
  <si>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</si>
  <si>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</si>
  <si>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</si>
  <si>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</si>
  <si>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</si>
  <si>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</si>
  <si>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</si>
  <si>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</si>
  <si>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</si>
  <si>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</si>
  <si>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</si>
  <si>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</si>
  <si>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</si>
  <si>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</si>
  <si>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</si>
  <si>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</si>
  <si>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</si>
  <si>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</si>
  <si>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</si>
  <si>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</si>
  <si>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</si>
  <si>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</si>
  <si>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</si>
  <si>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</si>
  <si>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</si>
  <si>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</si>
  <si>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</si>
  <si>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</si>
  <si>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</si>
  <si>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</si>
  <si>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</si>
  <si>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</si>
  <si>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</si>
  <si>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</si>
  <si>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</si>
  <si>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</si>
  <si>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</si>
  <si>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</si>
  <si>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</si>
  <si>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</si>
  <si>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</si>
  <si>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</si>
  <si>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</si>
  <si>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</si>
  <si>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</si>
  <si>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</si>
  <si>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</si>
  <si>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</si>
  <si>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</si>
  <si>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</si>
  <si>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</si>
  <si>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</si>
  <si>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</si>
  <si>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</si>
  <si>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</si>
  <si>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</si>
  <si>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</si>
  <si>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</si>
  <si>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</si>
  <si>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</si>
  <si>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</si>
  <si>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</si>
  <si>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</si>
  <si>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</si>
  <si>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</si>
  <si>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</si>
  <si>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</si>
  <si>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</si>
  <si>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</si>
  <si>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</si>
  <si>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</si>
  <si>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</si>
  <si>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</si>
  <si>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</si>
  <si>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</si>
  <si>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</si>
  <si>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</si>
  <si>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</si>
  <si>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</si>
  <si>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</si>
  <si>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</si>
  <si>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</si>
  <si>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</si>
  <si>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</si>
  <si>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</si>
  <si>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</si>
  <si>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</si>
  <si>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</si>
  <si>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</si>
  <si>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</si>
  <si>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</si>
  <si>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</si>
  <si>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</si>
  <si>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</si>
  <si>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</si>
  <si>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</si>
  <si>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</si>
  <si>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</si>
  <si>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</si>
  <si>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</si>
  <si>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</si>
  <si>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</si>
  <si>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</si>
  <si>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</si>
  <si>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</si>
  <si>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</si>
  <si>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</si>
  <si>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</si>
  <si>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</si>
  <si>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</si>
  <si>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</si>
  <si>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</si>
  <si>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</si>
  <si>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</si>
  <si>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</si>
  <si>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</si>
  <si>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</si>
  <si>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</si>
  <si>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</si>
  <si>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</si>
  <si>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</si>
  <si>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</si>
  <si>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</si>
  <si>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</si>
  <si>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</si>
  <si>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</si>
  <si>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</si>
  <si>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</si>
  <si>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</si>
  <si>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</si>
  <si>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</si>
  <si>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</si>
  <si>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</si>
  <si>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</si>
  <si>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</si>
  <si>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</si>
  <si>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</si>
  <si>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</si>
  <si>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</si>
  <si>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</si>
  <si>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</si>
  <si>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</si>
  <si>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</si>
  <si>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</si>
  <si>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</si>
  <si>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</si>
  <si>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</si>
  <si>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</si>
  <si>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</si>
  <si>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</si>
  <si>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</si>
  <si>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</si>
  <si>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</si>
  <si>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</si>
  <si>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</si>
  <si>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</si>
  <si>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</si>
  <si>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</si>
  <si>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</si>
  <si>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</si>
  <si>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</si>
  <si>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</si>
  <si>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</si>
  <si>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</si>
  <si>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</si>
  <si>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</si>
  <si>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</si>
  <si>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</si>
  <si>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</si>
  <si>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</si>
  <si>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</si>
  <si>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</si>
  <si>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</si>
  <si>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</si>
  <si>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</si>
  <si>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</si>
  <si>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</si>
  <si>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</si>
  <si>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</si>
  <si>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</si>
  <si>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</si>
  <si>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</si>
  <si>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</si>
  <si>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</si>
  <si>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</si>
  <si>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</si>
  <si>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</si>
  <si>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</si>
  <si>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</si>
  <si>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</si>
  <si>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</si>
  <si>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</si>
  <si>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</si>
  <si>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</si>
  <si>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</si>
  <si>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</si>
  <si>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</si>
  <si>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</si>
  <si>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</si>
  <si>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</si>
  <si>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</si>
  <si>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</si>
  <si>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</si>
  <si>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</si>
  <si>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</si>
  <si>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</si>
  <si>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</si>
  <si>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</si>
  <si>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</si>
  <si>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</si>
  <si>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</si>
  <si>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</si>
  <si>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</si>
  <si>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</si>
  <si>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</si>
  <si>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</si>
  <si>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</si>
  <si>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</si>
  <si>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</si>
  <si>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</si>
  <si>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</si>
  <si>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</si>
  <si>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</si>
  <si>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</si>
  <si>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</si>
  <si>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</si>
  <si>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</si>
  <si>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</si>
  <si>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</si>
  <si>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</si>
  <si>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</si>
  <si>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</si>
  <si>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</si>
  <si>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</si>
  <si>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</si>
  <si>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</si>
  <si>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</si>
  <si>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</si>
  <si>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</si>
  <si>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</si>
  <si>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</si>
  <si>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</si>
  <si>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</si>
  <si>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</si>
  <si>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</si>
  <si>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</si>
  <si>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</si>
  <si>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</si>
  <si>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</si>
  <si>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</si>
  <si>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</si>
  <si>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</si>
  <si>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</si>
  <si>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</si>
  <si>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</si>
  <si>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</si>
  <si>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</si>
  <si>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</si>
  <si>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</si>
  <si>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</si>
  <si>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</si>
  <si>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</si>
  <si>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</si>
  <si>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</si>
  <si>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</si>
  <si>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</si>
  <si>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</si>
  <si>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</si>
  <si>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</si>
  <si>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</si>
  <si>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</si>
  <si>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</si>
  <si>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</si>
  <si>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</si>
  <si>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</si>
  <si>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</si>
  <si>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</si>
  <si>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</si>
  <si>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</si>
  <si>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</si>
  <si>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</si>
  <si>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</si>
  <si>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</si>
  <si>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</si>
  <si>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</si>
  <si>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</si>
  <si>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</si>
  <si>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</si>
  <si>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</si>
  <si>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</si>
  <si>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</si>
  <si>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</si>
  <si>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</si>
  <si>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</si>
  <si>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</si>
  <si>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</si>
  <si>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</si>
  <si>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</si>
  <si>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</si>
  <si>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</si>
  <si>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</si>
  <si>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</si>
  <si>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</si>
  <si>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</si>
  <si>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</si>
  <si>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</si>
  <si>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</si>
  <si>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</si>
  <si>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</si>
  <si>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</si>
  <si>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</si>
  <si>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</si>
  <si>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</si>
  <si>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</si>
  <si>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</si>
  <si>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</si>
  <si>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</si>
  <si>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</si>
  <si>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</si>
  <si>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</si>
  <si>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</si>
  <si>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</si>
  <si>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</si>
  <si>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</si>
  <si>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</si>
  <si>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</si>
  <si>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</si>
  <si>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</si>
  <si>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</si>
  <si>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</si>
  <si>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</si>
  <si>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</si>
  <si>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</si>
  <si>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</si>
  <si>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</si>
  <si>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</si>
  <si>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</si>
  <si>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</si>
  <si>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</si>
  <si>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</si>
  <si>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</si>
  <si>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</si>
  <si>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</si>
  <si>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</si>
  <si>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</si>
  <si>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</si>
  <si>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</si>
  <si>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</si>
  <si>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</si>
  <si>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</si>
  <si>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</si>
  <si>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</si>
  <si>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</si>
  <si>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</si>
  <si>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</si>
  <si>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</si>
  <si>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</si>
  <si>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</si>
  <si>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</si>
  <si>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</si>
  <si>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</si>
  <si>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</si>
  <si>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</si>
  <si>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</si>
  <si>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</si>
  <si>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</si>
  <si>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</si>
  <si>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</si>
  <si>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</si>
  <si>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</si>
  <si>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</si>
  <si>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</si>
  <si>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</si>
  <si>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</si>
  <si>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</si>
  <si>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</si>
  <si>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</si>
  <si>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</si>
  <si>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</si>
  <si>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</si>
  <si>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</si>
  <si>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</si>
  <si>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</si>
  <si>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</si>
  <si>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</si>
  <si>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</si>
  <si>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</si>
  <si>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</si>
  <si>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</si>
  <si>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</si>
  <si>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</si>
  <si>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</si>
  <si>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</si>
  <si>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</si>
  <si>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</si>
  <si>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</si>
  <si>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</si>
  <si>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</si>
  <si>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</si>
  <si>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</si>
  <si>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</si>
  <si>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</si>
  <si>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</si>
  <si>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</si>
  <si>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</si>
  <si>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</si>
  <si>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</si>
  <si>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</si>
  <si>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</si>
  <si>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</si>
  <si>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</si>
  <si>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</si>
  <si>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</si>
  <si>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</si>
  <si>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</si>
  <si>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</si>
  <si>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</si>
  <si>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</si>
  <si>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</si>
  <si>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</si>
  <si>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</si>
  <si>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</si>
  <si>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</si>
  <si>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</si>
  <si>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</si>
  <si>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</si>
  <si>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</si>
  <si>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</si>
  <si>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</si>
  <si>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</si>
  <si>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</si>
  <si>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</si>
  <si>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</si>
  <si>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</si>
  <si>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</si>
  <si>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</si>
  <si>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</si>
  <si>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</si>
  <si>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</si>
  <si>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</si>
  <si>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</si>
  <si>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</si>
  <si>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</si>
  <si>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</si>
  <si>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</si>
  <si>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</si>
  <si>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</si>
  <si>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</si>
  <si>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</si>
  <si>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</si>
  <si>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</si>
  <si>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</si>
  <si>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</si>
  <si>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</si>
  <si>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</si>
  <si>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</si>
  <si>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</si>
  <si>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</si>
  <si>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</si>
  <si>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</si>
  <si>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</si>
  <si>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</si>
  <si>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</si>
  <si>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</si>
  <si>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</si>
  <si>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</si>
  <si>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</si>
  <si>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</si>
  <si>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</si>
  <si>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</si>
  <si>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</si>
  <si>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</si>
  <si>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</si>
  <si>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</si>
  <si>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</si>
  <si>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</si>
  <si>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</si>
  <si>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</si>
  <si>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</si>
  <si>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</si>
  <si>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</si>
  <si>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</si>
  <si>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</si>
  <si>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</si>
  <si>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</si>
  <si>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</si>
  <si>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</si>
  <si>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</si>
  <si>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</si>
  <si>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</si>
  <si>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</si>
  <si>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</si>
  <si>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</si>
  <si>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</si>
  <si>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</si>
  <si>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</si>
  <si>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</si>
  <si>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</si>
  <si>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</si>
  <si>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</si>
  <si>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</si>
  <si>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</si>
  <si>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</si>
  <si>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</si>
  <si>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</si>
  <si>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</si>
  <si>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</si>
  <si>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</si>
  <si>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</si>
  <si>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</si>
  <si>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</si>
  <si>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</si>
  <si>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</si>
  <si>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</si>
  <si>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</si>
  <si>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</si>
  <si>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</si>
  <si>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</si>
  <si>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</si>
  <si>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</si>
  <si>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</si>
  <si>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</si>
  <si>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</si>
  <si>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</si>
  <si>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</si>
  <si>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</si>
  <si>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</si>
  <si>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</si>
  <si>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</si>
  <si>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</si>
  <si>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</si>
  <si>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</si>
  <si>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</si>
  <si>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</si>
  <si>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</si>
  <si>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</si>
  <si>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</si>
  <si>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</si>
  <si>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</si>
  <si>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</si>
  <si>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</si>
  <si>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</si>
  <si>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</si>
  <si>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</si>
  <si>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</si>
  <si>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</si>
  <si>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</si>
  <si>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</si>
  <si>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</si>
  <si>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</si>
  <si>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</si>
  <si>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</si>
  <si>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</si>
  <si>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</si>
  <si>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</si>
  <si>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</si>
  <si>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</si>
  <si>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</si>
  <si>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</si>
  <si>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</si>
  <si>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</si>
  <si>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</si>
  <si>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</si>
  <si>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</si>
  <si>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</si>
  <si>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</si>
  <si>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</si>
  <si>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</si>
  <si>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</si>
  <si>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</si>
  <si>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</si>
  <si>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</si>
  <si>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</si>
  <si>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</si>
  <si>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</si>
  <si>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</si>
  <si>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</si>
  <si>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</si>
  <si>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</si>
  <si>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</si>
  <si>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</si>
  <si>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</si>
  <si>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</si>
  <si>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</si>
  <si>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</si>
  <si>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</si>
  <si>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</si>
  <si>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</si>
  <si>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</si>
  <si>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</si>
  <si>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</si>
  <si>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</si>
  <si>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</si>
  <si>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</si>
  <si>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</si>
  <si>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</si>
  <si>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</si>
  <si>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</si>
  <si>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</si>
  <si>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</si>
  <si>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</si>
  <si>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</si>
  <si>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</si>
  <si>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</si>
  <si>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</si>
  <si>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</si>
  <si>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</si>
  <si>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</si>
  <si>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</si>
  <si>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</si>
  <si>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</si>
  <si>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</si>
  <si>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</si>
  <si>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</si>
  <si>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</si>
  <si>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</si>
  <si>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</si>
  <si>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</si>
  <si>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</si>
  <si>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</si>
  <si>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</si>
  <si>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</si>
  <si>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</si>
  <si>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</si>
  <si>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</si>
  <si>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</si>
  <si>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</si>
  <si>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</si>
  <si>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</si>
  <si>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</si>
  <si>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</si>
  <si>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</si>
  <si>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</si>
  <si>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</si>
  <si>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</si>
  <si>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</si>
  <si>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</si>
  <si>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</si>
  <si>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</si>
  <si>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</si>
  <si>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</si>
  <si>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</si>
  <si>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</si>
  <si>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</si>
  <si>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</si>
  <si>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</si>
  <si>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</si>
  <si>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</si>
  <si>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</si>
  <si>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</si>
  <si>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</si>
  <si>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</si>
  <si>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</si>
  <si>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</si>
  <si>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</si>
  <si>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</si>
  <si>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</si>
  <si>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</si>
  <si>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</si>
  <si>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</si>
  <si>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</si>
  <si>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</si>
  <si>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</si>
  <si>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</si>
  <si>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</si>
  <si>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</si>
  <si>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</si>
  <si>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</si>
  <si>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</si>
  <si>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</si>
  <si>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</si>
  <si>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</si>
  <si>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</si>
  <si>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</si>
  <si>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</si>
  <si>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</si>
  <si>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</si>
  <si>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</si>
  <si>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</si>
  <si>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</si>
  <si>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</si>
  <si>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</si>
  <si>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</si>
  <si>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</si>
  <si>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</si>
  <si>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</si>
  <si>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</si>
  <si>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</si>
  <si>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</si>
  <si>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</si>
  <si>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</si>
  <si>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</si>
  <si>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</si>
  <si>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</si>
  <si>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</si>
  <si>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</si>
  <si>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</si>
  <si>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</si>
  <si>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</si>
  <si>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</si>
  <si>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</si>
  <si>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</si>
  <si>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</si>
  <si>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</si>
  <si>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</si>
  <si>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</si>
  <si>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</si>
  <si>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</si>
  <si>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</si>
  <si>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</si>
  <si>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</si>
  <si>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</si>
  <si>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</si>
  <si>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</si>
  <si>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</si>
  <si>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</si>
  <si>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</si>
  <si>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</si>
  <si>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</si>
  <si>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</si>
  <si>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</si>
  <si>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</si>
  <si>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</si>
  <si>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</si>
  <si>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</si>
  <si>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</si>
  <si>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</si>
  <si>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</si>
  <si>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</si>
  <si>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</si>
  <si>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</si>
  <si>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</si>
  <si>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住宅</t>
    <phoneticPr fontId="20" type="noConversion"/>
  </si>
  <si>
    <t>七通</t>
  </si>
  <si>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</si>
  <si>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</si>
  <si>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</si>
  <si>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</si>
  <si>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</si>
  <si>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</si>
  <si>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</si>
  <si>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</si>
  <si>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</si>
  <si>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</si>
  <si>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</si>
  <si>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</si>
  <si>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</si>
  <si>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</si>
  <si>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</si>
  <si>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</si>
  <si>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</si>
  <si>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</si>
  <si>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</si>
  <si>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</si>
  <si>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</si>
  <si>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</si>
  <si>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</si>
  <si>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</si>
  <si>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</si>
  <si>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砖混</t>
  </si>
  <si>
    <t>普通物业公司管理</t>
  </si>
  <si>
    <t>平层</t>
  </si>
  <si>
    <t>普通装修</t>
  </si>
  <si>
    <t>建成年代</t>
    <phoneticPr fontId="20" type="noConversion"/>
  </si>
  <si>
    <t>楼层</t>
    <phoneticPr fontId="20" type="noConversion"/>
  </si>
  <si>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</si>
  <si>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</si>
  <si>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</si>
  <si>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</si>
  <si>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</si>
  <si>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</si>
  <si>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</si>
  <si>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</si>
  <si>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</si>
  <si>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</si>
  <si>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</si>
  <si>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</si>
  <si>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</si>
  <si>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</si>
  <si>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</si>
  <si>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</si>
  <si>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</si>
  <si>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</si>
  <si>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</si>
  <si>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</si>
  <si>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</si>
  <si>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</si>
  <si>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</si>
  <si>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比较法-住宅</t>
  </si>
  <si>
    <t>估价对象1（结果表）</t>
  </si>
  <si>
    <t>居住用地（指二类居住用地）</t>
  </si>
  <si>
    <t>有</t>
  </si>
  <si>
    <t>1000米以外</t>
  </si>
  <si>
    <t>按公示增长率计算</t>
  </si>
  <si>
    <t>临近区域中心，距离小于2000米。</t>
    <phoneticPr fontId="4" type="noConversion"/>
  </si>
  <si>
    <t>成本价</t>
  </si>
  <si>
    <t>已包含在土地取得成本中</t>
  </si>
  <si>
    <t>未包含在土地购买价格中</t>
  </si>
  <si>
    <t>无</t>
  </si>
  <si>
    <t>通热</t>
  </si>
  <si>
    <t>六通一平</t>
  </si>
  <si>
    <t>缺少</t>
  </si>
  <si>
    <t>周边有车站西街15号院、京铁和园、小红庙南里、广安门住宅小区、椿树馆小区等居住社区，综合评价居住社区成熟度较好。</t>
    <phoneticPr fontId="4" type="noConversion"/>
  </si>
  <si>
    <t>估价对象紧邻城市支路—广安门车站西街，有45路、80路、89路等公交线路及地铁7号线达官营站通过，交通便捷度一般。</t>
    <phoneticPr fontId="4" type="noConversion"/>
  </si>
  <si>
    <t>60</t>
    <phoneticPr fontId="4" type="noConversion"/>
  </si>
  <si>
    <t>收益法</t>
  </si>
  <si>
    <t>50-60（含）</t>
  </si>
  <si>
    <t>板塔结合</t>
  </si>
  <si>
    <t>钢混</t>
  </si>
  <si>
    <t>远洋山水</t>
    <phoneticPr fontId="20" type="noConversion"/>
  </si>
  <si>
    <t>玉泉西里</t>
    <phoneticPr fontId="4" type="noConversion"/>
  </si>
  <si>
    <t>B</t>
    <phoneticPr fontId="146" type="noConversion"/>
  </si>
  <si>
    <t>C</t>
    <phoneticPr fontId="146" type="noConversion"/>
  </si>
  <si>
    <t>西南</t>
  </si>
  <si>
    <t>城市支路—广安门车站西街</t>
    <phoneticPr fontId="20" type="noConversion"/>
  </si>
  <si>
    <t>自然环境：北京大观园、护城河等；人文环境：中国铁道博物馆、首都医科大学、中国戏曲学院等；综合评价环境状况较好。</t>
    <phoneticPr fontId="4" type="noConversion"/>
  </si>
  <si>
    <t>南北</t>
  </si>
  <si>
    <r>
      <rPr>
        <sz val="11"/>
        <rFont val="宋体"/>
        <family val="3"/>
        <charset val="134"/>
      </rPr>
      <t>低楼层</t>
    </r>
    <r>
      <rPr>
        <sz val="11"/>
        <rFont val="Arial"/>
        <family val="2"/>
      </rPr>
      <t>/26</t>
    </r>
    <phoneticPr fontId="20" type="noConversion"/>
  </si>
  <si>
    <r>
      <rPr>
        <sz val="11"/>
        <rFont val="宋体"/>
        <family val="3"/>
        <charset val="134"/>
      </rPr>
      <t>中楼层</t>
    </r>
    <r>
      <rPr>
        <sz val="11"/>
        <rFont val="Arial"/>
        <family val="2"/>
      </rPr>
      <t>/26</t>
    </r>
    <phoneticPr fontId="20" type="noConversion"/>
  </si>
  <si>
    <r>
      <rPr>
        <sz val="11"/>
        <rFont val="宋体"/>
        <family val="3"/>
        <charset val="134"/>
      </rPr>
      <t>中楼层</t>
    </r>
    <r>
      <rPr>
        <sz val="11"/>
        <rFont val="Arial"/>
        <family val="2"/>
      </rPr>
      <t>/21</t>
    </r>
    <phoneticPr fontId="20" type="noConversion"/>
  </si>
  <si>
    <r>
      <t>中楼层</t>
    </r>
    <r>
      <rPr>
        <sz val="11"/>
        <rFont val="Arial"/>
        <family val="2"/>
      </rPr>
      <t>/21</t>
    </r>
  </si>
  <si>
    <r>
      <rPr>
        <sz val="11"/>
        <rFont val="宋体"/>
        <family val="3"/>
        <charset val="134"/>
      </rPr>
      <t>中楼层</t>
    </r>
    <r>
      <rPr>
        <sz val="11"/>
        <rFont val="Arial"/>
        <family val="2"/>
      </rPr>
      <t>/24</t>
    </r>
    <phoneticPr fontId="20" type="noConversion"/>
  </si>
  <si>
    <r>
      <t>中楼层</t>
    </r>
    <r>
      <rPr>
        <sz val="11"/>
        <rFont val="Arial"/>
        <family val="2"/>
      </rPr>
      <t>/24</t>
    </r>
  </si>
  <si>
    <t>10</t>
    <phoneticPr fontId="4" type="noConversion"/>
  </si>
  <si>
    <t>玉泉西里二区22号楼5层7单元0502</t>
    <phoneticPr fontId="4" type="noConversion"/>
  </si>
  <si>
    <t>5/27</t>
    <phoneticPr fontId="20" type="noConversion"/>
  </si>
  <si>
    <t>5/27</t>
    <phoneticPr fontId="20" type="noConversion"/>
  </si>
  <si>
    <t>A</t>
    <phoneticPr fontId="146" type="noConversion"/>
  </si>
  <si>
    <t>周边有玉泉路16号院、莲玉嘉园、重聚园、依翠园、诗景长安等居住社区，综合评价居住社区成熟度较好。</t>
    <phoneticPr fontId="4" type="noConversion"/>
  </si>
  <si>
    <t>估价对象紧邻城市次干道—鲁谷路，有308路、546路、597路等10余条公交线路及地铁1号线八宝山站通过，交通便捷度较好。</t>
    <phoneticPr fontId="4" type="noConversion"/>
  </si>
  <si>
    <t>估价对象紧邻城市次干道—鲁谷路，有308路、546路、597路等10余条公交线路及地铁1号线八宝山站通过，交通便捷度较好。</t>
    <phoneticPr fontId="4" type="noConversion"/>
  </si>
  <si>
    <r>
      <t>自然环境：北京国际雕塑公园、老山城市休闲公园、莲花河等；人文环境：中国科学院大学</t>
    </r>
    <r>
      <rPr>
        <sz val="11"/>
        <rFont val="楷体_GB2312"/>
        <family val="3"/>
        <charset val="134"/>
      </rPr>
      <t>等；综合</t>
    </r>
    <r>
      <rPr>
        <sz val="11"/>
        <color theme="1"/>
        <rFont val="楷体_GB2312"/>
        <family val="3"/>
        <charset val="134"/>
      </rPr>
      <t>评价环境状况较好。</t>
    </r>
    <phoneticPr fontId="4" type="noConversion"/>
  </si>
  <si>
    <t>周边有玉泉路16号院、莲玉嘉园、重聚园、依翠园、诗景长安等居住社区，综合评价居住社区成熟度较好。</t>
  </si>
  <si>
    <t>城市次干道—鲁谷路</t>
    <phoneticPr fontId="4" type="noConversion"/>
  </si>
  <si>
    <t>估价对象所在区域公共配套设施较好</t>
    <phoneticPr fontId="4" type="noConversion"/>
  </si>
  <si>
    <t>七通一平</t>
    <phoneticPr fontId="4" type="noConversion"/>
  </si>
  <si>
    <t>自然环境：北京国际雕塑公园、老山城市休闲公园、莲花河等；人文环境：中国科学院大学等；综合评价环境状况较好。</t>
    <phoneticPr fontId="4" type="noConversion"/>
  </si>
  <si>
    <t>城市次干道—鲁谷村</t>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</si>
</sst>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2">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name val="宋体"/>
      <family val="3"/>
      <charset val="134"/>
      <scheme val="minor"/>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49" fontId="92" fillId="0" borderId="19" xfId="0" applyNumberFormat="1" applyFont="1" applyFill="1" applyBorder="1" applyAlignment="1" applyProtection="1">
      <alignment horizontal="center" vertical="center" wrapText="1"/>
      <protection locked="0"/>
    </xf>
    <xf numFmtId="10" fontId="98" fillId="0" borderId="1" xfId="0" applyNumberFormat="1" applyFont="1" applyFill="1" applyBorder="1" applyAlignment="1" applyProtection="1">
      <alignment horizontal="center" vertical="center"/>
      <protection locked="0"/>
    </xf>
    <xf numFmtId="0" fontId="138" fillId="6" borderId="1" xfId="0" applyFont="1" applyFill="1" applyBorder="1" applyAlignment="1" applyProtection="1">
      <alignment horizontal="center" vertical="center" wrapText="1"/>
      <protection locked="0"/>
    </xf>
    <xf numFmtId="0" fontId="138" fillId="0" borderId="61" xfId="0" applyNumberFormat="1" applyFont="1" applyFill="1" applyBorder="1" applyAlignment="1" applyProtection="1">
      <alignment horizontal="center" vertical="center" wrapText="1"/>
      <protection locked="0"/>
    </xf>
    <xf numFmtId="49" fontId="251" fillId="0" borderId="31" xfId="0" applyNumberFormat="1" applyFont="1" applyFill="1" applyBorder="1" applyAlignment="1" applyProtection="1">
      <alignment horizontal="center" vertical="center" wrapText="1"/>
      <protection locked="0"/>
    </xf>
    <xf numFmtId="0" fontId="251" fillId="0" borderId="6" xfId="0" applyFont="1" applyBorder="1" applyAlignment="1" applyProtection="1">
      <alignment horizontal="center" vertical="center" wrapText="1"/>
      <protection locked="0"/>
    </xf>
    <xf numFmtId="0" fontId="119" fillId="0" borderId="23" xfId="0" applyNumberFormat="1" applyFont="1" applyFill="1" applyBorder="1" applyAlignment="1" applyProtection="1">
      <alignment horizontal="center" vertical="center" wrapText="1"/>
      <protection locked="0"/>
    </xf>
    <xf numFmtId="49" fontId="251" fillId="0" borderId="6"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49" fontId="244" fillId="0" borderId="31" xfId="0" applyNumberFormat="1" applyFont="1" applyFill="1" applyBorder="1" applyAlignment="1" applyProtection="1">
      <alignment horizontal="center" vertical="center" wrapText="1"/>
      <protection locked="0"/>
    </xf>
    <xf numFmtId="0" fontId="244" fillId="0" borderId="6" xfId="0" applyFont="1" applyBorder="1" applyAlignment="1" applyProtection="1">
      <alignment horizontal="center" vertical="center" wrapText="1"/>
      <protection locked="0"/>
    </xf>
    <xf numFmtId="49" fontId="244" fillId="0" borderId="6"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552450</xdr:colOff>
      <xdr:row>9</xdr:row>
      <xdr:rowOff>85725</xdr:rowOff>
    </xdr:to>
    <xdr:pic>
      <xdr:nvPicPr>
        <xdr:cNvPr id="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8915400" y="0"/>
          <a:ext cx="7410450" cy="1628775"/>
        </a:xfrm>
        <a:prstGeom prst="rect">
          <a:avLst/>
        </a:prstGeom>
        <a:noFill/>
        <a:ln w="1">
          <a:noFill/>
          <a:miter lim="800000"/>
          <a:headEnd/>
          <a:tailEnd type="none" w="med" len="med"/>
        </a:ln>
        <a:effectLst/>
      </xdr:spPr>
    </xdr:pic>
    <xdr:clientData/>
  </xdr:twoCellAnchor>
  <xdr:twoCellAnchor editAs="oneCell">
    <xdr:from>
      <xdr:col>1</xdr:col>
      <xdr:colOff>0</xdr:colOff>
      <xdr:row>10</xdr:row>
      <xdr:rowOff>0</xdr:rowOff>
    </xdr:from>
    <xdr:to>
      <xdr:col>11</xdr:col>
      <xdr:colOff>552450</xdr:colOff>
      <xdr:row>28</xdr:row>
      <xdr:rowOff>66675</xdr:rowOff>
    </xdr:to>
    <xdr:pic>
      <xdr:nvPicPr>
        <xdr:cNvPr id="6451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8915400" y="1714500"/>
          <a:ext cx="7410450" cy="3152775"/>
        </a:xfrm>
        <a:prstGeom prst="rect">
          <a:avLst/>
        </a:prstGeom>
        <a:noFill/>
        <a:ln w="1">
          <a:noFill/>
          <a:miter lim="800000"/>
          <a:headEnd/>
          <a:tailEnd type="none" w="med" len="med"/>
        </a:ln>
        <a:effectLst/>
      </xdr:spPr>
    </xdr:pic>
    <xdr:clientData/>
  </xdr:twoCellAnchor>
  <xdr:twoCellAnchor editAs="oneCell">
    <xdr:from>
      <xdr:col>1</xdr:col>
      <xdr:colOff>0</xdr:colOff>
      <xdr:row>29</xdr:row>
      <xdr:rowOff>0</xdr:rowOff>
    </xdr:from>
    <xdr:to>
      <xdr:col>11</xdr:col>
      <xdr:colOff>561975</xdr:colOff>
      <xdr:row>38</xdr:row>
      <xdr:rowOff>161925</xdr:rowOff>
    </xdr:to>
    <xdr:pic>
      <xdr:nvPicPr>
        <xdr:cNvPr id="64520"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8915400" y="4972050"/>
          <a:ext cx="7419975" cy="1704975"/>
        </a:xfrm>
        <a:prstGeom prst="rect">
          <a:avLst/>
        </a:prstGeom>
        <a:noFill/>
        <a:ln w="1">
          <a:noFill/>
          <a:miter lim="800000"/>
          <a:headEnd/>
          <a:tailEnd type="none" w="med" len="med"/>
        </a:ln>
        <a:effectLst/>
      </xdr:spPr>
    </xdr:pic>
    <xdr:clientData/>
  </xdr:twoCellAnchor>
  <xdr:twoCellAnchor editAs="oneCell">
    <xdr:from>
      <xdr:col>1</xdr:col>
      <xdr:colOff>0</xdr:colOff>
      <xdr:row>40</xdr:row>
      <xdr:rowOff>0</xdr:rowOff>
    </xdr:from>
    <xdr:to>
      <xdr:col>11</xdr:col>
      <xdr:colOff>647700</xdr:colOff>
      <xdr:row>58</xdr:row>
      <xdr:rowOff>0</xdr:rowOff>
    </xdr:to>
    <xdr:pic>
      <xdr:nvPicPr>
        <xdr:cNvPr id="64521"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8915400" y="6858000"/>
          <a:ext cx="7505700" cy="30861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104775</xdr:colOff>
      <xdr:row>16</xdr:row>
      <xdr:rowOff>254183</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6962775" cy="4235633"/>
        </a:xfrm>
        <a:prstGeom prst="rect">
          <a:avLst/>
        </a:prstGeom>
        <a:noFill/>
        <a:ln w="1">
          <a:noFill/>
          <a:miter lim="800000"/>
          <a:headEnd/>
          <a:tailEnd type="none" w="med" len="med"/>
        </a:ln>
        <a:effectLst/>
      </xdr:spPr>
    </xdr:pic>
    <xdr:clientData/>
  </xdr:twoCellAnchor>
  <xdr:twoCellAnchor editAs="oneCell">
    <xdr:from>
      <xdr:col>11</xdr:col>
      <xdr:colOff>83672</xdr:colOff>
      <xdr:row>2</xdr:row>
      <xdr:rowOff>123825</xdr:rowOff>
    </xdr:from>
    <xdr:to>
      <xdr:col>17</xdr:col>
      <xdr:colOff>238125</xdr:colOff>
      <xdr:row>12</xdr:row>
      <xdr:rowOff>657225</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941672" y="466725"/>
          <a:ext cx="4269253" cy="3114675"/>
        </a:xfrm>
        <a:prstGeom prst="rect">
          <a:avLst/>
        </a:prstGeom>
        <a:noFill/>
        <a:ln w="1">
          <a:noFill/>
          <a:miter lim="800000"/>
          <a:headEnd/>
          <a:tailEnd type="none" w="med" len="med"/>
        </a:ln>
        <a:effectLst/>
      </xdr:spPr>
    </xdr:pic>
    <xdr:clientData/>
  </xdr:twoCellAnchor>
  <xdr:twoCellAnchor editAs="oneCell">
    <xdr:from>
      <xdr:col>1</xdr:col>
      <xdr:colOff>0</xdr:colOff>
      <xdr:row>27</xdr:row>
      <xdr:rowOff>0</xdr:rowOff>
    </xdr:from>
    <xdr:to>
      <xdr:col>11</xdr:col>
      <xdr:colOff>132341</xdr:colOff>
      <xdr:row>49</xdr:row>
      <xdr:rowOff>114300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629150"/>
          <a:ext cx="6990341" cy="4219575"/>
        </a:xfrm>
        <a:prstGeom prst="rect">
          <a:avLst/>
        </a:prstGeom>
        <a:noFill/>
        <a:ln w="1">
          <a:noFill/>
          <a:miter lim="800000"/>
          <a:headEnd/>
          <a:tailEnd type="none" w="med" len="med"/>
        </a:ln>
        <a:effectLst/>
      </xdr:spPr>
    </xdr:pic>
    <xdr:clientData/>
  </xdr:twoCellAnchor>
  <xdr:twoCellAnchor editAs="oneCell">
    <xdr:from>
      <xdr:col>11</xdr:col>
      <xdr:colOff>127670</xdr:colOff>
      <xdr:row>29</xdr:row>
      <xdr:rowOff>66675</xdr:rowOff>
    </xdr:from>
    <xdr:to>
      <xdr:col>17</xdr:col>
      <xdr:colOff>247650</xdr:colOff>
      <xdr:row>44</xdr:row>
      <xdr:rowOff>47625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985670" y="5038725"/>
          <a:ext cx="4234780" cy="2867025"/>
        </a:xfrm>
        <a:prstGeom prst="rect">
          <a:avLst/>
        </a:prstGeom>
        <a:noFill/>
        <a:ln w="1">
          <a:noFill/>
          <a:miter lim="800000"/>
          <a:headEnd/>
          <a:tailEnd type="none" w="med" len="med"/>
        </a:ln>
        <a:effectLst/>
      </xdr:spPr>
    </xdr:pic>
    <xdr:clientData/>
  </xdr:twoCellAnchor>
  <xdr:twoCellAnchor editAs="oneCell">
    <xdr:from>
      <xdr:col>1</xdr:col>
      <xdr:colOff>1</xdr:colOff>
      <xdr:row>53</xdr:row>
      <xdr:rowOff>0</xdr:rowOff>
    </xdr:from>
    <xdr:to>
      <xdr:col>11</xdr:col>
      <xdr:colOff>171451</xdr:colOff>
      <xdr:row>78</xdr:row>
      <xdr:rowOff>29256</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419101" y="9086850"/>
          <a:ext cx="7029450" cy="4315506"/>
        </a:xfrm>
        <a:prstGeom prst="rect">
          <a:avLst/>
        </a:prstGeom>
        <a:noFill/>
        <a:ln w="1">
          <a:noFill/>
          <a:miter lim="800000"/>
          <a:headEnd/>
          <a:tailEnd type="none" w="med" len="med"/>
        </a:ln>
        <a:effectLst/>
      </xdr:spPr>
    </xdr:pic>
    <xdr:clientData/>
  </xdr:twoCellAnchor>
  <xdr:twoCellAnchor editAs="oneCell">
    <xdr:from>
      <xdr:col>11</xdr:col>
      <xdr:colOff>198380</xdr:colOff>
      <xdr:row>54</xdr:row>
      <xdr:rowOff>66675</xdr:rowOff>
    </xdr:from>
    <xdr:to>
      <xdr:col>17</xdr:col>
      <xdr:colOff>257175</xdr:colOff>
      <xdr:row>71</xdr:row>
      <xdr:rowOff>76200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475480" y="9324975"/>
          <a:ext cx="4173595" cy="2924175"/>
        </a:xfrm>
        <a:prstGeom prst="rect">
          <a:avLst/>
        </a:prstGeom>
        <a:noFill/>
        <a:ln w="1">
          <a:noFill/>
          <a:miter lim="800000"/>
          <a:headEnd/>
          <a:tailEnd type="none" w="med" len="med"/>
        </a:ln>
        <a:effectLst/>
      </xdr:spPr>
    </xdr:pic>
    <xdr:clientData/>
  </xdr:twoCellAnchor>
  <xdr:twoCellAnchor editAs="oneCell">
    <xdr:from>
      <xdr:col>1</xdr:col>
      <xdr:colOff>0</xdr:colOff>
      <xdr:row>80</xdr:row>
      <xdr:rowOff>0</xdr:rowOff>
    </xdr:from>
    <xdr:to>
      <xdr:col>11</xdr:col>
      <xdr:colOff>180975</xdr:colOff>
      <xdr:row>104</xdr:row>
      <xdr:rowOff>162472</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419100" y="13716000"/>
          <a:ext cx="7038975" cy="4277272"/>
        </a:xfrm>
        <a:prstGeom prst="rect">
          <a:avLst/>
        </a:prstGeom>
        <a:noFill/>
        <a:ln w="1">
          <a:noFill/>
          <a:miter lim="800000"/>
          <a:headEnd/>
          <a:tailEnd type="none" w="med" len="med"/>
        </a:ln>
        <a:effectLst/>
      </xdr:spPr>
    </xdr:pic>
    <xdr:clientData/>
  </xdr:twoCellAnchor>
  <xdr:twoCellAnchor editAs="oneCell">
    <xdr:from>
      <xdr:col>11</xdr:col>
      <xdr:colOff>146874</xdr:colOff>
      <xdr:row>82</xdr:row>
      <xdr:rowOff>9525</xdr:rowOff>
    </xdr:from>
    <xdr:to>
      <xdr:col>17</xdr:col>
      <xdr:colOff>95249</xdr:colOff>
      <xdr:row>98</xdr:row>
      <xdr:rowOff>152400</xdr:rowOff>
    </xdr:to>
    <xdr:pic>
      <xdr:nvPicPr>
        <xdr:cNvPr id="64520"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423974" y="14068425"/>
          <a:ext cx="4063175" cy="28860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666750</xdr:colOff>
      <xdr:row>27</xdr:row>
      <xdr:rowOff>120199</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24750" cy="4749349"/>
        </a:xfrm>
        <a:prstGeom prst="rect">
          <a:avLst/>
        </a:prstGeom>
        <a:noFill/>
        <a:ln w="1">
          <a:noFill/>
          <a:miter lim="800000"/>
          <a:headEnd/>
          <a:tailEnd type="none" w="med" len="med"/>
        </a:ln>
        <a:effectLst/>
      </xdr:spPr>
    </xdr:pic>
    <xdr:clientData/>
  </xdr:twoCellAnchor>
  <xdr:twoCellAnchor editAs="oneCell">
    <xdr:from>
      <xdr:col>11</xdr:col>
      <xdr:colOff>625067</xdr:colOff>
      <xdr:row>1</xdr:row>
      <xdr:rowOff>123825</xdr:rowOff>
    </xdr:from>
    <xdr:to>
      <xdr:col>18</xdr:col>
      <xdr:colOff>9525</xdr:colOff>
      <xdr:row>18</xdr:row>
      <xdr:rowOff>133350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83067" y="295275"/>
          <a:ext cx="4185058" cy="2924175"/>
        </a:xfrm>
        <a:prstGeom prst="rect">
          <a:avLst/>
        </a:prstGeom>
        <a:noFill/>
        <a:ln w="1">
          <a:noFill/>
          <a:miter lim="800000"/>
          <a:headEnd/>
          <a:tailEnd type="none" w="med" len="med"/>
        </a:ln>
        <a:effectLst/>
      </xdr:spPr>
    </xdr:pic>
    <xdr:clientData/>
  </xdr:twoCellAnchor>
  <xdr:twoCellAnchor editAs="oneCell">
    <xdr:from>
      <xdr:col>1</xdr:col>
      <xdr:colOff>1</xdr:colOff>
      <xdr:row>30</xdr:row>
      <xdr:rowOff>0</xdr:rowOff>
    </xdr:from>
    <xdr:to>
      <xdr:col>11</xdr:col>
      <xdr:colOff>619125</xdr:colOff>
      <xdr:row>57</xdr:row>
      <xdr:rowOff>139085</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 y="5143500"/>
          <a:ext cx="7477124" cy="4768235"/>
        </a:xfrm>
        <a:prstGeom prst="rect">
          <a:avLst/>
        </a:prstGeom>
        <a:noFill/>
        <a:ln w="1">
          <a:noFill/>
          <a:miter lim="800000"/>
          <a:headEnd/>
          <a:tailEnd type="none" w="med" len="med"/>
        </a:ln>
        <a:effectLst/>
      </xdr:spPr>
    </xdr:pic>
    <xdr:clientData/>
  </xdr:twoCellAnchor>
  <xdr:twoCellAnchor editAs="oneCell">
    <xdr:from>
      <xdr:col>11</xdr:col>
      <xdr:colOff>550645</xdr:colOff>
      <xdr:row>31</xdr:row>
      <xdr:rowOff>104775</xdr:rowOff>
    </xdr:from>
    <xdr:to>
      <xdr:col>17</xdr:col>
      <xdr:colOff>409574</xdr:colOff>
      <xdr:row>48</xdr:row>
      <xdr:rowOff>0</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408645" y="5419725"/>
          <a:ext cx="3973729" cy="2809875"/>
        </a:xfrm>
        <a:prstGeom prst="rect">
          <a:avLst/>
        </a:prstGeom>
        <a:noFill/>
        <a:ln w="1">
          <a:noFill/>
          <a:miter lim="800000"/>
          <a:headEnd/>
          <a:tailEnd type="none" w="med" len="med"/>
        </a:ln>
        <a:effectLst/>
      </xdr:spPr>
    </xdr:pic>
    <xdr:clientData/>
  </xdr:twoCellAnchor>
  <xdr:twoCellAnchor editAs="oneCell">
    <xdr:from>
      <xdr:col>1</xdr:col>
      <xdr:colOff>0</xdr:colOff>
      <xdr:row>59</xdr:row>
      <xdr:rowOff>0</xdr:rowOff>
    </xdr:from>
    <xdr:to>
      <xdr:col>11</xdr:col>
      <xdr:colOff>438150</xdr:colOff>
      <xdr:row>84</xdr:row>
      <xdr:rowOff>162958</xdr:rowOff>
    </xdr:to>
    <xdr:pic>
      <xdr:nvPicPr>
        <xdr:cNvPr id="65541"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333375" y="10115550"/>
          <a:ext cx="7296150" cy="4449208"/>
        </a:xfrm>
        <a:prstGeom prst="rect">
          <a:avLst/>
        </a:prstGeom>
        <a:noFill/>
        <a:ln w="1">
          <a:noFill/>
          <a:miter lim="800000"/>
          <a:headEnd/>
          <a:tailEnd type="none" w="med" len="med"/>
        </a:ln>
        <a:effectLst/>
      </xdr:spPr>
    </xdr:pic>
    <xdr:clientData/>
  </xdr:twoCellAnchor>
  <xdr:twoCellAnchor editAs="oneCell">
    <xdr:from>
      <xdr:col>11</xdr:col>
      <xdr:colOff>544408</xdr:colOff>
      <xdr:row>60</xdr:row>
      <xdr:rowOff>57151</xdr:rowOff>
    </xdr:from>
    <xdr:to>
      <xdr:col>17</xdr:col>
      <xdr:colOff>457200</xdr:colOff>
      <xdr:row>76</xdr:row>
      <xdr:rowOff>76201</xdr:rowOff>
    </xdr:to>
    <xdr:pic>
      <xdr:nvPicPr>
        <xdr:cNvPr id="65542"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735783" y="10344151"/>
          <a:ext cx="4027592" cy="2762250"/>
        </a:xfrm>
        <a:prstGeom prst="rect">
          <a:avLst/>
        </a:prstGeom>
        <a:noFill/>
        <a:ln w="1">
          <a:noFill/>
          <a:miter lim="800000"/>
          <a:headEnd/>
          <a:tailEnd type="none" w="med" len="med"/>
        </a:ln>
        <a:effectLst/>
      </xdr:spPr>
    </xdr:pic>
    <xdr:clientData/>
  </xdr:twoCellAnchor>
  <xdr:twoCellAnchor editAs="oneCell">
    <xdr:from>
      <xdr:col>1</xdr:col>
      <xdr:colOff>0</xdr:colOff>
      <xdr:row>88</xdr:row>
      <xdr:rowOff>0</xdr:rowOff>
    </xdr:from>
    <xdr:to>
      <xdr:col>12</xdr:col>
      <xdr:colOff>114300</xdr:colOff>
      <xdr:row>116</xdr:row>
      <xdr:rowOff>40038</xdr:rowOff>
    </xdr:to>
    <xdr:pic>
      <xdr:nvPicPr>
        <xdr:cNvPr id="65543"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5087600"/>
          <a:ext cx="7658100" cy="4840638"/>
        </a:xfrm>
        <a:prstGeom prst="rect">
          <a:avLst/>
        </a:prstGeom>
        <a:noFill/>
        <a:ln w="1">
          <a:noFill/>
          <a:miter lim="800000"/>
          <a:headEnd/>
          <a:tailEnd type="none" w="med" len="med"/>
        </a:ln>
        <a:effectLst/>
      </xdr:spPr>
    </xdr:pic>
    <xdr:clientData/>
  </xdr:twoCellAnchor>
  <xdr:twoCellAnchor editAs="oneCell">
    <xdr:from>
      <xdr:col>11</xdr:col>
      <xdr:colOff>614612</xdr:colOff>
      <xdr:row>89</xdr:row>
      <xdr:rowOff>123825</xdr:rowOff>
    </xdr:from>
    <xdr:to>
      <xdr:col>18</xdr:col>
      <xdr:colOff>95249</xdr:colOff>
      <xdr:row>107</xdr:row>
      <xdr:rowOff>38100</xdr:rowOff>
    </xdr:to>
    <xdr:pic>
      <xdr:nvPicPr>
        <xdr:cNvPr id="65544"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805987" y="15382875"/>
          <a:ext cx="4281237" cy="30003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估价对象为北京市房地产，为所有。根据《不动产权证书》[]，估价对象建筑面积为137.41平方米，（分摊）出让国有建设用地使用权面积为平方米。估价对象用途为。</v>
      </c>
    </row>
    <row r="8" spans="1:2">
      <c r="A8" s="1703" t="s">
        <v>1116</v>
      </c>
      <c r="B8" s="1690" t="str">
        <f>'预评函-1'!A8</f>
        <v>为估价委托人了解估价对象房地产市场价值提供参考依据。</v>
      </c>
    </row>
    <row r="9" spans="1:2">
      <c r="A9" s="1703" t="s">
        <v>1117</v>
      </c>
      <c r="B9" s="1690" t="str">
        <f>'预评函-1'!A10</f>
        <v>2017年12月14日（评估专业人员实地查勘之日）</v>
      </c>
    </row>
    <row r="10" spans="1:2">
      <c r="A10" s="1703" t="s">
        <v>1118</v>
      </c>
      <c r="B10" s="1690" t="str">
        <f>'预评函-1'!A13</f>
        <v>本次估价的“房地产价值”是指在正常市场情况下，在价值时点2017年12月14日，估价对象规划用途为，假定未设立法定优先受偿款下的房地产市场价值。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本次评估采用的主估价方法为比较法和收益法。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137.41</v>
      </c>
    </row>
    <row r="19" spans="1:2">
      <c r="A19" s="1703" t="s">
        <v>1127</v>
      </c>
      <c r="B19" s="1690">
        <f ca="1">'预评函-2（1）'!D7</f>
        <v>9414921</v>
      </c>
    </row>
    <row r="20" spans="1:2">
      <c r="A20" s="1703" t="s">
        <v>1165</v>
      </c>
      <c r="B20" s="1690" t="str">
        <f>'预评函-2（1）'!C7</f>
        <v>总价（元）</v>
      </c>
    </row>
    <row r="21" spans="1:2">
      <c r="A21" s="1703" t="s">
        <v>1128</v>
      </c>
      <c r="B21" s="1690">
        <f ca="1">'预评函-2（1）'!D9</f>
        <v>68517</v>
      </c>
    </row>
    <row r="22" spans="1:2">
      <c r="A22" s="1703" t="s">
        <v>1129</v>
      </c>
      <c r="B22" s="1690" t="str">
        <f ca="1">'预评函-2（1）'!D8</f>
        <v>玖佰肆拾壹万肆仟玖佰贰拾壹元整</v>
      </c>
    </row>
    <row r="23" spans="1:2">
      <c r="A23" s="1703" t="s">
        <v>1166</v>
      </c>
      <c r="B23" s="1690">
        <f>'预评函-2（1）'!D10</f>
        <v>871</v>
      </c>
    </row>
    <row r="24" spans="1:2">
      <c r="A24" s="1703" t="s">
        <v>1167</v>
      </c>
      <c r="B24" s="1690" t="str">
        <f>'预评函-2（1）'!C10</f>
        <v>总额（元）</v>
      </c>
    </row>
    <row r="25" spans="1:2">
      <c r="A25" s="1703" t="s">
        <v>1130</v>
      </c>
      <c r="B25" s="1690" t="str">
        <f>'预评函-2（1）'!D11</f>
        <v>捌佰柒拾壹元整</v>
      </c>
    </row>
    <row r="26" spans="1:2">
      <c r="A26" s="1703" t="s">
        <v>1131</v>
      </c>
      <c r="B26" s="1690">
        <f>'预评函-2（1）'!D12</f>
        <v>0</v>
      </c>
    </row>
    <row r="27" spans="1:2">
      <c r="A27" s="1703" t="s">
        <v>1132</v>
      </c>
      <c r="B27" s="1690">
        <f>'预评函-2（1）'!D13</f>
        <v>0</v>
      </c>
    </row>
    <row r="28" spans="1:2">
      <c r="A28" s="1703" t="s">
        <v>1133</v>
      </c>
      <c r="B28" s="1690">
        <f>'预评函-2（1）'!D14</f>
        <v>871</v>
      </c>
    </row>
    <row r="29" spans="1:2">
      <c r="A29" s="1703" t="s">
        <v>1134</v>
      </c>
      <c r="B29" s="1690">
        <f ca="1">'预评函-2（1）'!D15</f>
        <v>9414050</v>
      </c>
    </row>
    <row r="30" spans="1:2">
      <c r="A30" s="1703" t="s">
        <v>1135</v>
      </c>
      <c r="B30" s="1690" t="str">
        <f ca="1">'预评函-2（1）'!D16</f>
        <v>玖佰肆拾壹万肆仟零伍拾元整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8426393</v>
      </c>
    </row>
    <row r="38" spans="1:2">
      <c r="A38" s="1703" t="s">
        <v>1143</v>
      </c>
      <c r="B38" s="1690">
        <f ca="1">'预评函-2（2）'!E4</f>
        <v>61323</v>
      </c>
    </row>
    <row r="39" spans="1:2">
      <c r="A39" s="1703" t="s">
        <v>1144</v>
      </c>
      <c r="B39" s="1690" t="str">
        <f ca="1">'预评函-2（2）'!D5</f>
        <v>捌佰肆拾贰万陆仟叁佰玖拾叁元整</v>
      </c>
    </row>
    <row r="40" spans="1:2">
      <c r="A40" s="1703" t="s">
        <v>1145</v>
      </c>
      <c r="B40" s="1690">
        <f ca="1">'预评函-2（2）'!F4</f>
        <v>988528</v>
      </c>
    </row>
    <row r="41" spans="1:2">
      <c r="A41" s="1703" t="s">
        <v>1146</v>
      </c>
      <c r="B41" s="1690">
        <f ca="1">'预评函-2（2）'!G4</f>
        <v>7194</v>
      </c>
    </row>
    <row r="42" spans="1:2" s="1700" customFormat="1" ht="15.75" thickBot="1">
      <c r="A42" s="1704" t="s">
        <v>1147</v>
      </c>
      <c r="B42" s="1692" t="str">
        <f ca="1">'预评函-2（2）'!F5</f>
        <v>玖拾捌万捌仟伍佰贰拾捌元整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68511</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估价对象为北京市房地产，为所有。根据《不动产权证书》[]，估价对象建筑面积为137.41平方米，（分摊）出让国有建设用地使用权面积为平方米。估价对象用途为。</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2017年12月14日（评估专业人员实地查勘之日）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2"/>
      <c r="C2" s="2782"/>
      <c r="D2" s="2782"/>
      <c r="E2" s="2782"/>
    </row>
    <row r="3" spans="1:5" ht="13.5" customHeight="1">
      <c r="A3" s="1931"/>
      <c r="B3" s="1931"/>
      <c r="C3" s="1931"/>
      <c r="D3" s="1931"/>
      <c r="E3" s="1931"/>
    </row>
    <row r="4" spans="1:5" ht="19.5" thickBot="1">
      <c r="A4" s="2783" t="str">
        <f>IF(项目基本情况!D5="房地产市场价值","估价结果一览表（市场价值不需本页表格)","估价结果一览表")</f>
        <v>估价结果一览表</v>
      </c>
      <c r="B4" s="2783"/>
      <c r="C4" s="2783"/>
      <c r="D4" s="2783"/>
      <c r="E4" s="2783"/>
    </row>
    <row r="5" spans="1:5" ht="14.25" customHeight="1" thickTop="1">
      <c r="A5" s="1928"/>
      <c r="B5" s="1932" t="s">
        <v>742</v>
      </c>
      <c r="C5" s="2784" t="s">
        <v>784</v>
      </c>
      <c r="D5" s="2785"/>
      <c r="E5" s="1928"/>
    </row>
    <row r="6" spans="1:5" ht="14.25">
      <c r="A6" s="1928"/>
      <c r="B6" s="1933" t="str">
        <f>项目基本情况!I1</f>
        <v>北京市房地产</v>
      </c>
      <c r="C6" s="2786">
        <f>项目基本情况!C12</f>
        <v>137.41</v>
      </c>
      <c r="D6" s="2786"/>
      <c r="E6" s="1928"/>
    </row>
    <row r="7" spans="1:5" ht="14.25">
      <c r="A7" s="1928"/>
      <c r="B7" s="2780" t="s">
        <v>785</v>
      </c>
      <c r="C7" s="1934" t="str">
        <f>IF('数据-取费表'!B3="万元","总价（万元）","总价（元）")</f>
        <v>总价（元）</v>
      </c>
      <c r="D7" s="1935">
        <f ca="1">IF('数据-取费表'!E3="否",结果表!I102,'结果表 (1修多)'!I103)</f>
        <v>9414921</v>
      </c>
      <c r="E7" s="1928"/>
    </row>
    <row r="8" spans="1:5" ht="28.5">
      <c r="A8" s="1928"/>
      <c r="B8" s="2780"/>
      <c r="C8" s="1936" t="s">
        <v>1177</v>
      </c>
      <c r="D8" s="1937" t="str">
        <f ca="1">IF('数据-取费表'!B3="万元",NUMBERSTRING(INT(D7*10000),2)&amp;"元整",NUMBERSTRING(INT(D7),2)&amp;"元整")</f>
        <v>玖佰肆拾壹万肆仟玖佰贰拾壹元整</v>
      </c>
      <c r="E8" s="1928"/>
    </row>
    <row r="9" spans="1:5" ht="14.25">
      <c r="A9" s="1928"/>
      <c r="B9" s="2780"/>
      <c r="C9" s="1938" t="s">
        <v>1275</v>
      </c>
      <c r="D9" s="1935">
        <f ca="1">IF('数据-取费表'!E3="否",结果表!I103,'结果表 (1修多)'!I104)</f>
        <v>68517</v>
      </c>
      <c r="E9" s="1928"/>
    </row>
    <row r="10" spans="1:5" ht="14.25">
      <c r="A10" s="1928"/>
      <c r="B10" s="2787" t="str">
        <f>IF('数据-取费表'!E3="否",结果表!F105,'结果表 (1修多)'!F106)</f>
        <v>2.估价师所知悉的法定优先受偿款</v>
      </c>
      <c r="C10" s="1939" t="str">
        <f>IF('数据-取费表'!B3="万元","总额（万元）","总额（元）")</f>
        <v>总额（元）</v>
      </c>
      <c r="D10" s="1935">
        <f>IF('数据-取费表'!E3="否",结果表!I105,'结果表 (1修多)'!I106)</f>
        <v>871</v>
      </c>
      <c r="E10" s="1928"/>
    </row>
    <row r="11" spans="1:5" ht="14.25">
      <c r="A11" s="1928"/>
      <c r="B11" s="2787"/>
      <c r="C11" s="1936" t="s">
        <v>1177</v>
      </c>
      <c r="D11" s="1937" t="str">
        <f>IF('数据-取费表'!B3="万元",NUMBERSTRING(INT(D10*10000),2)&amp;"元整",NUMBERSTRING(INT(D10),2)&amp;"元整")</f>
        <v>捌佰柒拾壹元整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871</v>
      </c>
      <c r="E14" s="1928"/>
    </row>
    <row r="15" spans="1:5" ht="14.25">
      <c r="A15" s="1928"/>
      <c r="B15" s="2787" t="str">
        <f>IF('数据-取费表'!E3="否",结果表!F110,'结果表 (1修多)'!F111)</f>
        <v>3.房地产抵押价值</v>
      </c>
      <c r="C15" s="1929" t="str">
        <f>C7</f>
        <v>总价（元）</v>
      </c>
      <c r="D15" s="1935">
        <f ca="1">IF('数据-取费表'!E3="否",结果表!I110,'结果表 (1修多)'!I111)</f>
        <v>9414050</v>
      </c>
      <c r="E15" s="1928"/>
    </row>
    <row r="16" spans="1:5" ht="28.5">
      <c r="A16" s="1928"/>
      <c r="B16" s="2787"/>
      <c r="C16" s="1936" t="s">
        <v>1177</v>
      </c>
      <c r="D16" s="1935" t="str">
        <f ca="1">IF('数据-取费表'!B3="万元",NUMBERSTRING(INT(D15*10000),2)&amp;"元整",NUMBERSTRING(INT(D15),2)&amp;"元整")</f>
        <v>玖佰肆拾壹万肆仟零伍拾元整</v>
      </c>
      <c r="E16" s="1928"/>
    </row>
    <row r="17" spans="1:5" ht="14.25">
      <c r="A17" s="1928"/>
      <c r="B17" s="2787"/>
      <c r="C17" s="1938" t="s">
        <v>1275</v>
      </c>
      <c r="D17" s="1935">
        <f ca="1">IF('数据-取费表'!E3="否",结果表!I111,'结果表 (1修多)'!I112)</f>
        <v>68511</v>
      </c>
      <c r="E17" s="1928"/>
    </row>
    <row r="18" spans="1:5" ht="14.25">
      <c r="A18" s="1928"/>
      <c r="B18" s="2787" t="str">
        <f>IF('数据-取费表'!E3="否",结果表!F112,'结果表 (1修多)'!F113)</f>
        <v>——</v>
      </c>
      <c r="C18" s="1929" t="str">
        <f>C7</f>
        <v>总价（元）</v>
      </c>
      <c r="D18" s="1935" t="str">
        <f>IF('数据-取费表'!E3="否",结果表!I112,'结果表 (1修多)'!I113)</f>
        <v>——</v>
      </c>
      <c r="E18" s="1928"/>
    </row>
    <row r="19" spans="1:5" ht="14.25">
      <c r="A19" s="1928"/>
      <c r="B19" s="2787"/>
      <c r="C19" s="1936" t="s">
        <v>1177</v>
      </c>
      <c r="D19" s="1935" t="e">
        <f>IF('数据-取费表'!B3="万元",NUMBERSTRING(INT(D18*10000),2)&amp;"元整",NUMBERSTRING(INT(D18),2)&amp;"元整")</f>
        <v>#VALUE!</v>
      </c>
      <c r="E19" s="1928"/>
    </row>
    <row r="20" spans="1:5" ht="14.25">
      <c r="A20" s="1928"/>
      <c r="B20" s="2787"/>
      <c r="C20" s="1938" t="s">
        <v>1275</v>
      </c>
      <c r="D20" s="1935" t="str">
        <f>IF('数据-取费表'!E3="否",结果表!I113,'结果表 (1修多)'!I114)</f>
        <v>——</v>
      </c>
      <c r="E20" s="1928"/>
    </row>
    <row r="21" spans="1:5" ht="14.25">
      <c r="A21" s="1928"/>
      <c r="B21" s="2780" t="str">
        <f>IF('数据-取费表'!E3="否",结果表!F114,'结果表 (1修多)'!F115)</f>
        <v>——</v>
      </c>
      <c r="C21" s="1934" t="str">
        <f>C7</f>
        <v>总价（元）</v>
      </c>
      <c r="D21" s="1935" t="str">
        <f>IF('数据-取费表'!E3="否",结果表!I114,'结果表 (1修多)'!I115)</f>
        <v>——</v>
      </c>
      <c r="E21" s="1928"/>
    </row>
    <row r="22" spans="1:5" ht="14.25">
      <c r="A22" s="1928"/>
      <c r="B22" s="2780"/>
      <c r="C22" s="1936" t="s">
        <v>1177</v>
      </c>
      <c r="D22" s="1937" t="e">
        <f>IF('数据-取费表'!B3="万元",NUMBERSTRING(INT(D21*10000),2)&amp;"元整",NUMBERSTRING(INT(D21),2)&amp;"元整")</f>
        <v>#VALUE!</v>
      </c>
      <c r="E22" s="1928"/>
    </row>
    <row r="23" spans="1:5" ht="15" thickBot="1">
      <c r="A23" s="1928"/>
      <c r="B23" s="2781"/>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72" t="s">
        <v>1276</v>
      </c>
      <c r="C25" s="2772"/>
      <c r="D25" s="2772"/>
      <c r="E25" s="1928"/>
    </row>
    <row r="26" spans="1:5" ht="18.75" customHeight="1" thickTop="1">
      <c r="A26" s="1928"/>
      <c r="B26" s="2775" t="s">
        <v>1176</v>
      </c>
      <c r="C26" s="2776"/>
      <c r="D26" s="2773" t="s">
        <v>1175</v>
      </c>
      <c r="E26" s="1928"/>
    </row>
    <row r="27" spans="1:5" ht="18.75" customHeight="1">
      <c r="A27" s="1928"/>
      <c r="B27" s="2777"/>
      <c r="C27" s="2778"/>
      <c r="D27" s="2774"/>
      <c r="E27" s="1928"/>
    </row>
    <row r="28" spans="1:5" ht="14.25">
      <c r="A28" s="1928"/>
      <c r="B28" s="2765" t="s">
        <v>785</v>
      </c>
      <c r="C28" s="1945" t="s">
        <v>1178</v>
      </c>
      <c r="D28" s="1946">
        <f ca="1">IF('数据-取费表'!E3="否",结果表!I102,'结果表 (1修多)'!I103)</f>
        <v>9414921</v>
      </c>
      <c r="E28" s="1928"/>
    </row>
    <row r="29" spans="1:5" ht="28.5">
      <c r="A29" s="1928"/>
      <c r="B29" s="2766"/>
      <c r="C29" s="1947" t="s">
        <v>1177</v>
      </c>
      <c r="D29" s="1948" t="str">
        <f ca="1">IF('数据-取费表'!B3="万元",NUMBERSTRING(INT(D28*10000),2)&amp;"元整",NUMBERSTRING(INT(D28),2)&amp;"元整")</f>
        <v>玖佰肆拾壹万肆仟玖佰贰拾壹元整</v>
      </c>
      <c r="E29" s="1928"/>
    </row>
    <row r="30" spans="1:5" ht="14.25">
      <c r="A30" s="1928"/>
      <c r="B30" s="2767"/>
      <c r="C30" s="1938" t="s">
        <v>1180</v>
      </c>
      <c r="D30" s="1949">
        <f ca="1">IF('数据-取费表'!E3="否",结果表!I103,'结果表 (1修多)'!I104)</f>
        <v>68517</v>
      </c>
      <c r="E30" s="1928"/>
    </row>
    <row r="31" spans="1:5" ht="14.25">
      <c r="A31" s="1928"/>
      <c r="B31" s="2770" t="str">
        <f>B10</f>
        <v>2.估价师所知悉的法定优先受偿款</v>
      </c>
      <c r="C31" s="1950" t="s">
        <v>1179</v>
      </c>
      <c r="D31" s="1951">
        <f>IF('数据-取费表'!E3="否",结果表!I105,'结果表 (1修多)'!I106)</f>
        <v>871</v>
      </c>
      <c r="E31" s="1928"/>
    </row>
    <row r="32" spans="1:5" ht="14.25">
      <c r="A32" s="1928"/>
      <c r="B32" s="2779"/>
      <c r="C32" s="1947" t="s">
        <v>1177</v>
      </c>
      <c r="D32" s="1952" t="str">
        <f>IF('数据-取费表'!B3="万元",NUMBERSTRING(INT(D31*10000),2)&amp;"元整",NUMBERSTRING(INT(D31),2)&amp;"元整")</f>
        <v>捌佰柒拾壹元整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871</v>
      </c>
      <c r="E35" s="1928"/>
    </row>
    <row r="36" spans="1:5" ht="14.25">
      <c r="A36" s="1928"/>
      <c r="B36" s="2768" t="str">
        <f>B15</f>
        <v>3.房地产抵押价值</v>
      </c>
      <c r="C36" s="1950" t="str">
        <f>C28</f>
        <v>总价</v>
      </c>
      <c r="D36" s="1951">
        <f ca="1">IF('数据-取费表'!E3="否",结果表!I110,'结果表 (1修多)'!I111)</f>
        <v>9414050</v>
      </c>
      <c r="E36" s="1928"/>
    </row>
    <row r="37" spans="1:5" ht="28.5">
      <c r="A37" s="1928"/>
      <c r="B37" s="2768"/>
      <c r="C37" s="1947" t="s">
        <v>1177</v>
      </c>
      <c r="D37" s="1952" t="str">
        <f ca="1">IF('数据-取费表'!B3="万元",NUMBERSTRING(INT(D36*10000),2)&amp;"元整",NUMBERSTRING(INT(D36),2)&amp;"元整")</f>
        <v>玖佰肆拾壹万肆仟零伍拾元整</v>
      </c>
      <c r="E37" s="1928"/>
    </row>
    <row r="38" spans="1:5" ht="14.25">
      <c r="A38" s="1928"/>
      <c r="B38" s="2768"/>
      <c r="C38" s="1938" t="s">
        <v>1181</v>
      </c>
      <c r="D38" s="1949">
        <f ca="1">IF('数据-取费表'!E3="否",结果表!D113,'结果表 (1修多)'!D116)</f>
        <v>68511</v>
      </c>
      <c r="E38" s="1928"/>
    </row>
    <row r="39" spans="1:5" ht="14.25">
      <c r="A39" s="1928"/>
      <c r="B39" s="2769" t="str">
        <f>B18</f>
        <v>——</v>
      </c>
      <c r="C39" s="1950" t="str">
        <f>C28</f>
        <v>总价</v>
      </c>
      <c r="D39" s="1951" t="str">
        <f>IF('数据-取费表'!E3="否",结果表!I112,'结果表 (1修多)'!I113)</f>
        <v>——</v>
      </c>
      <c r="E39" s="1928"/>
    </row>
    <row r="40" spans="1:5" ht="14.25">
      <c r="A40" s="1928"/>
      <c r="B40" s="2769"/>
      <c r="C40" s="1947" t="s">
        <v>1177</v>
      </c>
      <c r="D40" s="1952" t="e">
        <f>IF('数据-取费表'!B3="万元",NUMBERSTRING(INT(D39*10000),2)&amp;"元整",NUMBERSTRING(INT(D39),2)&amp;"元整")</f>
        <v>#VALUE!</v>
      </c>
      <c r="E40" s="1928"/>
    </row>
    <row r="41" spans="1:5" ht="14.25">
      <c r="A41" s="1928"/>
      <c r="B41" s="2769"/>
      <c r="C41" s="1938" t="s">
        <v>1181</v>
      </c>
      <c r="D41" s="1949" t="str">
        <f>IF('数据-取费表'!E3="否",结果表!D115,'结果表 (1修多)'!D118)</f>
        <v>——</v>
      </c>
      <c r="E41" s="1928"/>
    </row>
    <row r="42" spans="1:5" ht="14.25">
      <c r="A42" s="1928"/>
      <c r="B42" s="2768" t="str">
        <f>B21</f>
        <v>——</v>
      </c>
      <c r="C42" s="1950" t="str">
        <f>C28</f>
        <v>总价</v>
      </c>
      <c r="D42" s="1951" t="str">
        <f>IF('数据-取费表'!E3="否",结果表!I114,'结果表 (1修多)'!I115)</f>
        <v>——</v>
      </c>
      <c r="E42" s="1928"/>
    </row>
    <row r="43" spans="1:5" ht="14.25">
      <c r="A43" s="1928"/>
      <c r="B43" s="2770"/>
      <c r="C43" s="1947" t="s">
        <v>1177</v>
      </c>
      <c r="D43" s="1953" t="e">
        <f>IF('数据-取费表'!B3="万元",NUMBERSTRING(INT(D42*10000),2)&amp;"元整",NUMBERSTRING(INT(D42),2)&amp;"元整")</f>
        <v>#VALUE!</v>
      </c>
      <c r="E43" s="1928"/>
    </row>
    <row r="44" spans="1:5" ht="15" thickBot="1">
      <c r="A44" s="1928"/>
      <c r="B44" s="2771"/>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94" t="str">
        <f>IF(项目基本情况!D5="房地产市场价值","估价结果一览表","结果表-2")</f>
        <v>结果表-2</v>
      </c>
      <c r="B1" s="2794"/>
      <c r="C1" s="2794"/>
      <c r="D1" s="2794"/>
      <c r="E1" s="2794"/>
      <c r="F1" s="2794"/>
      <c r="G1" s="2794"/>
      <c r="H1" s="2794"/>
      <c r="I1" s="2794"/>
    </row>
    <row r="2" spans="1:9" ht="30" customHeight="1" thickTop="1">
      <c r="A2" s="2795" t="s">
        <v>1277</v>
      </c>
      <c r="B2" s="2795" t="s">
        <v>1278</v>
      </c>
      <c r="C2" s="2795" t="s">
        <v>1279</v>
      </c>
      <c r="D2" s="2795" t="str">
        <f>IF('数据-取费表'!E3="否",结果表!D119,'结果表 (1修多)'!D122)</f>
        <v>出让国有建设用地使用权价值</v>
      </c>
      <c r="E2" s="2795"/>
      <c r="F2" s="2795" t="s">
        <v>1280</v>
      </c>
      <c r="G2" s="2795"/>
      <c r="H2" s="2795" t="s">
        <v>1281</v>
      </c>
      <c r="I2" s="2795"/>
    </row>
    <row r="3" spans="1:9" ht="15">
      <c r="A3" s="2788"/>
      <c r="B3" s="2788"/>
      <c r="C3" s="2788"/>
      <c r="D3" s="1049" t="s">
        <v>1282</v>
      </c>
      <c r="E3" s="1049" t="s">
        <v>1283</v>
      </c>
      <c r="F3" s="1049" t="s">
        <v>1282</v>
      </c>
      <c r="G3" s="1049" t="s">
        <v>1284</v>
      </c>
      <c r="H3" s="1049" t="s">
        <v>1282</v>
      </c>
      <c r="I3" s="1049" t="s">
        <v>1284</v>
      </c>
    </row>
    <row r="4" spans="1:9" ht="46.5" customHeight="1">
      <c r="A4" s="1049" t="str">
        <f>项目基本情况!I1</f>
        <v>北京市房地产</v>
      </c>
      <c r="B4" s="1049">
        <f>结果表!B121</f>
        <v>137.41</v>
      </c>
      <c r="C4" s="1049">
        <f>结果表!C121</f>
        <v>0</v>
      </c>
      <c r="D4" s="1049">
        <f ca="1">IF('数据-取费表'!E3="否",结果表!D121,'结果表 (1修多)'!D124)</f>
        <v>8426393</v>
      </c>
      <c r="E4" s="1049">
        <f ca="1">IF('数据-取费表'!E3="否",结果表!E121,'结果表 (1修多)'!E124)</f>
        <v>61323</v>
      </c>
      <c r="F4" s="1049">
        <f ca="1">IF('数据-取费表'!E3="否",结果表!F121,'结果表 (1修多)'!F124)</f>
        <v>988528</v>
      </c>
      <c r="G4" s="1049">
        <f ca="1">IF('数据-取费表'!E3="否",结果表!G121,'结果表 (1修多)'!G124)</f>
        <v>7194</v>
      </c>
      <c r="H4" s="1049">
        <f ca="1">IF('数据-取费表'!E3="否",结果表!H121,'结果表 (1修多)'!H124)</f>
        <v>9414921</v>
      </c>
      <c r="I4" s="1049">
        <f ca="1">IF('数据-取费表'!E3="否",结果表!I121,'结果表 (1修多)'!I124)</f>
        <v>68517</v>
      </c>
    </row>
    <row r="5" spans="1:9" ht="15">
      <c r="A5" s="2788" t="s">
        <v>1285</v>
      </c>
      <c r="B5" s="2788"/>
      <c r="C5" s="2788"/>
      <c r="D5" s="2789" t="str">
        <f ca="1">IF('数据-取费表'!E3="否",结果表!D122,'结果表 (1修多)'!D125)</f>
        <v>捌佰肆拾贰万陆仟叁佰玖拾叁元整</v>
      </c>
      <c r="E5" s="2789"/>
      <c r="F5" s="2789" t="str">
        <f ca="1">IF('数据-取费表'!E3="否",结果表!F122,'结果表 (1修多)'!F125)</f>
        <v>玖拾捌万捌仟伍佰贰拾捌元整</v>
      </c>
      <c r="G5" s="2789"/>
      <c r="H5" s="2789" t="str">
        <f ca="1">IF('数据-取费表'!E3="否",结果表!H122,'结果表 (1修多)'!H125)</f>
        <v>玖佰肆拾壹万肆仟玖佰贰拾壹元整</v>
      </c>
      <c r="I5" s="2789"/>
    </row>
    <row r="6" spans="1:9" ht="15.75">
      <c r="A6" s="2790" t="str">
        <f>IF('数据-取费表'!E3="否",结果表!A123,'结果表 (1修多)'!A126)</f>
        <v>估价师所知悉的法定优先受偿款</v>
      </c>
      <c r="B6" s="2790"/>
      <c r="C6" s="2790"/>
      <c r="D6" s="2790">
        <f>IF('数据-取费表'!E3="否",结果表!D123,'结果表 (1修多)'!D126)</f>
        <v>871</v>
      </c>
      <c r="E6" s="2790"/>
      <c r="F6" s="2790"/>
      <c r="G6" s="2790"/>
      <c r="H6" s="2790"/>
      <c r="I6" s="2790"/>
    </row>
    <row r="7" spans="1:9" ht="15">
      <c r="A7" s="2788" t="s">
        <v>1285</v>
      </c>
      <c r="B7" s="2788"/>
      <c r="C7" s="2788"/>
      <c r="D7" s="2796">
        <f>IF('数据-取费表'!E3="否",结果表!D124,'结果表 (1修多)'!D127)</f>
        <v>0</v>
      </c>
      <c r="E7" s="2797"/>
      <c r="F7" s="2797"/>
      <c r="G7" s="2797"/>
      <c r="H7" s="2797"/>
      <c r="I7" s="2798"/>
    </row>
    <row r="8" spans="1:9" ht="15.75">
      <c r="A8" s="2790" t="str">
        <f>IF('数据-取费表'!E3="否",结果表!A125,'结果表 (1修多)'!A128)</f>
        <v>房地产抵押价值</v>
      </c>
      <c r="B8" s="2790"/>
      <c r="C8" s="2790"/>
      <c r="D8" s="2790">
        <f ca="1">IF('数据-取费表'!E3="否",结果表!D125,'结果表 (1修多)'!D128)</f>
        <v>9414050</v>
      </c>
      <c r="E8" s="2790"/>
      <c r="F8" s="2790"/>
      <c r="G8" s="2790"/>
      <c r="H8" s="2790"/>
      <c r="I8" s="2790"/>
    </row>
    <row r="9" spans="1:9" ht="15">
      <c r="A9" s="2788" t="s">
        <v>1285</v>
      </c>
      <c r="B9" s="2788"/>
      <c r="C9" s="2788"/>
      <c r="D9" s="2789">
        <f ca="1">IF('数据-取费表'!E3="否",结果表!D126,'结果表 (1修多)'!D129)</f>
        <v>68511</v>
      </c>
      <c r="E9" s="2789"/>
      <c r="F9" s="2789"/>
      <c r="G9" s="2789"/>
      <c r="H9" s="2789"/>
      <c r="I9" s="2789"/>
    </row>
    <row r="10" spans="1:9" ht="15.75">
      <c r="A10" s="2790" t="str">
        <f>IF('数据-取费表'!E3="否",结果表!A127,'结果表 (1修多)'!A130)</f>
        <v/>
      </c>
      <c r="B10" s="2790"/>
      <c r="C10" s="2790"/>
      <c r="D10" s="2790" t="str">
        <f>IF('数据-取费表'!E3="否",结果表!D127,'结果表 (1修多)'!D129)</f>
        <v>——</v>
      </c>
      <c r="E10" s="2790"/>
      <c r="F10" s="2790"/>
      <c r="G10" s="2790"/>
      <c r="H10" s="2790"/>
      <c r="I10" s="2790"/>
    </row>
    <row r="11" spans="1:9" ht="15">
      <c r="A11" s="2788" t="s">
        <v>1285</v>
      </c>
      <c r="B11" s="2788"/>
      <c r="C11" s="2788"/>
      <c r="D11" s="2789" t="str">
        <f>IF('数据-取费表'!E3="否",结果表!D128,'结果表 (1修多)'!D131)</f>
        <v>——</v>
      </c>
      <c r="E11" s="2789"/>
      <c r="F11" s="2789"/>
      <c r="G11" s="2789"/>
      <c r="H11" s="2789"/>
      <c r="I11" s="2789"/>
    </row>
    <row r="12" spans="1:9" ht="15.75">
      <c r="A12" s="2790" t="str">
        <f>IF('数据-取费表'!E3="否",结果表!A129,'结果表 (1修多)'!A132)</f>
        <v/>
      </c>
      <c r="B12" s="2790"/>
      <c r="C12" s="2790"/>
      <c r="D12" s="2790" t="str">
        <f>IF('数据-取费表'!E3="否",结果表!D129,'结果表 (1修多)'!D132)</f>
        <v>——</v>
      </c>
      <c r="E12" s="2790"/>
      <c r="F12" s="2790"/>
      <c r="G12" s="2790"/>
      <c r="H12" s="2790"/>
      <c r="I12" s="2790"/>
    </row>
    <row r="13" spans="1:9" ht="15.75" thickBot="1">
      <c r="A13" s="2791" t="s">
        <v>1285</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800" t="s">
        <v>1299</v>
      </c>
      <c r="B1" s="2800"/>
      <c r="C1" s="2800"/>
      <c r="D1" s="2800"/>
    </row>
    <row r="2" spans="1:4" ht="18">
      <c r="A2" s="2799" t="s">
        <v>1287</v>
      </c>
      <c r="B2" s="2799"/>
      <c r="C2" s="2799"/>
      <c r="D2" s="2799"/>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799" t="s">
        <v>1292</v>
      </c>
      <c r="B7" s="2799"/>
      <c r="C7" s="2799"/>
      <c r="D7" s="2799"/>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801" t="s">
        <v>1301</v>
      </c>
      <c r="B12" s="2802"/>
      <c r="C12" s="2802"/>
      <c r="D12" s="2802"/>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1" t="str">
        <f>IF(项目基本情况!D4="抵押","3.抵押双方在办理抵押登记手续时，应使用本公司出具的正式《房地产评估报告》，特提醒报告使用者注意。","——")</f>
        <v>——</v>
      </c>
      <c r="B14" s="2802"/>
      <c r="C14" s="2802"/>
      <c r="D14" s="2802"/>
    </row>
    <row r="15" spans="1:4" ht="15.75" customHeight="1">
      <c r="A15" s="2801" t="str">
        <f>IF(项目基本情况!D4="抵押","4.本次评估估价师所知悉的法定优先受偿款情况说明如下：","——")</f>
        <v>——</v>
      </c>
      <c r="B15" s="2802"/>
      <c r="C15" s="2802"/>
      <c r="D15" s="2802"/>
    </row>
    <row r="16" spans="1:4" ht="75" customHeight="1">
      <c r="A16" s="2801" t="str">
        <f>IF(项目基本情况!D4="抵押",CONCATENATE(项目基本情况!J13,项目基本情况!J14,项目基本情况!J15),"——")</f>
        <v>——</v>
      </c>
      <c r="B16" s="2801"/>
      <c r="C16" s="2801"/>
      <c r="D16" s="2801"/>
    </row>
    <row r="17" spans="1:4" ht="63.75" customHeight="1">
      <c r="A17" s="2803" t="s">
        <v>1302</v>
      </c>
      <c r="B17" s="2803"/>
      <c r="C17" s="2803"/>
      <c r="D17" s="2803"/>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3" t="s">
        <v>1295</v>
      </c>
      <c r="B20" s="2803"/>
      <c r="C20" s="2803"/>
      <c r="D20" s="2803"/>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809" t="s">
        <v>1381</v>
      </c>
      <c r="B15" s="2804" t="s">
        <v>1382</v>
      </c>
      <c r="C15" s="2805"/>
    </row>
    <row r="16" spans="1:7" ht="14.25">
      <c r="A16" s="2810"/>
      <c r="B16" s="2804" t="s">
        <v>1383</v>
      </c>
      <c r="C16" s="2805"/>
    </row>
    <row r="17" spans="1:3" ht="14.25">
      <c r="A17" s="2810"/>
      <c r="B17" s="2804" t="s">
        <v>1384</v>
      </c>
      <c r="C17" s="2805"/>
    </row>
    <row r="18" spans="1:3" ht="14.25">
      <c r="A18" s="2811"/>
      <c r="B18" s="2806" t="s">
        <v>1385</v>
      </c>
      <c r="C18" s="2805"/>
    </row>
    <row r="19" spans="1:3" ht="14.25">
      <c r="A19" s="1981" t="s">
        <v>1386</v>
      </c>
      <c r="B19" s="1982"/>
      <c r="C19" s="1983"/>
    </row>
    <row r="20" spans="1:3" ht="14.25">
      <c r="A20" s="2807" t="s">
        <v>1387</v>
      </c>
      <c r="B20" s="2806" t="s">
        <v>1388</v>
      </c>
      <c r="C20" s="2805"/>
    </row>
    <row r="21" spans="1:3" ht="14.25">
      <c r="A21" s="2807"/>
      <c r="B21" s="2806" t="s">
        <v>1389</v>
      </c>
      <c r="C21" s="2805"/>
    </row>
    <row r="22" spans="1:3" ht="14.25">
      <c r="A22" s="2807"/>
      <c r="B22" s="2806" t="s">
        <v>1390</v>
      </c>
      <c r="C22" s="2805"/>
    </row>
    <row r="23" spans="1:3" ht="14.25">
      <c r="A23" s="2807"/>
      <c r="B23" s="2808" t="s">
        <v>1391</v>
      </c>
      <c r="C23" s="1984" t="s">
        <v>1392</v>
      </c>
    </row>
    <row r="24" spans="1:3" ht="14.25">
      <c r="A24" s="2807"/>
      <c r="B24" s="2808"/>
      <c r="C24" s="1984" t="s">
        <v>1393</v>
      </c>
    </row>
    <row r="25" spans="1:3" ht="14.25">
      <c r="A25" s="2807"/>
      <c r="B25" s="2808"/>
      <c r="C25" s="1984" t="s">
        <v>1394</v>
      </c>
    </row>
    <row r="26" spans="1:3" ht="14.25">
      <c r="A26" s="2807"/>
      <c r="B26" s="2808"/>
      <c r="C26" s="1984" t="s">
        <v>1395</v>
      </c>
    </row>
    <row r="27" spans="1:3" ht="14.25">
      <c r="A27" s="2807"/>
      <c r="B27" s="2808"/>
      <c r="C27" s="1984" t="s">
        <v>1396</v>
      </c>
    </row>
    <row r="28" spans="1:3" ht="14.25">
      <c r="A28" s="2807"/>
      <c r="B28" s="2808"/>
      <c r="C28" s="1984" t="s">
        <v>1397</v>
      </c>
    </row>
    <row r="29" spans="1:3" ht="14.25">
      <c r="A29" s="2807"/>
      <c r="B29" s="2808"/>
      <c r="C29" s="1984" t="s">
        <v>1398</v>
      </c>
    </row>
    <row r="30" spans="1:3" ht="14.25">
      <c r="A30" s="2807"/>
      <c r="B30" s="2808"/>
      <c r="C30" s="1984" t="s">
        <v>1399</v>
      </c>
    </row>
    <row r="31" spans="1:3" ht="14.25">
      <c r="A31" s="2807"/>
      <c r="B31" s="2808"/>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43108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12" t="s">
        <v>769</v>
      </c>
      <c r="B25" s="2812"/>
      <c r="C25" s="2812"/>
      <c r="D25" s="2812"/>
      <c r="E25" s="2812"/>
      <c r="F25" s="2812"/>
      <c r="G25" s="2812"/>
      <c r="H25" s="2812"/>
    </row>
    <row r="26" spans="1:8" s="1034" customFormat="1" ht="24" customHeight="1">
      <c r="A26" s="2813" t="s">
        <v>770</v>
      </c>
      <c r="B26" s="2813"/>
      <c r="C26" s="2813"/>
      <c r="D26" s="1062"/>
      <c r="E26" s="1062"/>
      <c r="F26" s="2813" t="s">
        <v>771</v>
      </c>
      <c r="G26" s="2813"/>
      <c r="H26" s="281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14"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row>
    <row r="54" spans="1:4">
      <c r="A54" s="2814"/>
      <c r="B54" s="9" t="s">
        <v>1537</v>
      </c>
      <c r="C54" s="9" t="s">
        <v>1538</v>
      </c>
    </row>
    <row r="55" spans="1:4">
      <c r="A55" s="2814"/>
      <c r="B55" s="9" t="s">
        <v>1539</v>
      </c>
      <c r="C55" s="9" t="s">
        <v>1540</v>
      </c>
    </row>
    <row r="56" spans="1:4">
      <c r="A56" s="2814"/>
      <c r="B56" s="9" t="s">
        <v>1541</v>
      </c>
      <c r="C56" s="9" t="s">
        <v>1542</v>
      </c>
    </row>
    <row r="57" spans="1:4">
      <c r="A57" s="2814"/>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43083</v>
      </c>
      <c r="C2" s="2000" t="s">
        <v>1548</v>
      </c>
      <c r="D2" s="1088">
        <v>43083</v>
      </c>
      <c r="E2" s="1064"/>
      <c r="F2" s="1064"/>
      <c r="G2" s="1684"/>
      <c r="H2" s="1020"/>
    </row>
    <row r="3" spans="1:10" ht="13.5" thickBot="1">
      <c r="A3" s="2001" t="s">
        <v>1549</v>
      </c>
      <c r="B3" s="2002" t="s">
        <v>2809</v>
      </c>
      <c r="C3" s="1065">
        <f ca="1">SUMIF(注册房地产估价师,B3,估价师及机构信息!B3:B24)</f>
        <v>1119970111</v>
      </c>
      <c r="D3" s="2002" t="s">
        <v>2810</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2811</v>
      </c>
      <c r="C6" s="2016"/>
      <c r="D6" s="2017" t="s">
        <v>1556</v>
      </c>
      <c r="E6" s="1022"/>
      <c r="F6" s="1021"/>
      <c r="G6" s="1074"/>
      <c r="I6" s="1070" t="str">
        <f>IF(COUNTIF(B5,"*上海银行*"),"上海银行","")</f>
        <v/>
      </c>
    </row>
    <row r="7" spans="1:10" ht="13.5" thickBot="1">
      <c r="A7" s="2001" t="s">
        <v>1557</v>
      </c>
      <c r="B7" s="2018" t="s">
        <v>2812</v>
      </c>
      <c r="C7" s="2019" t="str">
        <f>IF(B7="自然人","姓名","名称")</f>
        <v>姓名</v>
      </c>
      <c r="D7" s="2020"/>
      <c r="E7" s="1068"/>
      <c r="F7" s="1067"/>
      <c r="G7" s="1685"/>
    </row>
    <row r="8" spans="1:10" ht="13.5" thickTop="1">
      <c r="A8" s="2825" t="s">
        <v>1558</v>
      </c>
      <c r="B8" s="2021" t="s">
        <v>1559</v>
      </c>
      <c r="C8" s="2837"/>
      <c r="D8" s="2838"/>
      <c r="E8" s="2022" t="s">
        <v>1560</v>
      </c>
      <c r="F8" s="2023" t="s">
        <v>1561</v>
      </c>
      <c r="G8" s="690">
        <f>C6</f>
        <v>0</v>
      </c>
    </row>
    <row r="9" spans="1:10">
      <c r="A9" s="2825"/>
      <c r="B9" s="344" t="s">
        <v>1562</v>
      </c>
      <c r="C9" s="2008"/>
      <c r="D9" s="2024"/>
      <c r="E9" s="1010" t="s">
        <v>1563</v>
      </c>
      <c r="F9" s="996" t="s">
        <v>480</v>
      </c>
      <c r="G9" s="1012"/>
    </row>
    <row r="10" spans="1:10" ht="13.5" thickBot="1">
      <c r="A10" s="2825"/>
      <c r="B10" s="344" t="s">
        <v>1564</v>
      </c>
      <c r="C10" s="2839"/>
      <c r="D10" s="2840"/>
      <c r="E10" s="2025" t="s">
        <v>1565</v>
      </c>
      <c r="F10" s="1013" t="s">
        <v>227</v>
      </c>
      <c r="G10" s="1014"/>
    </row>
    <row r="11" spans="1:10" ht="13.5" thickBot="1">
      <c r="A11" s="2825"/>
      <c r="B11" s="2026" t="s">
        <v>1566</v>
      </c>
      <c r="C11" s="2841"/>
      <c r="D11" s="2842"/>
      <c r="E11" s="1022"/>
      <c r="F11" s="1021"/>
      <c r="G11" s="1074"/>
    </row>
    <row r="12" spans="1:10" ht="24.75" thickBot="1">
      <c r="A12" s="2828" t="s">
        <v>1567</v>
      </c>
      <c r="B12" s="2027" t="s">
        <v>1568</v>
      </c>
      <c r="C12" s="1016">
        <v>137.41</v>
      </c>
      <c r="D12" s="2027" t="s">
        <v>1569</v>
      </c>
      <c r="E12" s="2028" t="s">
        <v>1570</v>
      </c>
      <c r="F12" s="2029" t="s">
        <v>1571</v>
      </c>
      <c r="G12" s="1074"/>
    </row>
    <row r="13" spans="1:10" ht="21" customHeight="1" thickBot="1">
      <c r="A13" s="2829"/>
      <c r="B13" s="2030" t="s">
        <v>1572</v>
      </c>
      <c r="C13" s="1017"/>
      <c r="D13" s="2030" t="s">
        <v>1573</v>
      </c>
      <c r="E13" s="2031" t="s">
        <v>1570</v>
      </c>
      <c r="F13" s="1021"/>
      <c r="G13" s="1074"/>
      <c r="I13" s="2815"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c r="D14" s="1021"/>
      <c r="E14" s="1021"/>
      <c r="F14" s="1021"/>
      <c r="G14" s="1074"/>
      <c r="I14" s="2815"/>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c r="D15" s="1067"/>
      <c r="E15" s="1067"/>
      <c r="F15" s="1067"/>
      <c r="G15" s="1685"/>
      <c r="I15" s="2815"/>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43" t="s">
        <v>1581</v>
      </c>
      <c r="C17" s="2844"/>
      <c r="D17" s="2845" t="s">
        <v>1582</v>
      </c>
      <c r="E17" s="2846"/>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31" t="s">
        <v>1598</v>
      </c>
      <c r="D27" s="2832"/>
      <c r="E27" s="1004"/>
      <c r="F27" s="1011" t="s">
        <v>1598</v>
      </c>
      <c r="G27" s="1004"/>
      <c r="I27" s="1071"/>
      <c r="K27" s="1071"/>
    </row>
    <row r="28" spans="1:15">
      <c r="A28" s="1008" t="s">
        <v>1599</v>
      </c>
      <c r="B28" s="978"/>
      <c r="C28" s="2833" t="s">
        <v>1600</v>
      </c>
      <c r="D28" s="2834"/>
      <c r="E28" s="978"/>
      <c r="F28" s="1895" t="s">
        <v>1600</v>
      </c>
      <c r="G28" s="978"/>
      <c r="I28" s="1071"/>
      <c r="K28" s="1071"/>
    </row>
    <row r="29" spans="1:15">
      <c r="A29" s="1008" t="s">
        <v>1601</v>
      </c>
      <c r="B29" s="978"/>
      <c r="C29" s="2833" t="s">
        <v>1601</v>
      </c>
      <c r="D29" s="2834"/>
      <c r="E29" s="978"/>
      <c r="F29" s="1895" t="s">
        <v>1602</v>
      </c>
      <c r="G29" s="978"/>
      <c r="I29" s="1071"/>
      <c r="K29" s="1071"/>
    </row>
    <row r="30" spans="1:15">
      <c r="A30" s="1008" t="s">
        <v>1603</v>
      </c>
      <c r="B30" s="978"/>
      <c r="C30" s="2822" t="s">
        <v>1604</v>
      </c>
      <c r="D30" s="2069"/>
      <c r="E30" s="1023" t="str">
        <f>E31&amp;" "&amp;E32&amp;" "&amp;E33&amp;" "&amp;E34</f>
        <v xml:space="preserve">   </v>
      </c>
      <c r="F30" s="1895" t="s">
        <v>1605</v>
      </c>
      <c r="G30" s="978"/>
    </row>
    <row r="31" spans="1:15">
      <c r="A31" s="1008" t="s">
        <v>1606</v>
      </c>
      <c r="B31" s="978"/>
      <c r="C31" s="2823"/>
      <c r="D31" s="1894" t="s">
        <v>1607</v>
      </c>
      <c r="E31" s="978"/>
      <c r="F31" s="1895" t="s">
        <v>1608</v>
      </c>
      <c r="G31" s="978"/>
    </row>
    <row r="32" spans="1:15" ht="24.75" thickBot="1">
      <c r="A32" s="1009" t="s">
        <v>1609</v>
      </c>
      <c r="B32" s="1005"/>
      <c r="C32" s="2823"/>
      <c r="D32" s="1894" t="s">
        <v>1610</v>
      </c>
      <c r="E32" s="978"/>
      <c r="F32" s="1895" t="s">
        <v>1611</v>
      </c>
      <c r="G32" s="978"/>
    </row>
    <row r="33" spans="1:7">
      <c r="A33" s="1007" t="s">
        <v>1612</v>
      </c>
      <c r="B33" s="1004"/>
      <c r="C33" s="2823"/>
      <c r="D33" s="1894" t="s">
        <v>1613</v>
      </c>
      <c r="E33" s="978"/>
      <c r="F33" s="1895" t="s">
        <v>1614</v>
      </c>
      <c r="G33" s="978"/>
    </row>
    <row r="34" spans="1:7" ht="13.5" thickBot="1">
      <c r="A34" s="1008" t="s">
        <v>1615</v>
      </c>
      <c r="B34" s="978"/>
      <c r="C34" s="2824"/>
      <c r="D34" s="1894" t="s">
        <v>1616</v>
      </c>
      <c r="E34" s="978"/>
      <c r="F34" s="1896" t="s">
        <v>1617</v>
      </c>
      <c r="G34" s="1006"/>
    </row>
    <row r="35" spans="1:7">
      <c r="A35" s="1008" t="s">
        <v>1568</v>
      </c>
      <c r="B35" s="978"/>
      <c r="C35" s="2833" t="s">
        <v>1618</v>
      </c>
      <c r="D35" s="2834"/>
      <c r="E35" s="978"/>
      <c r="F35" s="1019" t="s">
        <v>1619</v>
      </c>
      <c r="G35" s="1004"/>
    </row>
    <row r="36" spans="1:7" ht="13.5" thickBot="1">
      <c r="A36" s="1008" t="s">
        <v>1620</v>
      </c>
      <c r="B36" s="978"/>
      <c r="C36" s="2835" t="s">
        <v>1621</v>
      </c>
      <c r="D36" s="2836"/>
      <c r="E36" s="1005"/>
      <c r="F36" s="1892" t="s">
        <v>1622</v>
      </c>
      <c r="G36" s="978"/>
    </row>
    <row r="37" spans="1:7" ht="13.5" thickBot="1">
      <c r="A37" s="1008" t="s">
        <v>1623</v>
      </c>
      <c r="B37" s="978"/>
      <c r="C37" s="2820" t="s">
        <v>1624</v>
      </c>
      <c r="D37" s="2070" t="s">
        <v>1608</v>
      </c>
      <c r="E37" s="1004"/>
      <c r="F37" s="1896" t="s">
        <v>1625</v>
      </c>
      <c r="G37" s="1005"/>
    </row>
    <row r="38" spans="1:7">
      <c r="A38" s="1008" t="s">
        <v>1626</v>
      </c>
      <c r="B38" s="978"/>
      <c r="C38" s="2826"/>
      <c r="D38" s="1894" t="s">
        <v>1615</v>
      </c>
      <c r="E38" s="978"/>
      <c r="F38" s="1011" t="s">
        <v>1627</v>
      </c>
      <c r="G38" s="1004"/>
    </row>
    <row r="39" spans="1:7">
      <c r="A39" s="1008" t="s">
        <v>1628</v>
      </c>
      <c r="B39" s="978"/>
      <c r="C39" s="2826" t="s">
        <v>1629</v>
      </c>
      <c r="D39" s="1894" t="s">
        <v>1568</v>
      </c>
      <c r="E39" s="978"/>
      <c r="F39" s="1895" t="s">
        <v>1630</v>
      </c>
      <c r="G39" s="978"/>
    </row>
    <row r="40" spans="1:7" ht="24.75" customHeight="1" thickBot="1">
      <c r="A40" s="1009" t="s">
        <v>1631</v>
      </c>
      <c r="B40" s="1005"/>
      <c r="C40" s="2827"/>
      <c r="D40" s="1897" t="s">
        <v>1572</v>
      </c>
      <c r="E40" s="1005"/>
      <c r="F40" s="1896" t="s">
        <v>1632</v>
      </c>
      <c r="G40" s="1005"/>
    </row>
    <row r="41" spans="1:7">
      <c r="A41" s="1010" t="s">
        <v>1633</v>
      </c>
      <c r="B41" s="1060"/>
      <c r="C41" s="2816" t="s">
        <v>1633</v>
      </c>
      <c r="D41" s="2817"/>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18" t="s">
        <v>1636</v>
      </c>
      <c r="D48" s="2819"/>
      <c r="E48" s="1055"/>
      <c r="F48" s="1896" t="s">
        <v>1637</v>
      </c>
      <c r="G48" s="1005"/>
    </row>
    <row r="49" spans="1:15">
      <c r="A49" s="1008" t="s">
        <v>1638</v>
      </c>
      <c r="B49" s="1054"/>
      <c r="C49" s="2820" t="s">
        <v>1639</v>
      </c>
      <c r="D49" s="2821"/>
      <c r="E49" s="1056"/>
      <c r="F49" s="1084"/>
      <c r="G49" s="1085"/>
    </row>
    <row r="50" spans="1:15" ht="13.5" thickBot="1">
      <c r="A50" s="1008" t="s">
        <v>1640</v>
      </c>
      <c r="B50" s="1054"/>
      <c r="C50" s="2827" t="s">
        <v>1641</v>
      </c>
      <c r="D50" s="2830"/>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8" sqref="B38"/>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43083</v>
      </c>
      <c r="C2" s="1856"/>
      <c r="D2" s="2849"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2854</v>
      </c>
      <c r="C3" s="1856"/>
      <c r="D3" s="2850"/>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2855</v>
      </c>
      <c r="C4" s="1856"/>
      <c r="D4" s="2850"/>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137.41</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2813</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160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58</v>
      </c>
      <c r="C13" s="2097"/>
      <c r="D13" s="2098" t="s">
        <v>1663</v>
      </c>
      <c r="E13" s="39"/>
      <c r="F13" s="1850" t="s">
        <v>1664</v>
      </c>
      <c r="G13" s="1856"/>
      <c r="H13" s="2851" t="s">
        <v>2859</v>
      </c>
      <c r="I13" s="2852"/>
      <c r="J13" s="2730"/>
      <c r="K13" s="2731"/>
      <c r="L13" s="2731"/>
      <c r="M13" s="2732"/>
      <c r="N13" s="2732"/>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0.95899999999999996</v>
      </c>
      <c r="C14" s="1856"/>
      <c r="D14" s="2099" t="s">
        <v>1666</v>
      </c>
      <c r="E14" s="709">
        <v>200</v>
      </c>
      <c r="F14" s="1849"/>
      <c r="G14" s="1856"/>
      <c r="H14" s="2733" t="s">
        <v>2860</v>
      </c>
      <c r="I14" s="2734">
        <v>0.02</v>
      </c>
      <c r="J14" s="2730"/>
      <c r="K14" s="2735"/>
      <c r="L14" s="2735"/>
      <c r="M14" s="2732"/>
      <c r="N14" s="2732"/>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3" t="s">
        <v>2861</v>
      </c>
      <c r="I15" s="2736" t="s">
        <v>2910</v>
      </c>
      <c r="J15" s="2730"/>
      <c r="K15" s="2735"/>
      <c r="L15" s="2737"/>
      <c r="M15" s="2732"/>
      <c r="N15" s="2732"/>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3" t="s">
        <v>2862</v>
      </c>
      <c r="I16" s="2736" t="s">
        <v>2891</v>
      </c>
      <c r="J16" s="2730"/>
      <c r="K16" s="2735"/>
      <c r="L16" s="2735"/>
      <c r="M16" s="2732"/>
      <c r="N16" s="2732"/>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2190+900</f>
        <v>3090</v>
      </c>
      <c r="F17" s="1237"/>
      <c r="G17" s="1856"/>
      <c r="H17" s="2733" t="s">
        <v>2863</v>
      </c>
      <c r="I17" s="2738">
        <f>ROUND(1-(1-I14)*I15/I16,2)</f>
        <v>0.84</v>
      </c>
      <c r="J17" s="2730"/>
      <c r="K17" s="2735"/>
      <c r="L17" s="2735"/>
      <c r="M17" s="2732"/>
      <c r="N17" s="2732"/>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424597</v>
      </c>
      <c r="F18" s="1320">
        <f>ROUND(E5*E17*IF(B25=0,1,E20),0)</f>
        <v>0</v>
      </c>
      <c r="G18" s="1856"/>
      <c r="H18" s="2739" t="s">
        <v>2864</v>
      </c>
      <c r="I18" s="2740">
        <v>0.5</v>
      </c>
      <c r="J18" s="2730"/>
      <c r="K18" s="2735"/>
      <c r="L18" s="2735"/>
      <c r="M18" s="2732"/>
      <c r="N18" s="2732"/>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53" t="s">
        <v>2865</v>
      </c>
      <c r="I19" s="2854"/>
      <c r="J19" s="2854"/>
      <c r="K19" s="2854"/>
      <c r="L19" s="2855"/>
      <c r="M19" s="2732"/>
      <c r="N19" s="2732"/>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v>0</v>
      </c>
      <c r="C20" s="1856"/>
      <c r="D20" s="2104" t="str">
        <f>IF(B25=0,"成新率","工程进度")</f>
        <v>成新率</v>
      </c>
      <c r="E20" s="987">
        <f>N22</f>
        <v>0.87</v>
      </c>
      <c r="F20" s="1237"/>
      <c r="G20" s="1856"/>
      <c r="H20" s="2741" t="s">
        <v>2866</v>
      </c>
      <c r="I20" s="2742" t="s">
        <v>2867</v>
      </c>
      <c r="J20" s="2742" t="s">
        <v>2868</v>
      </c>
      <c r="K20" s="2742" t="s">
        <v>2869</v>
      </c>
      <c r="L20" s="2742" t="s">
        <v>2870</v>
      </c>
      <c r="M20" s="2732"/>
      <c r="N20" s="2732"/>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2</v>
      </c>
      <c r="C21" s="1856"/>
      <c r="D21" s="2095" t="s">
        <v>1676</v>
      </c>
      <c r="E21" s="711">
        <v>0.03</v>
      </c>
      <c r="F21" s="1853" t="s">
        <v>1677</v>
      </c>
      <c r="G21" s="1856"/>
      <c r="H21" s="2741" t="s">
        <v>2871</v>
      </c>
      <c r="I21" s="2742">
        <v>100</v>
      </c>
      <c r="J21" s="2743" t="s">
        <v>2872</v>
      </c>
      <c r="K21" s="2742">
        <v>90</v>
      </c>
      <c r="L21" s="2744">
        <v>0.3</v>
      </c>
      <c r="M21" s="2732"/>
      <c r="N21" s="2732"/>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2</v>
      </c>
      <c r="C22" s="1856"/>
      <c r="D22" s="2095" t="s">
        <v>1679</v>
      </c>
      <c r="E22" s="40">
        <v>0.05</v>
      </c>
      <c r="F22" s="1853" t="s">
        <v>1680</v>
      </c>
      <c r="G22" s="1856"/>
      <c r="H22" s="2741" t="s">
        <v>2873</v>
      </c>
      <c r="I22" s="2742">
        <v>100</v>
      </c>
      <c r="J22" s="2743" t="s">
        <v>2872</v>
      </c>
      <c r="K22" s="2742">
        <v>90</v>
      </c>
      <c r="L22" s="2744">
        <v>0.5</v>
      </c>
      <c r="M22" s="2732"/>
      <c r="N22" s="2745">
        <f>ROUND(I17*I18+K24*I24,2)</f>
        <v>0.87</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2</v>
      </c>
      <c r="C23" s="1856"/>
      <c r="D23" s="2095" t="s">
        <v>1682</v>
      </c>
      <c r="E23" s="37">
        <v>200</v>
      </c>
      <c r="F23" s="1853" t="s">
        <v>1683</v>
      </c>
      <c r="G23" s="1856"/>
      <c r="H23" s="2741" t="s">
        <v>2874</v>
      </c>
      <c r="I23" s="2742">
        <v>100</v>
      </c>
      <c r="J23" s="2743" t="s">
        <v>2872</v>
      </c>
      <c r="K23" s="2742">
        <v>90</v>
      </c>
      <c r="L23" s="2744">
        <f>1-L21-L22</f>
        <v>0.19999999999999996</v>
      </c>
      <c r="M23" s="2732"/>
      <c r="N23" s="2732"/>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2</v>
      </c>
      <c r="C24" s="1856"/>
      <c r="D24" s="2100" t="s">
        <v>1685</v>
      </c>
      <c r="E24" s="1819">
        <v>1.4999999999999999E-2</v>
      </c>
      <c r="F24" s="1853" t="s">
        <v>1686</v>
      </c>
      <c r="G24" s="1856"/>
      <c r="H24" s="2746" t="s">
        <v>2864</v>
      </c>
      <c r="I24" s="2747">
        <f>1-I18</f>
        <v>0.5</v>
      </c>
      <c r="J24" s="2742" t="s">
        <v>2863</v>
      </c>
      <c r="K24" s="2748">
        <f>ROUND((K21*L21+K22*L22+K23*L23)/100,2)</f>
        <v>0.9</v>
      </c>
      <c r="L24" s="2749"/>
      <c r="M24" s="2732"/>
      <c r="N24" s="2732"/>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0.02</v>
      </c>
      <c r="F25" s="1853" t="s">
        <v>1689</v>
      </c>
      <c r="I25" s="1854"/>
      <c r="AE25" s="1237"/>
      <c r="AF25" s="1237"/>
      <c r="AG25" s="1237"/>
      <c r="AH25" s="1237"/>
      <c r="AI25" s="1237"/>
      <c r="AJ25" s="1237"/>
      <c r="AK25" s="1237"/>
      <c r="AL25" s="1237"/>
      <c r="AM25" s="1237"/>
      <c r="AN25" s="1237"/>
      <c r="AO25" s="1237"/>
    </row>
    <row r="26" spans="1:41" ht="15.75" thickBot="1">
      <c r="A26" s="2109" t="s">
        <v>1690</v>
      </c>
      <c r="B26" s="1094">
        <v>2007</v>
      </c>
      <c r="C26" s="1856"/>
      <c r="D26" s="2095" t="s">
        <v>1691</v>
      </c>
      <c r="E26" s="40">
        <v>0.02</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4.7500000000000001E-2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2814</v>
      </c>
      <c r="C28" s="1237"/>
      <c r="D28" s="2112" t="s">
        <v>1695</v>
      </c>
      <c r="E28" s="989">
        <v>0.25</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12000</v>
      </c>
      <c r="C29" s="1237"/>
      <c r="D29" s="2099" t="s">
        <v>1696</v>
      </c>
      <c r="E29" s="988">
        <f>E30+E31</f>
        <v>5.6000000000000001E-2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6.000000000000001E-3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v>7.0000000000000007E-2</v>
      </c>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40</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v>2007</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1711</v>
      </c>
      <c r="E36" s="45">
        <v>0.03</v>
      </c>
      <c r="F36" s="1851" t="s">
        <v>1712</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1713</v>
      </c>
      <c r="E37" s="41">
        <v>5.0000000000000001E-4</v>
      </c>
      <c r="F37" s="1851" t="s">
        <v>1714</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1715</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1716</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1717</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1718</v>
      </c>
      <c r="B41" s="1000">
        <v>1</v>
      </c>
      <c r="C41" s="1237"/>
      <c r="D41" s="2095" t="s">
        <v>1719</v>
      </c>
      <c r="E41" s="2123"/>
      <c r="F41" s="1849" t="s">
        <v>1720</v>
      </c>
      <c r="G41" s="2124" t="s">
        <v>1721</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1722</v>
      </c>
      <c r="B42" s="993">
        <v>12</v>
      </c>
      <c r="C42" s="1237"/>
      <c r="D42" s="2125" t="s">
        <v>1723</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1724</v>
      </c>
      <c r="B43" s="29"/>
      <c r="C43" s="1237"/>
      <c r="D43" s="2125" t="s">
        <v>1725</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1726</v>
      </c>
      <c r="B44" s="1001">
        <v>0.01</v>
      </c>
      <c r="C44" s="1237" t="s">
        <v>970</v>
      </c>
      <c r="D44" s="2125" t="s">
        <v>1727</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1728</v>
      </c>
      <c r="B45" s="1002">
        <v>1E-3</v>
      </c>
      <c r="C45" s="1237" t="s">
        <v>971</v>
      </c>
      <c r="D45" s="2125" t="s">
        <v>1729</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1730</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1731</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1732</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1733</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1734</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1735</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4" sqref="F14"/>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56" t="s">
        <v>1736</v>
      </c>
      <c r="B1" s="2857"/>
      <c r="C1" s="2857"/>
      <c r="D1" s="2857"/>
      <c r="E1" s="2857"/>
      <c r="F1" s="2857"/>
      <c r="G1" s="2857"/>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1737</v>
      </c>
      <c r="D2" s="2140"/>
      <c r="E2" s="2141"/>
      <c r="F2" s="2142"/>
      <c r="G2" s="2139" t="s">
        <v>1738</v>
      </c>
      <c r="H2" s="2143"/>
      <c r="I2" s="2143"/>
      <c r="J2" s="2143"/>
      <c r="K2" s="2143"/>
      <c r="L2" s="2143"/>
      <c r="M2" s="2143"/>
      <c r="N2" s="2143"/>
      <c r="O2" s="2143"/>
      <c r="P2" s="2143"/>
      <c r="Q2" s="2143"/>
      <c r="R2" s="2143"/>
    </row>
    <row r="3" spans="1:29" ht="67.5">
      <c r="A3" s="395" t="s">
        <v>1739</v>
      </c>
      <c r="B3" s="2145" t="s">
        <v>1740</v>
      </c>
      <c r="C3" s="2717" t="s">
        <v>2915</v>
      </c>
      <c r="D3" s="2146"/>
      <c r="E3" s="411" t="s">
        <v>1739</v>
      </c>
      <c r="F3" s="2147" t="s">
        <v>1741</v>
      </c>
      <c r="G3" s="2148" t="s">
        <v>1742</v>
      </c>
      <c r="H3" s="2143"/>
      <c r="I3" s="2143"/>
      <c r="J3" s="2143"/>
      <c r="K3" s="2143"/>
      <c r="L3" s="2143"/>
      <c r="M3" s="2143"/>
      <c r="N3" s="2143"/>
      <c r="O3" s="2143"/>
      <c r="P3" s="2143"/>
      <c r="Q3" s="2143"/>
      <c r="R3" s="2143"/>
    </row>
    <row r="4" spans="1:29" ht="40.5" hidden="1">
      <c r="A4" s="411"/>
      <c r="B4" s="1888" t="s">
        <v>1743</v>
      </c>
      <c r="C4" s="2718" t="s">
        <v>2815</v>
      </c>
      <c r="D4" s="2146"/>
      <c r="E4" s="2149"/>
      <c r="F4" s="2150" t="s">
        <v>1744</v>
      </c>
      <c r="G4" s="2151" t="s">
        <v>1745</v>
      </c>
      <c r="H4" s="2143"/>
      <c r="I4" s="2143"/>
      <c r="J4" s="2143"/>
      <c r="K4" s="2143"/>
      <c r="L4" s="2143"/>
      <c r="M4" s="2143"/>
      <c r="N4" s="2143"/>
      <c r="O4" s="2143"/>
      <c r="P4" s="2143"/>
      <c r="Q4" s="2143"/>
      <c r="R4" s="2143"/>
    </row>
    <row r="5" spans="1:29" ht="40.5" hidden="1">
      <c r="A5" s="411"/>
      <c r="B5" s="1888" t="s">
        <v>1746</v>
      </c>
      <c r="C5" s="2718" t="s">
        <v>2816</v>
      </c>
      <c r="D5" s="2146"/>
      <c r="E5" s="2149"/>
      <c r="F5" s="1888" t="s">
        <v>1747</v>
      </c>
      <c r="G5" s="2151" t="s">
        <v>1748</v>
      </c>
      <c r="H5" s="2143"/>
      <c r="I5" s="2143"/>
      <c r="J5" s="2143"/>
      <c r="K5" s="2143"/>
      <c r="L5" s="2143"/>
      <c r="M5" s="2143"/>
      <c r="N5" s="2143"/>
      <c r="O5" s="2143"/>
      <c r="P5" s="2143"/>
      <c r="Q5" s="2143"/>
      <c r="R5" s="2143"/>
    </row>
    <row r="6" spans="1:29" ht="67.5">
      <c r="A6" s="411"/>
      <c r="B6" s="1888" t="s">
        <v>1749</v>
      </c>
      <c r="C6" s="2719" t="s">
        <v>2917</v>
      </c>
      <c r="D6" s="2146"/>
      <c r="E6" s="2149"/>
      <c r="F6" s="1888" t="s">
        <v>1750</v>
      </c>
      <c r="G6" s="2151" t="s">
        <v>1751</v>
      </c>
      <c r="H6" s="2143"/>
      <c r="I6" s="2143"/>
      <c r="J6" s="2143"/>
      <c r="K6" s="2143"/>
      <c r="L6" s="2143"/>
      <c r="M6" s="2143"/>
      <c r="N6" s="2143"/>
      <c r="O6" s="2143"/>
      <c r="P6" s="2143"/>
      <c r="Q6" s="2143"/>
      <c r="R6" s="2143"/>
    </row>
    <row r="7" spans="1:29" ht="41.25" thickBot="1">
      <c r="A7" s="411"/>
      <c r="B7" s="1888" t="s">
        <v>1747</v>
      </c>
      <c r="C7" s="2719" t="s">
        <v>2817</v>
      </c>
      <c r="D7" s="2152"/>
      <c r="E7" s="2153"/>
      <c r="F7" s="2154" t="s">
        <v>1752</v>
      </c>
      <c r="G7" s="2155" t="s">
        <v>1753</v>
      </c>
      <c r="H7" s="2143"/>
      <c r="I7" s="2143"/>
      <c r="J7" s="2143"/>
      <c r="K7" s="2143"/>
      <c r="L7" s="2143"/>
      <c r="M7" s="2143"/>
      <c r="N7" s="2143"/>
      <c r="O7" s="2143"/>
      <c r="P7" s="2143"/>
      <c r="Q7" s="2143"/>
      <c r="R7" s="2143"/>
    </row>
    <row r="8" spans="1:29" ht="15">
      <c r="A8" s="411"/>
      <c r="B8" s="1888" t="s">
        <v>1750</v>
      </c>
      <c r="C8" s="2719" t="s">
        <v>2818</v>
      </c>
      <c r="D8" s="2152"/>
      <c r="E8" s="2152"/>
      <c r="F8" s="1246"/>
      <c r="G8" s="1246"/>
      <c r="H8" s="2143"/>
      <c r="I8" s="2143"/>
      <c r="J8" s="2143"/>
      <c r="K8" s="2143"/>
      <c r="L8" s="2143"/>
      <c r="M8" s="2143"/>
      <c r="N8" s="2143"/>
      <c r="O8" s="2143"/>
      <c r="P8" s="2143"/>
      <c r="Q8" s="2143"/>
      <c r="R8" s="2143"/>
    </row>
    <row r="9" spans="1:29" ht="67.5">
      <c r="A9" s="411"/>
      <c r="B9" s="1888" t="s">
        <v>1754</v>
      </c>
      <c r="C9" s="2718" t="s">
        <v>2918</v>
      </c>
      <c r="D9" s="2146"/>
      <c r="E9" s="2152"/>
      <c r="F9" s="1246"/>
      <c r="G9" s="1246"/>
      <c r="H9" s="2143"/>
      <c r="I9" s="2143"/>
      <c r="J9" s="2143"/>
      <c r="K9" s="2143"/>
      <c r="L9" s="2143"/>
      <c r="M9" s="2143"/>
      <c r="N9" s="2143"/>
      <c r="O9" s="2143"/>
      <c r="P9" s="2143"/>
      <c r="Q9" s="2143"/>
      <c r="R9" s="2143"/>
    </row>
    <row r="10" spans="1:29" s="35" customFormat="1" ht="15.75" thickBot="1">
      <c r="A10" s="2156"/>
      <c r="B10" s="2157" t="s">
        <v>1755</v>
      </c>
      <c r="C10" s="2720" t="s">
        <v>2920</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1756</v>
      </c>
      <c r="B13" s="2162"/>
      <c r="C13" s="2162"/>
      <c r="D13" s="2140"/>
      <c r="E13" s="2162"/>
      <c r="F13" s="2162"/>
      <c r="G13" s="2162"/>
    </row>
    <row r="14" spans="1:29" ht="15.75" thickBot="1">
      <c r="A14" s="2172"/>
      <c r="B14" s="2173"/>
      <c r="C14" s="2174" t="s">
        <v>1757</v>
      </c>
      <c r="D14" s="2146"/>
      <c r="E14" s="2175"/>
      <c r="F14" s="2175"/>
      <c r="G14" s="2139" t="s">
        <v>1758</v>
      </c>
    </row>
    <row r="15" spans="1:29" ht="57">
      <c r="A15" s="25" t="s">
        <v>1759</v>
      </c>
      <c r="B15" s="2176" t="s">
        <v>1740</v>
      </c>
      <c r="C15" s="2177" t="str">
        <f>C3</f>
        <v>周边有玉泉路16号院、莲玉嘉园、重聚园、依翠园、诗景长安等居住社区，综合评价居住社区成熟度较好。</v>
      </c>
      <c r="D15" s="2146"/>
      <c r="E15" s="2178" t="s">
        <v>1760</v>
      </c>
      <c r="F15" s="2176" t="s">
        <v>1761</v>
      </c>
      <c r="G15" s="51" t="str">
        <f>G3</f>
        <v>估价对象位于XX开发区，园区建设成熟度XX，产业集聚程度XX</v>
      </c>
    </row>
    <row r="16" spans="1:29" ht="42.75">
      <c r="A16" s="629"/>
      <c r="B16" s="1493" t="s">
        <v>1743</v>
      </c>
      <c r="C16" s="2179" t="str">
        <f>C4</f>
        <v>估价对象位于回龙观商圈，周边商业氛围成熟，人流量大，商业繁华度好</v>
      </c>
      <c r="D16" s="2146"/>
      <c r="E16" s="2180"/>
      <c r="F16" s="2181" t="s">
        <v>1744</v>
      </c>
      <c r="G16" s="52" t="str">
        <f>G4</f>
        <v>估价对象周边道路状况、公共交通通达情况、停车便捷程度，综合评价交通便捷度较好</v>
      </c>
    </row>
    <row r="17" spans="1:18" ht="42.75">
      <c r="A17" s="629"/>
      <c r="B17" s="1493" t="s">
        <v>1746</v>
      </c>
      <c r="C17" s="2179" t="str">
        <f>C5</f>
        <v>估价对象位于XX商圈，周边办公楼项目较多，入驻率高，办公集聚程度较好</v>
      </c>
      <c r="D17" s="2152"/>
      <c r="E17" s="2180"/>
      <c r="F17" s="2181" t="s">
        <v>1762</v>
      </c>
      <c r="G17" s="2182"/>
    </row>
    <row r="18" spans="1:18" ht="71.25">
      <c r="A18" s="629"/>
      <c r="B18" s="2181" t="s">
        <v>1749</v>
      </c>
      <c r="C18" s="52" t="str">
        <f>C6</f>
        <v>估价对象紧邻城市次干道—鲁谷路，有308路、546路、597路等10余条公交线路及地铁1号线八宝山站通过，交通便捷度较好。</v>
      </c>
      <c r="D18" s="2152"/>
      <c r="E18" s="2180"/>
      <c r="F18" s="2181" t="s">
        <v>1752</v>
      </c>
      <c r="G18" s="52" t="str">
        <f>G7</f>
        <v>该园区内是否有污染型企业，绿化情况，卫生条件，整体环境状况判断</v>
      </c>
    </row>
    <row r="19" spans="1:18" ht="28.5">
      <c r="A19" s="629"/>
      <c r="B19" s="2181" t="s">
        <v>1763</v>
      </c>
      <c r="C19" s="2182"/>
      <c r="D19" s="2146"/>
      <c r="E19" s="2180"/>
      <c r="F19" s="1888" t="s">
        <v>1747</v>
      </c>
      <c r="G19" s="52" t="str">
        <f>G5</f>
        <v>估价对象所在区域公共配套设施齐备情况</v>
      </c>
    </row>
    <row r="20" spans="1:18" ht="71.25">
      <c r="A20" s="629"/>
      <c r="B20" s="2181" t="s">
        <v>1764</v>
      </c>
      <c r="C20" s="2179" t="str">
        <f>C9</f>
        <v>自然环境：北京国际雕塑公园、老山城市休闲公园、莲花河等；人文环境：中国科学院大学等；综合评价环境状况较好。</v>
      </c>
      <c r="D20" s="2152"/>
      <c r="E20" s="2180"/>
      <c r="F20" s="1888" t="s">
        <v>1765</v>
      </c>
      <c r="G20" s="52" t="str">
        <f>G6</f>
        <v>估价对象所在区域基础设施水平</v>
      </c>
    </row>
    <row r="21" spans="1:18" ht="28.5">
      <c r="A21" s="629"/>
      <c r="B21" s="1888" t="s">
        <v>1747</v>
      </c>
      <c r="C21" s="52" t="str">
        <f>C7</f>
        <v>估价对象所在区域公共配套设施较好</v>
      </c>
      <c r="D21" s="2146"/>
      <c r="E21" s="2180"/>
      <c r="F21" s="2181" t="s">
        <v>1766</v>
      </c>
      <c r="G21" s="2183"/>
    </row>
    <row r="22" spans="1:18" ht="15">
      <c r="A22" s="629"/>
      <c r="B22" s="1888" t="s">
        <v>1750</v>
      </c>
      <c r="C22" s="52" t="str">
        <f>C8</f>
        <v>七通一平</v>
      </c>
      <c r="D22" s="2146"/>
      <c r="E22" s="2180"/>
      <c r="F22" s="2181" t="s">
        <v>1755</v>
      </c>
      <c r="G22" s="2184"/>
    </row>
    <row r="23" spans="1:18" s="2143" customFormat="1" ht="15.75" thickBot="1">
      <c r="A23" s="629"/>
      <c r="B23" s="2181" t="s">
        <v>1766</v>
      </c>
      <c r="C23" s="2183"/>
      <c r="D23" s="2169"/>
      <c r="E23" s="2185"/>
      <c r="F23" s="2186" t="s">
        <v>1767</v>
      </c>
      <c r="G23" s="2187"/>
      <c r="H23" s="2169"/>
      <c r="I23" s="2170"/>
      <c r="J23" s="2169"/>
      <c r="K23" s="2169"/>
      <c r="L23" s="2170"/>
      <c r="M23" s="2169"/>
      <c r="N23" s="2169"/>
      <c r="O23" s="2170"/>
      <c r="P23" s="2169"/>
      <c r="Q23" s="2169"/>
      <c r="R23" s="2171"/>
    </row>
    <row r="24" spans="1:18" s="2143" customFormat="1" ht="15.75" thickBot="1">
      <c r="A24" s="2188"/>
      <c r="B24" s="2186" t="s">
        <v>1768</v>
      </c>
      <c r="C24" s="53" t="str">
        <f>C10</f>
        <v>城市次干道—鲁谷路</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D21" sqref="D21"/>
    </sheetView>
  </sheetViews>
  <sheetFormatPr defaultColWidth="14.625" defaultRowHeight="13.5"/>
  <cols>
    <col min="1" max="1" width="24.375" customWidth="1"/>
  </cols>
  <sheetData>
    <row r="1" spans="1:9" ht="16.5">
      <c r="A1" s="1831" t="s">
        <v>1227</v>
      </c>
      <c r="B1" s="1831">
        <f>SUM(B14:B23)</f>
        <v>137.41</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43083</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941.49210000000005</v>
      </c>
      <c r="C5" s="1831">
        <f ca="1">ROUND(B5*10000/$B$1,0)</f>
        <v>68517</v>
      </c>
      <c r="D5" s="1831" t="e">
        <f ca="1">ROUND(B5*10000/$B$2,0)</f>
        <v>#DIV/0!</v>
      </c>
      <c r="E5" s="1832"/>
      <c r="F5" s="1836"/>
      <c r="G5" s="1836"/>
    </row>
    <row r="6" spans="1:9" ht="16.5">
      <c r="A6" s="1831" t="s">
        <v>1235</v>
      </c>
      <c r="B6" s="1831">
        <f ca="1">SUM(G14:G23)</f>
        <v>941.40499999999997</v>
      </c>
      <c r="C6" s="1831">
        <f t="shared" ref="C6:C8" ca="1" si="0">ROUND(B6*10000/$B$1,0)</f>
        <v>68511</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2876</v>
      </c>
      <c r="B14" s="1835">
        <f>项目基本情况!C12</f>
        <v>137.41</v>
      </c>
      <c r="C14" s="1835">
        <f>项目基本情况!C13</f>
        <v>0</v>
      </c>
      <c r="D14" s="1835">
        <f ca="1">IF('数据-取费表'!B3="万元",IF(A14="估价对象1（结果表）",结果表!H121,'结果表 (1修多)'!H124),IF(A14="估价对象1（结果表）",结果表!H121,'结果表 (1修多)'!H124)/10000)</f>
        <v>941.49210000000005</v>
      </c>
      <c r="E14" s="1835">
        <f ca="1">ROUND(D14*10000/B14,0)</f>
        <v>68517</v>
      </c>
      <c r="F14" s="1835" t="e">
        <f ca="1">ROUND(D14*10000/C14,0)</f>
        <v>#DIV/0!</v>
      </c>
      <c r="G14" s="1835">
        <f ca="1">IF('数据-取费表'!B3="万元",IF(A14="估价对象1（结果表）",结果表!D125,'结果表 (1修多)'!D128),IF(A14="估价对象1（结果表）",结果表!D125,'结果表 (1修多)'!D128)/10000)</f>
        <v>941.40499999999997</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F42" sqref="F42"/>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1769</v>
      </c>
      <c r="B1" s="2195"/>
      <c r="C1" s="2195"/>
      <c r="D1" s="2195"/>
      <c r="E1" s="2195"/>
      <c r="F1" s="2195"/>
      <c r="G1" s="2195"/>
      <c r="H1" s="2195"/>
      <c r="I1" s="2195"/>
    </row>
    <row r="2" spans="1:12" ht="21.75" customHeight="1">
      <c r="A2" s="2922" t="str">
        <f>项目基本情况!B1</f>
        <v>北京市预评估</v>
      </c>
      <c r="B2" s="2922"/>
      <c r="C2" s="2922"/>
      <c r="D2" s="2922"/>
      <c r="E2" s="2922"/>
      <c r="F2" s="2922"/>
      <c r="G2" s="2922"/>
      <c r="H2" s="2922"/>
      <c r="I2" s="2922"/>
    </row>
    <row r="3" spans="1:12" ht="12.75">
      <c r="A3" s="2925" t="s">
        <v>1770</v>
      </c>
      <c r="B3" s="2926"/>
      <c r="C3" s="2926"/>
      <c r="D3" s="2926"/>
      <c r="E3" s="2926"/>
      <c r="F3" s="2926"/>
      <c r="G3" s="2926"/>
      <c r="H3" s="2926"/>
      <c r="I3" s="2926"/>
    </row>
    <row r="4" spans="1:12" ht="14.25">
      <c r="A4" s="2197" t="s">
        <v>1771</v>
      </c>
      <c r="B4" s="2198" t="s">
        <v>1772</v>
      </c>
      <c r="C4" s="2199" t="s">
        <v>2875</v>
      </c>
      <c r="D4" s="2199" t="s">
        <v>2892</v>
      </c>
      <c r="E4" s="2906" t="s">
        <v>1773</v>
      </c>
      <c r="F4" s="2907"/>
      <c r="G4" s="2907"/>
      <c r="H4" s="2907"/>
      <c r="I4" s="2917"/>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收益法</v>
      </c>
    </row>
    <row r="5" spans="1:12" ht="12.75">
      <c r="A5" s="2899" t="s">
        <v>1774</v>
      </c>
      <c r="B5" s="2861">
        <v>25</v>
      </c>
      <c r="C5" s="2910">
        <v>8</v>
      </c>
      <c r="D5" s="2924">
        <v>2</v>
      </c>
      <c r="E5" s="56" t="s">
        <v>1775</v>
      </c>
      <c r="F5" s="2200"/>
      <c r="G5" s="2200"/>
      <c r="H5" s="2200"/>
      <c r="I5" s="2201"/>
    </row>
    <row r="6" spans="1:12" ht="12.75">
      <c r="A6" s="2899"/>
      <c r="B6" s="2861"/>
      <c r="C6" s="2927"/>
      <c r="D6" s="2924"/>
      <c r="E6" s="56" t="s">
        <v>1776</v>
      </c>
      <c r="F6" s="2200"/>
      <c r="G6" s="2200"/>
      <c r="H6" s="2200"/>
      <c r="I6" s="2201"/>
    </row>
    <row r="7" spans="1:12" ht="12.75">
      <c r="A7" s="2899"/>
      <c r="B7" s="2861"/>
      <c r="C7" s="2911"/>
      <c r="D7" s="2924"/>
      <c r="E7" s="56" t="s">
        <v>1777</v>
      </c>
      <c r="F7" s="2200"/>
      <c r="G7" s="2200"/>
      <c r="H7" s="2200"/>
      <c r="I7" s="2201"/>
    </row>
    <row r="8" spans="1:12" ht="12.75">
      <c r="A8" s="2899" t="s">
        <v>1778</v>
      </c>
      <c r="B8" s="2861">
        <v>15</v>
      </c>
      <c r="C8" s="2910"/>
      <c r="D8" s="2924"/>
      <c r="E8" s="56" t="s">
        <v>1779</v>
      </c>
      <c r="F8" s="2200"/>
      <c r="G8" s="2200"/>
      <c r="H8" s="2200"/>
      <c r="I8" s="2201"/>
    </row>
    <row r="9" spans="1:12" ht="12.75">
      <c r="A9" s="2899"/>
      <c r="B9" s="2861"/>
      <c r="C9" s="2911"/>
      <c r="D9" s="2924"/>
      <c r="E9" s="56" t="s">
        <v>1780</v>
      </c>
      <c r="F9" s="2200"/>
      <c r="G9" s="2200"/>
      <c r="H9" s="2200"/>
      <c r="I9" s="2201"/>
    </row>
    <row r="10" spans="1:12" ht="12.75">
      <c r="A10" s="2899" t="s">
        <v>1781</v>
      </c>
      <c r="B10" s="2861">
        <v>15</v>
      </c>
      <c r="C10" s="2910"/>
      <c r="D10" s="2924"/>
      <c r="E10" s="56" t="s">
        <v>1782</v>
      </c>
      <c r="F10" s="2200"/>
      <c r="G10" s="2200"/>
      <c r="H10" s="2200"/>
      <c r="I10" s="2201"/>
    </row>
    <row r="11" spans="1:12" ht="12.75">
      <c r="A11" s="2899"/>
      <c r="B11" s="2861"/>
      <c r="C11" s="2911"/>
      <c r="D11" s="2924"/>
      <c r="E11" s="56" t="s">
        <v>1783</v>
      </c>
      <c r="F11" s="2200"/>
      <c r="G11" s="2200"/>
      <c r="H11" s="2200"/>
      <c r="I11" s="2201"/>
    </row>
    <row r="12" spans="1:12" ht="12.75">
      <c r="A12" s="2899" t="s">
        <v>1784</v>
      </c>
      <c r="B12" s="2861">
        <v>15</v>
      </c>
      <c r="C12" s="2910"/>
      <c r="D12" s="2924"/>
      <c r="E12" s="56" t="s">
        <v>1785</v>
      </c>
      <c r="F12" s="2200"/>
      <c r="G12" s="2200"/>
      <c r="H12" s="2200"/>
      <c r="I12" s="2201"/>
    </row>
    <row r="13" spans="1:12" ht="12.75">
      <c r="A13" s="2899"/>
      <c r="B13" s="2861"/>
      <c r="C13" s="2911"/>
      <c r="D13" s="2924"/>
      <c r="E13" s="56" t="s">
        <v>1786</v>
      </c>
      <c r="F13" s="2200"/>
      <c r="G13" s="2200"/>
      <c r="H13" s="2200"/>
      <c r="I13" s="2201"/>
    </row>
    <row r="14" spans="1:12" ht="12.75">
      <c r="A14" s="2899" t="s">
        <v>1787</v>
      </c>
      <c r="B14" s="2861">
        <v>30</v>
      </c>
      <c r="C14" s="2910"/>
      <c r="D14" s="2924"/>
      <c r="E14" s="56" t="s">
        <v>1788</v>
      </c>
      <c r="F14" s="2200"/>
      <c r="G14" s="2200"/>
      <c r="H14" s="2200"/>
      <c r="I14" s="2201"/>
    </row>
    <row r="15" spans="1:12" ht="12.75">
      <c r="A15" s="2899"/>
      <c r="B15" s="2861"/>
      <c r="C15" s="2927"/>
      <c r="D15" s="2924"/>
      <c r="E15" s="56" t="s">
        <v>1789</v>
      </c>
      <c r="F15" s="2200"/>
      <c r="G15" s="2200"/>
      <c r="H15" s="2200"/>
      <c r="I15" s="2201"/>
    </row>
    <row r="16" spans="1:12" ht="12.75">
      <c r="A16" s="2899"/>
      <c r="B16" s="2861"/>
      <c r="C16" s="2911"/>
      <c r="D16" s="2924"/>
      <c r="E16" s="56" t="s">
        <v>1790</v>
      </c>
      <c r="F16" s="2200"/>
      <c r="G16" s="2200"/>
      <c r="H16" s="2200"/>
      <c r="I16" s="2201"/>
    </row>
    <row r="17" spans="1:35" ht="15">
      <c r="A17" s="2202" t="s">
        <v>1791</v>
      </c>
      <c r="B17" s="2203"/>
      <c r="C17" s="57">
        <f>SUM(C5:C16)</f>
        <v>8</v>
      </c>
      <c r="D17" s="57">
        <f>SUM(D5:D16)</f>
        <v>2</v>
      </c>
      <c r="E17" s="2195"/>
      <c r="F17" s="2195"/>
      <c r="G17" s="2195"/>
      <c r="H17" s="2195"/>
      <c r="I17" s="2195"/>
    </row>
    <row r="18" spans="1:35" ht="15.75" thickBot="1">
      <c r="A18" s="2204" t="s">
        <v>1792</v>
      </c>
      <c r="B18" s="2205"/>
      <c r="C18" s="58">
        <f>ROUND(C17/SUM(C17:D17),2)</f>
        <v>0.8</v>
      </c>
      <c r="D18" s="58">
        <f>1-C18</f>
        <v>0.19999999999999996</v>
      </c>
      <c r="E18" s="2195"/>
      <c r="F18" s="2195"/>
      <c r="G18" s="2195"/>
      <c r="H18" s="2195"/>
      <c r="I18" s="2195"/>
    </row>
    <row r="19" spans="1:35" ht="15">
      <c r="A19" s="2206" t="s">
        <v>1793</v>
      </c>
      <c r="B19" s="2207" t="s">
        <v>1794</v>
      </c>
      <c r="C19" s="59">
        <f ca="1">SUMIF(INDIRECT("'"&amp;C4&amp;"'"&amp;"!A:A"),结果表!B19,INDIRECT("'"&amp;C4&amp;"'"&amp;"!B:B"))</f>
        <v>10301353</v>
      </c>
      <c r="D19" s="60">
        <f ca="1">SUMIF(INDIRECT("'"&amp;D4&amp;"'"&amp;"!A:A"),结果表!B19,INDIRECT("'"&amp;D4&amp;"'"&amp;"!B:B"))</f>
        <v>5879933</v>
      </c>
      <c r="E19" s="2206" t="s">
        <v>1795</v>
      </c>
      <c r="F19" s="2207" t="s">
        <v>1794</v>
      </c>
      <c r="G19" s="61">
        <f ca="1">ROUND(C19*$C$18+D19*$D$18,0)</f>
        <v>9417069</v>
      </c>
      <c r="H19" s="2208" t="str">
        <f>'数据-取费表'!B3</f>
        <v>元</v>
      </c>
      <c r="I19" s="2195"/>
    </row>
    <row r="20" spans="1:35" ht="15">
      <c r="A20" s="2209"/>
      <c r="B20" s="2210" t="s">
        <v>1796</v>
      </c>
      <c r="C20" s="62">
        <f ca="1">SUMIF(INDIRECT("'"&amp;C4&amp;"'"&amp;"!A:A"),结果表!B20,INDIRECT("'"&amp;C4&amp;"'"&amp;"!B:B"))</f>
        <v>74968</v>
      </c>
      <c r="D20" s="63">
        <f ca="1">SUMIF(INDIRECT("'"&amp;D4&amp;"'"&amp;"!A:A"),结果表!B20,INDIRECT("'"&amp;D4&amp;"'"&amp;"!B:B"))</f>
        <v>42791</v>
      </c>
      <c r="E20" s="2209"/>
      <c r="F20" s="2210" t="s">
        <v>1796</v>
      </c>
      <c r="G20" s="64">
        <f ca="1">ROUND(C20*$C$18+D20*$D$18,0)</f>
        <v>68533</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f ca="1">IF(C19&lt;D19,D19/C19-1,C19/D19-1)</f>
        <v>0.75195074501699244</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1799</v>
      </c>
      <c r="B24" s="2207" t="s">
        <v>1794</v>
      </c>
      <c r="C24" s="61">
        <f>D30</f>
        <v>0</v>
      </c>
      <c r="D24" s="994"/>
      <c r="E24" s="2195"/>
      <c r="F24" s="2195"/>
      <c r="G24" s="2195"/>
      <c r="H24" s="2195"/>
      <c r="I24" s="2195"/>
    </row>
    <row r="25" spans="1:35" ht="21.75" customHeight="1">
      <c r="A25" s="2931"/>
      <c r="B25" s="2210" t="s">
        <v>1796</v>
      </c>
      <c r="C25" s="66">
        <f>IF(B30=0,0,C30)</f>
        <v>15.6</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2882</v>
      </c>
      <c r="B27" s="67">
        <v>55.86</v>
      </c>
      <c r="C27" s="67">
        <v>15.6</v>
      </c>
      <c r="D27" s="68">
        <f>E40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1804</v>
      </c>
      <c r="B30" s="67">
        <v>55.86</v>
      </c>
      <c r="C30" s="67">
        <v>15.6</v>
      </c>
      <c r="D30" s="67"/>
      <c r="E30" s="2714"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1805</v>
      </c>
      <c r="B32" s="2224" t="str">
        <f>'数据-取费表'!B4</f>
        <v>楼面单价</v>
      </c>
      <c r="C32" s="1145">
        <f ca="1">IF(B32="总价",G19-C24,G20-C25)</f>
        <v>68517.399999999994</v>
      </c>
      <c r="D32" s="2195" t="str">
        <f>IF(B32="楼面单价","元/平方米",H19)</f>
        <v>元/平方米</v>
      </c>
      <c r="E32" s="2195"/>
      <c r="F32" s="2195"/>
      <c r="G32" s="2195"/>
      <c r="H32" s="2195"/>
      <c r="I32" s="2195"/>
    </row>
    <row r="33" spans="1:16" ht="15">
      <c r="A33" s="2225" t="s">
        <v>1806</v>
      </c>
      <c r="B33" s="2226"/>
      <c r="C33" s="2227"/>
      <c r="D33" s="2228"/>
      <c r="E33" s="2229" t="s">
        <v>1807</v>
      </c>
      <c r="F33" s="2230" t="str">
        <f>IF(B32="楼面单价","取值（单价）","取值（总价）")</f>
        <v>取值（单价）</v>
      </c>
      <c r="G33" s="2195"/>
      <c r="H33" s="2195"/>
      <c r="I33" s="2195"/>
    </row>
    <row r="34" spans="1:16" ht="15">
      <c r="A34" s="2231"/>
      <c r="B34" s="2232" t="s">
        <v>1808</v>
      </c>
      <c r="C34" s="72">
        <f ca="1">IF(D33="自定义",F34,C32-C35)</f>
        <v>61323.399999999994</v>
      </c>
      <c r="D34" s="1091">
        <f ca="1">IF(D33="自定义",ROUND(C34/C32,3),1-D35)</f>
        <v>0.89500000000000002</v>
      </c>
      <c r="E34" s="2233" t="s">
        <v>1809</v>
      </c>
      <c r="F34" s="1829">
        <v>2000</v>
      </c>
      <c r="G34" s="2195"/>
      <c r="H34" s="2195"/>
      <c r="I34" s="2195"/>
    </row>
    <row r="35" spans="1:16" ht="15.75" thickBot="1">
      <c r="A35" s="2234"/>
      <c r="B35" s="2235" t="s">
        <v>1810</v>
      </c>
      <c r="C35" s="73">
        <f ca="1">IF(D33="自定义",F35,ROUND(C32*D35,0))</f>
        <v>7194</v>
      </c>
      <c r="D35" s="1090">
        <f ca="1">IF(D33="自定义",ROUND(C35/C32,3),IF(D33="成本法成本比率",成本法!C56,IF(D33="收益法收益比率",收益法!J38,收益法!J41)))</f>
        <v>0.105</v>
      </c>
      <c r="E35" s="2236" t="s">
        <v>1811</v>
      </c>
      <c r="F35" s="79">
        <v>4460</v>
      </c>
      <c r="G35" s="2195"/>
      <c r="H35" s="2195"/>
      <c r="I35" s="2195"/>
    </row>
    <row r="36" spans="1:16" ht="15.75" thickBot="1">
      <c r="A36" s="2912" t="s">
        <v>1812</v>
      </c>
      <c r="B36" s="2237" t="s">
        <v>1813</v>
      </c>
      <c r="C36" s="69">
        <v>0</v>
      </c>
      <c r="D36" s="2238"/>
      <c r="E36" s="2239"/>
      <c r="F36" s="2239"/>
      <c r="G36" s="2195"/>
      <c r="H36" s="2195"/>
      <c r="I36" s="2195"/>
    </row>
    <row r="37" spans="1:16" ht="15.75" thickBot="1">
      <c r="A37" s="2913"/>
      <c r="B37" s="2240" t="s">
        <v>1814</v>
      </c>
      <c r="C37" s="71">
        <v>0</v>
      </c>
      <c r="D37" s="2205"/>
      <c r="E37" s="2205"/>
      <c r="F37" s="2239"/>
      <c r="G37" s="2205"/>
      <c r="H37" s="2205"/>
      <c r="I37" s="2205"/>
    </row>
    <row r="38" spans="1:16" ht="15.75" thickBot="1">
      <c r="A38" s="2914"/>
      <c r="B38" s="2241" t="s">
        <v>1815</v>
      </c>
      <c r="C38" s="712">
        <v>871</v>
      </c>
      <c r="D38" s="2242" t="s">
        <v>1816</v>
      </c>
      <c r="E38" s="2205"/>
      <c r="F38" s="2239"/>
      <c r="G38" s="2205"/>
      <c r="H38" s="2205"/>
      <c r="I38" s="2205"/>
    </row>
    <row r="39" spans="1:16" ht="15">
      <c r="A39" s="2209" t="s">
        <v>1817</v>
      </c>
      <c r="B39" s="2243" t="s">
        <v>1801</v>
      </c>
      <c r="C39" s="2244" t="s">
        <v>1802</v>
      </c>
      <c r="D39" s="2244" t="s">
        <v>1818</v>
      </c>
      <c r="E39" s="2245" t="s">
        <v>1803</v>
      </c>
      <c r="F39" s="2239"/>
      <c r="G39" s="2205"/>
      <c r="H39" s="2205"/>
      <c r="I39" s="2205"/>
    </row>
    <row r="40" spans="1:16" ht="14.25">
      <c r="A40" s="2246" t="s">
        <v>1819</v>
      </c>
      <c r="B40" s="74"/>
      <c r="C40" s="75"/>
      <c r="D40" s="75"/>
      <c r="E40" s="76"/>
      <c r="F40" s="2239"/>
      <c r="G40" s="2205"/>
      <c r="H40" s="2205"/>
      <c r="I40" s="2205"/>
    </row>
    <row r="41" spans="1:16" ht="14.25">
      <c r="A41" s="2246" t="s">
        <v>1820</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hidden="1">
      <c r="A44" s="2251" t="s">
        <v>1821</v>
      </c>
      <c r="B44" s="2252"/>
      <c r="C44" s="2252"/>
      <c r="D44" s="2253"/>
      <c r="E44" s="2253"/>
      <c r="F44" s="2254"/>
      <c r="G44" s="2254"/>
      <c r="H44" s="2254"/>
      <c r="I44" s="2254"/>
      <c r="J44" s="2255" t="s">
        <v>1822</v>
      </c>
      <c r="K44" s="2256"/>
      <c r="L44" s="2256"/>
      <c r="M44" s="2256"/>
      <c r="N44" s="2256"/>
      <c r="O44" s="2256"/>
      <c r="P44" s="1846"/>
    </row>
    <row r="45" spans="1:16" ht="14.25" hidden="1" customHeight="1" thickBot="1">
      <c r="A45" s="2918" t="s">
        <v>1823</v>
      </c>
      <c r="B45" s="2919"/>
      <c r="C45" s="2920"/>
      <c r="D45" s="80">
        <f ca="1">ROUND(I102*F45,0)</f>
        <v>9414921</v>
      </c>
      <c r="E45" s="81" t="s">
        <v>1824</v>
      </c>
      <c r="F45" s="82">
        <v>1</v>
      </c>
      <c r="G45" s="83" t="s">
        <v>1825</v>
      </c>
      <c r="H45" s="2195"/>
      <c r="I45" s="2195"/>
      <c r="J45" s="2980" t="s">
        <v>1826</v>
      </c>
      <c r="K45" s="2980"/>
      <c r="L45" s="2980"/>
      <c r="M45" s="2980"/>
      <c r="N45" s="2980"/>
      <c r="O45" s="2980"/>
      <c r="P45" s="1846"/>
    </row>
    <row r="46" spans="1:16" ht="14.25" hidden="1" customHeight="1">
      <c r="A46" s="2903" t="s">
        <v>1827</v>
      </c>
      <c r="B46" s="2904"/>
      <c r="C46" s="2904"/>
      <c r="D46" s="2904"/>
      <c r="E46" s="2904"/>
      <c r="F46" s="2904"/>
      <c r="G46" s="2905"/>
      <c r="H46" s="2257"/>
      <c r="I46" s="1144"/>
      <c r="J46" s="1884">
        <v>1</v>
      </c>
      <c r="K46" s="2980" t="s">
        <v>1828</v>
      </c>
      <c r="L46" s="2980"/>
      <c r="M46" s="2981" t="str">
        <f>项目基本情况!B1</f>
        <v>北京市预评估</v>
      </c>
      <c r="N46" s="2981"/>
      <c r="O46" s="2981"/>
      <c r="P46" s="1846"/>
    </row>
    <row r="47" spans="1:16" ht="12" hidden="1" customHeight="1">
      <c r="A47" s="85" t="s">
        <v>1829</v>
      </c>
      <c r="B47" s="86"/>
      <c r="C47" s="87"/>
      <c r="D47" s="88" t="s">
        <v>1830</v>
      </c>
      <c r="E47" s="14" t="s">
        <v>1831</v>
      </c>
      <c r="F47" s="89" t="s">
        <v>1832</v>
      </c>
      <c r="G47" s="90" t="s">
        <v>1833</v>
      </c>
      <c r="H47" s="2257"/>
      <c r="I47" s="1144"/>
      <c r="J47" s="1884">
        <v>2</v>
      </c>
      <c r="K47" s="2980" t="s">
        <v>1834</v>
      </c>
      <c r="L47" s="2980"/>
      <c r="M47" s="2982">
        <f>'数据-取费表'!B2</f>
        <v>43083</v>
      </c>
      <c r="N47" s="2982"/>
      <c r="O47" s="2982"/>
      <c r="P47" s="1846"/>
    </row>
    <row r="48" spans="1:16" ht="25.5" hidden="1">
      <c r="A48" s="2915" t="s">
        <v>1835</v>
      </c>
      <c r="B48" s="2916"/>
      <c r="C48" s="2916"/>
      <c r="D48" s="56">
        <f ca="1">IF(H48="情况1",0,IF(H48="情况2",D52,IF(H48="情况3",D53,IF(H48="情况4",D54))))</f>
        <v>502129</v>
      </c>
      <c r="E48" s="1894" t="str">
        <f>IF(H48="情况4","(销售额-原购置价)×税（费）率","销售额×税（费）率")</f>
        <v>销售额×税（费）率</v>
      </c>
      <c r="F48" s="91">
        <f>IF(H48="情况1","免征",'数据-取费表'!E29)</f>
        <v>5.6000000000000001E-2</v>
      </c>
      <c r="G48" s="2258" t="s">
        <v>1836</v>
      </c>
      <c r="H48" s="2259" t="s">
        <v>1837</v>
      </c>
      <c r="I48" s="2257"/>
      <c r="J48" s="1884">
        <v>3</v>
      </c>
      <c r="K48" s="2980" t="s">
        <v>1838</v>
      </c>
      <c r="L48" s="2980"/>
      <c r="M48" s="2981">
        <f ca="1">I102</f>
        <v>9414921</v>
      </c>
      <c r="N48" s="2981"/>
      <c r="O48" s="2981"/>
      <c r="P48" s="1846"/>
    </row>
    <row r="49" spans="1:16" ht="25.5" hidden="1" customHeight="1">
      <c r="A49" s="92" t="s">
        <v>1839</v>
      </c>
      <c r="B49" s="2908" t="s">
        <v>1840</v>
      </c>
      <c r="C49" s="2908"/>
      <c r="D49" s="93">
        <v>0</v>
      </c>
      <c r="E49" s="13" t="s">
        <v>1841</v>
      </c>
      <c r="F49" s="18" t="s">
        <v>48</v>
      </c>
      <c r="G49" s="2973"/>
      <c r="H49" s="2195"/>
      <c r="I49" s="2260"/>
      <c r="J49" s="1884">
        <v>4</v>
      </c>
      <c r="K49" s="2980" t="str">
        <f>IF(项目基本情况!F5="房地产抵押价值","房地产抵押价值","抵押担保权已注销时的房地产抵押价值")</f>
        <v>抵押担保权已注销时的房地产抵押价值</v>
      </c>
      <c r="L49" s="2980"/>
      <c r="M49" s="2981" t="str">
        <f>IF(项目基本情况!E8="房地产抵押价值",I110,I112)</f>
        <v>——</v>
      </c>
      <c r="N49" s="2981"/>
      <c r="O49" s="2981"/>
      <c r="P49" s="1846"/>
    </row>
    <row r="50" spans="1:16" ht="25.5" hidden="1" customHeight="1">
      <c r="A50" s="94"/>
      <c r="B50" s="2908" t="s">
        <v>1842</v>
      </c>
      <c r="C50" s="2908"/>
      <c r="D50" s="95"/>
      <c r="E50" s="21"/>
      <c r="F50" s="96"/>
      <c r="G50" s="2974"/>
      <c r="H50" s="2195"/>
      <c r="I50" s="2260"/>
      <c r="J50" s="2980" t="s">
        <v>1843</v>
      </c>
      <c r="K50" s="2980"/>
      <c r="L50" s="2980"/>
      <c r="M50" s="2980"/>
      <c r="N50" s="2980"/>
      <c r="O50" s="2980"/>
      <c r="P50" s="1846"/>
    </row>
    <row r="51" spans="1:16" ht="12" hidden="1" customHeight="1">
      <c r="A51" s="97"/>
      <c r="B51" s="2908" t="s">
        <v>1844</v>
      </c>
      <c r="C51" s="2908"/>
      <c r="D51" s="98"/>
      <c r="E51" s="20"/>
      <c r="F51" s="96"/>
      <c r="G51" s="2975"/>
      <c r="H51" s="2195"/>
      <c r="I51" s="2260"/>
      <c r="J51" s="2261" t="s">
        <v>1845</v>
      </c>
      <c r="K51" s="2980" t="s">
        <v>1846</v>
      </c>
      <c r="L51" s="2980"/>
      <c r="M51" s="2261" t="s">
        <v>1847</v>
      </c>
      <c r="N51" s="2261" t="s">
        <v>1848</v>
      </c>
      <c r="O51" s="2261" t="s">
        <v>1849</v>
      </c>
      <c r="P51" s="1846"/>
    </row>
    <row r="52" spans="1:16" ht="24" hidden="1" customHeight="1">
      <c r="A52" s="99" t="s">
        <v>1850</v>
      </c>
      <c r="B52" s="2908" t="s">
        <v>1851</v>
      </c>
      <c r="C52" s="2908"/>
      <c r="D52" s="98">
        <f ca="1">ROUND(D45*'数据-取费表'!E29/(1+'数据-取费表'!F30),0)</f>
        <v>502129</v>
      </c>
      <c r="E52" s="10" t="s">
        <v>1852</v>
      </c>
      <c r="F52" s="100">
        <f>'数据-取费表'!E29</f>
        <v>5.6000000000000001E-2</v>
      </c>
      <c r="G52" s="2262"/>
      <c r="H52" s="2195"/>
      <c r="I52" s="2260"/>
      <c r="J52" s="1884">
        <v>1</v>
      </c>
      <c r="K52" s="2940" t="s">
        <v>1853</v>
      </c>
      <c r="L52" s="2940"/>
      <c r="M52" s="778">
        <f ca="1">D48</f>
        <v>502129</v>
      </c>
      <c r="N52" s="1884" t="str">
        <f>E48</f>
        <v>销售额×税（费）率</v>
      </c>
      <c r="O52" s="779">
        <f>F48</f>
        <v>5.6000000000000001E-2</v>
      </c>
      <c r="P52" s="1846"/>
    </row>
    <row r="53" spans="1:16" ht="12" hidden="1" customHeight="1">
      <c r="A53" s="99" t="s">
        <v>1854</v>
      </c>
      <c r="B53" s="2909" t="s">
        <v>1855</v>
      </c>
      <c r="C53" s="2834"/>
      <c r="D53" s="98">
        <f ca="1">ROUND(D45*'数据-取费表'!E29/(1+'数据-取费表'!F30),0)</f>
        <v>502129</v>
      </c>
      <c r="E53" s="10" t="s">
        <v>1852</v>
      </c>
      <c r="F53" s="100">
        <f>'数据-取费表'!E29</f>
        <v>5.6000000000000001E-2</v>
      </c>
      <c r="G53" s="2262"/>
      <c r="H53" s="2195"/>
      <c r="I53" s="2260"/>
      <c r="J53" s="1884">
        <v>2</v>
      </c>
      <c r="K53" s="2940" t="s">
        <v>1856</v>
      </c>
      <c r="L53" s="2940"/>
      <c r="M53" s="778">
        <f t="shared" ref="M53:O54" ca="1" si="1">D55</f>
        <v>4707</v>
      </c>
      <c r="N53" s="1884" t="str">
        <f t="shared" si="1"/>
        <v>销售额×税（费）率</v>
      </c>
      <c r="O53" s="779">
        <f t="shared" si="1"/>
        <v>5.0000000000000001E-4</v>
      </c>
      <c r="P53" s="1846"/>
    </row>
    <row r="54" spans="1:16" ht="12" hidden="1" customHeight="1">
      <c r="A54" s="99" t="s">
        <v>1857</v>
      </c>
      <c r="B54" s="2909" t="s">
        <v>1858</v>
      </c>
      <c r="C54" s="2834"/>
      <c r="D54" s="98">
        <f ca="1">C68</f>
        <v>502129</v>
      </c>
      <c r="E54" s="20" t="s">
        <v>1859</v>
      </c>
      <c r="F54" s="100">
        <f>'数据-取费表'!E29</f>
        <v>5.6000000000000001E-2</v>
      </c>
      <c r="G54" s="2262"/>
      <c r="H54" s="2263"/>
      <c r="I54" s="2260"/>
      <c r="J54" s="1884">
        <v>3</v>
      </c>
      <c r="K54" s="2940" t="s">
        <v>1860</v>
      </c>
      <c r="L54" s="2940"/>
      <c r="M54" s="778">
        <f t="shared" ca="1" si="1"/>
        <v>5328845</v>
      </c>
      <c r="N54" s="1884" t="str">
        <f t="shared" si="1"/>
        <v>增值额×税（费）率</v>
      </c>
      <c r="O54" s="780" t="str">
        <f t="shared" si="1"/>
        <v>——</v>
      </c>
      <c r="P54" s="1846"/>
    </row>
    <row r="55" spans="1:16" ht="24" hidden="1" customHeight="1">
      <c r="A55" s="2826" t="s">
        <v>1861</v>
      </c>
      <c r="B55" s="2916"/>
      <c r="C55" s="2916"/>
      <c r="D55" s="101">
        <f ca="1">IF(H55="个人住宅",0,ROUND(D45*I55,0))</f>
        <v>4707</v>
      </c>
      <c r="E55" s="10" t="s">
        <v>1862</v>
      </c>
      <c r="F55" s="100">
        <f>IF(H55="正常",I55,"免征")</f>
        <v>5.0000000000000001E-4</v>
      </c>
      <c r="G55" s="2262"/>
      <c r="H55" s="2259" t="s">
        <v>1863</v>
      </c>
      <c r="I55" s="102">
        <f>'数据-取费表'!E37</f>
        <v>5.0000000000000001E-4</v>
      </c>
      <c r="J55" s="1884">
        <f>IF(H59="非个人房产","",4)</f>
        <v>4</v>
      </c>
      <c r="K55" s="2940" t="str">
        <f>IF(H59="非个人房产","——","个人所得税")</f>
        <v>个人所得税</v>
      </c>
      <c r="L55" s="2940"/>
      <c r="M55" s="781">
        <f ca="1">D59</f>
        <v>94149</v>
      </c>
      <c r="N55" s="1887" t="str">
        <f>E59</f>
        <v>销售额×税（费）率</v>
      </c>
      <c r="O55" s="782">
        <f>F59</f>
        <v>0.01</v>
      </c>
      <c r="P55" s="1846"/>
    </row>
    <row r="56" spans="1:16" ht="24.75" hidden="1">
      <c r="A56" s="2826" t="s">
        <v>1864</v>
      </c>
      <c r="B56" s="2916"/>
      <c r="C56" s="2916"/>
      <c r="D56" s="101">
        <f ca="1">IF(H56="个人住宅",D57,D58)</f>
        <v>5328845</v>
      </c>
      <c r="E56" s="10" t="s">
        <v>1865</v>
      </c>
      <c r="F56" s="100" t="str">
        <f>IF(H56="正常",F58,"免征")</f>
        <v>——</v>
      </c>
      <c r="G56" s="2264" t="s">
        <v>1866</v>
      </c>
      <c r="H56" s="2265" t="s">
        <v>1863</v>
      </c>
      <c r="I56" s="1022"/>
      <c r="J56" s="1884" t="str">
        <f>IF(项目基本情况!I6="上海银行",IF(J55="",4,J55+1),"")</f>
        <v/>
      </c>
      <c r="K56" s="2958" t="str">
        <f>IF(项目基本情况!I6="上海银行","其他处置费用","")</f>
        <v/>
      </c>
      <c r="L56" s="2959"/>
      <c r="M56" s="778" t="str">
        <f>IF(项目基本情况!I6="上海银行",M69,"")</f>
        <v/>
      </c>
      <c r="N56" s="2971" t="str">
        <f>IF(项目基本情况!I6="上海银行","包含处置中涉及的律师、诉讼、拍卖、评估等费用","")</f>
        <v/>
      </c>
      <c r="O56" s="2972"/>
      <c r="P56" s="1846"/>
    </row>
    <row r="57" spans="1:16" ht="12.75" hidden="1">
      <c r="A57" s="99" t="s">
        <v>1839</v>
      </c>
      <c r="B57" s="2906" t="s">
        <v>1867</v>
      </c>
      <c r="C57" s="2917"/>
      <c r="D57" s="103">
        <v>0</v>
      </c>
      <c r="E57" s="13" t="s">
        <v>1841</v>
      </c>
      <c r="F57" s="70"/>
      <c r="G57" s="2262"/>
      <c r="H57" s="1022"/>
      <c r="I57" s="1022"/>
      <c r="J57" s="2940">
        <f>IF(AND(J55="",J56=""),4,IF(项目基本情况!I6="上海银行",J56+1,J55+1))</f>
        <v>5</v>
      </c>
      <c r="K57" s="2940" t="s">
        <v>1868</v>
      </c>
      <c r="L57" s="2266" t="s">
        <v>1869</v>
      </c>
      <c r="M57" s="783"/>
      <c r="N57" s="784">
        <f ca="1">SUMIF(M52:M56,"&lt;9e307")</f>
        <v>5929830</v>
      </c>
      <c r="O57" s="2267"/>
      <c r="P57" s="1842" t="e">
        <f ca="1">N57/M49</f>
        <v>#VALUE!</v>
      </c>
    </row>
    <row r="58" spans="1:16" ht="24.75" hidden="1">
      <c r="A58" s="99" t="s">
        <v>1850</v>
      </c>
      <c r="B58" s="2906" t="s">
        <v>1870</v>
      </c>
      <c r="C58" s="2907"/>
      <c r="D58" s="101">
        <f ca="1">IF(H58="转让取得",C81,C97)</f>
        <v>5328845</v>
      </c>
      <c r="E58" s="10" t="s">
        <v>1865</v>
      </c>
      <c r="F58" s="14" t="s">
        <v>48</v>
      </c>
      <c r="G58" s="2262"/>
      <c r="H58" s="2265" t="s">
        <v>1871</v>
      </c>
      <c r="I58" s="1022"/>
      <c r="J58" s="2940"/>
      <c r="K58" s="2940"/>
      <c r="L58" s="2266" t="s">
        <v>1872</v>
      </c>
      <c r="M58" s="785"/>
      <c r="N58" s="2268" t="str">
        <f ca="1">IF(H19="元",NUMBERSTRING(INT(N57),2)&amp;"元整",NUMBERSTRING(INT(N57*10000),2)&amp;"元整")</f>
        <v>伍佰玖拾贰万玖仟捌佰叁拾元整</v>
      </c>
      <c r="O58" s="2269"/>
      <c r="P58" s="1846"/>
    </row>
    <row r="59" spans="1:16" ht="26.25" hidden="1" thickBot="1">
      <c r="A59" s="2827" t="s">
        <v>1873</v>
      </c>
      <c r="B59" s="2830"/>
      <c r="C59" s="2830"/>
      <c r="D59" s="104">
        <f ca="1">IF(H59="非个人房产","——",IF(H59="个人住宅",0,ROUND(D45*I59,0)))</f>
        <v>94149</v>
      </c>
      <c r="E59" s="105" t="str">
        <f>IF(H59="非个人房产","——","销售额×税（费）率")</f>
        <v>销售额×税（费）率</v>
      </c>
      <c r="F59" s="106">
        <f>IF(H59="非个人房产","——",IF(H59="个人住宅","免征",I59))</f>
        <v>0.01</v>
      </c>
      <c r="G59" s="2270" t="s">
        <v>1866</v>
      </c>
      <c r="H59" s="2265" t="s">
        <v>1874</v>
      </c>
      <c r="I59" s="107">
        <v>0.01</v>
      </c>
      <c r="J59" s="2938">
        <f>J57+1</f>
        <v>6</v>
      </c>
      <c r="K59" s="2940" t="s">
        <v>1875</v>
      </c>
      <c r="L59" s="1884" t="s">
        <v>1869</v>
      </c>
      <c r="M59" s="786"/>
      <c r="N59" s="787" t="e">
        <f ca="1">M49-N57</f>
        <v>#VALUE!</v>
      </c>
      <c r="O59" s="2271"/>
      <c r="P59" s="1846"/>
    </row>
    <row r="60" spans="1:16" ht="12" hidden="1" customHeight="1">
      <c r="A60" s="2069"/>
      <c r="B60" s="2195"/>
      <c r="C60" s="2195"/>
      <c r="D60" s="2195"/>
      <c r="E60" s="1022"/>
      <c r="F60" s="1022"/>
      <c r="G60" s="1022"/>
      <c r="H60" s="2248"/>
      <c r="I60" s="2195"/>
      <c r="J60" s="2939"/>
      <c r="K60" s="2940"/>
      <c r="L60" s="2266" t="s">
        <v>1872</v>
      </c>
      <c r="M60" s="785"/>
      <c r="N60" s="2268" t="e">
        <f ca="1">IF(H19="元",NUMBERSTRING(INT(N59),2)&amp;"元整",NUMBERSTRING(INT(N59*10000),2)&amp;"元整")</f>
        <v>#VALUE!</v>
      </c>
      <c r="O60" s="2269"/>
      <c r="P60" s="1846"/>
    </row>
    <row r="61" spans="1:16" ht="13.5" hidden="1" thickBot="1">
      <c r="A61" s="2921" t="s">
        <v>1876</v>
      </c>
      <c r="B61" s="2921"/>
      <c r="C61" s="2921"/>
      <c r="D61" s="2921"/>
      <c r="E61" s="2921"/>
      <c r="F61" s="1022"/>
      <c r="G61" s="1022"/>
      <c r="H61" s="2248"/>
      <c r="I61" s="2195"/>
      <c r="J61" s="1884">
        <f>J59+1</f>
        <v>7</v>
      </c>
      <c r="K61" s="2940" t="s">
        <v>1877</v>
      </c>
      <c r="L61" s="2940"/>
      <c r="M61" s="788"/>
      <c r="N61" s="789" t="e">
        <f ca="1">IF(H19="元",ROUND(N59/项目基本情况!C12,0),ROUND(N59*10000/项目基本情况!C12,0))</f>
        <v>#VALUE!</v>
      </c>
      <c r="O61" s="2272"/>
      <c r="P61" s="1846"/>
    </row>
    <row r="62" spans="1:16" ht="12.75" hidden="1">
      <c r="A62" s="2928" t="s">
        <v>1878</v>
      </c>
      <c r="B62" s="2929"/>
      <c r="C62" s="1886"/>
      <c r="D62" s="1886" t="s">
        <v>1879</v>
      </c>
      <c r="E62" s="108" t="s">
        <v>1880</v>
      </c>
      <c r="F62" s="1022"/>
      <c r="G62" s="1022"/>
      <c r="H62" s="2248"/>
      <c r="I62" s="2195"/>
      <c r="J62" s="1846"/>
      <c r="K62" s="1846"/>
      <c r="L62" s="1846"/>
      <c r="M62" s="1846"/>
      <c r="N62" s="1846"/>
      <c r="O62" s="1846"/>
      <c r="P62" s="1846"/>
    </row>
    <row r="63" spans="1:16" ht="12.75" hidden="1">
      <c r="A63" s="109">
        <v>1</v>
      </c>
      <c r="B63" s="110" t="s">
        <v>1881</v>
      </c>
      <c r="C63" s="111">
        <f ca="1">ROUND((C64+C65)/(1+'数据-取费表'!F30),0)</f>
        <v>8966591</v>
      </c>
      <c r="D63" s="112"/>
      <c r="E63" s="113"/>
      <c r="F63" s="1022"/>
      <c r="G63" s="1022"/>
      <c r="H63" s="2248"/>
      <c r="I63" s="2195"/>
      <c r="J63" s="2960" t="s">
        <v>1882</v>
      </c>
      <c r="K63" s="2273" t="s">
        <v>1883</v>
      </c>
      <c r="L63" s="1845" t="e">
        <f>IF(M49&gt;10000,M49*0.5%,IF(AND(M49&gt;1000,M49&lt;=10000),M49*1%,IF(AND(M49&gt;100,M49&lt;=1000),M49*3%,IF(AND(M49&gt;10,M49&lt;=100),M49*5%,M49*8%))))</f>
        <v>#VALUE!</v>
      </c>
      <c r="M63" s="14" t="e">
        <f>ROUND(L63,1)</f>
        <v>#VALUE!</v>
      </c>
      <c r="N63" s="1846"/>
      <c r="O63" s="1846"/>
      <c r="P63" s="1846"/>
    </row>
    <row r="64" spans="1:16" ht="12.75" hidden="1">
      <c r="A64" s="114" t="s">
        <v>71</v>
      </c>
      <c r="B64" s="115" t="s">
        <v>1884</v>
      </c>
      <c r="C64" s="116">
        <f ca="1">D45</f>
        <v>9414921</v>
      </c>
      <c r="D64" s="117" t="s">
        <v>41</v>
      </c>
      <c r="E64" s="118"/>
      <c r="F64" s="1022"/>
      <c r="G64" s="1022"/>
      <c r="H64" s="2248"/>
      <c r="I64" s="2195"/>
      <c r="J64" s="2960"/>
      <c r="K64" s="2273" t="s">
        <v>1885</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1886</v>
      </c>
      <c r="O64" s="1846"/>
      <c r="P64" s="1846"/>
    </row>
    <row r="65" spans="1:35" ht="12.75" hidden="1">
      <c r="A65" s="114" t="s">
        <v>72</v>
      </c>
      <c r="B65" s="115" t="s">
        <v>1887</v>
      </c>
      <c r="C65" s="119"/>
      <c r="D65" s="117"/>
      <c r="E65" s="118"/>
      <c r="F65" s="1022"/>
      <c r="G65" s="1022"/>
      <c r="H65" s="2248"/>
      <c r="I65" s="2195"/>
      <c r="J65" s="2960"/>
      <c r="K65" s="2273" t="s">
        <v>1888</v>
      </c>
      <c r="L65" s="1845" t="e">
        <f>IF(M49&gt;1000,M49*0.1%,IF(AND(M49&gt;500,M49&lt;=1000),M49*0.5%,IF(AND(M49&gt;50,M49&lt;=500),M49*1%,IF(AND(M49&gt;1,M49&lt;=50),M49*1.5%))))</f>
        <v>#VALUE!</v>
      </c>
      <c r="M65" s="14" t="e">
        <f t="shared" si="2"/>
        <v>#VALUE!</v>
      </c>
      <c r="N65" s="1846" t="s">
        <v>1886</v>
      </c>
      <c r="O65" s="1846"/>
      <c r="P65" s="1846"/>
    </row>
    <row r="66" spans="1:35" ht="12.75" hidden="1">
      <c r="A66" s="120" t="s">
        <v>47</v>
      </c>
      <c r="B66" s="121" t="s">
        <v>1889</v>
      </c>
      <c r="C66" s="122"/>
      <c r="D66" s="123" t="s">
        <v>41</v>
      </c>
      <c r="E66" s="1862" t="s">
        <v>1890</v>
      </c>
      <c r="F66" s="1022"/>
      <c r="G66" s="1022"/>
      <c r="H66" s="2248"/>
      <c r="I66" s="2195"/>
      <c r="J66" s="2960"/>
      <c r="K66" s="2273" t="s">
        <v>1891</v>
      </c>
      <c r="L66" s="1845" t="e">
        <f>M49*0.5%</f>
        <v>#VALUE!</v>
      </c>
      <c r="M66" s="14" t="e">
        <f>IF(L66&gt;0.5,0.5,ROUND(L66,0))</f>
        <v>#VALUE!</v>
      </c>
      <c r="N66" s="1846" t="s">
        <v>1892</v>
      </c>
      <c r="O66" s="1846"/>
      <c r="P66" s="1846"/>
    </row>
    <row r="67" spans="1:35" ht="12.75" hidden="1">
      <c r="A67" s="120" t="s">
        <v>42</v>
      </c>
      <c r="B67" s="121" t="s">
        <v>1893</v>
      </c>
      <c r="C67" s="124">
        <f ca="1">C63-C66</f>
        <v>8966591</v>
      </c>
      <c r="D67" s="117" t="s">
        <v>41</v>
      </c>
      <c r="E67" s="118"/>
      <c r="F67" s="1022"/>
      <c r="G67" s="1022"/>
      <c r="H67" s="2248"/>
      <c r="I67" s="2195"/>
      <c r="J67" s="2960"/>
      <c r="K67" s="2273" t="s">
        <v>1894</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hidden="1" thickBot="1">
      <c r="A68" s="125" t="s">
        <v>46</v>
      </c>
      <c r="B68" s="126" t="s">
        <v>1895</v>
      </c>
      <c r="C68" s="127">
        <f ca="1">IF(C67&lt;=0,0,ROUND(C67*D68,0))</f>
        <v>502129</v>
      </c>
      <c r="D68" s="128">
        <f>'数据-取费表'!E29</f>
        <v>5.6000000000000001E-2</v>
      </c>
      <c r="E68" s="129"/>
      <c r="F68" s="1022"/>
      <c r="G68" s="1022"/>
      <c r="H68" s="2248"/>
      <c r="I68" s="2195"/>
      <c r="J68" s="2960"/>
      <c r="K68" s="2273" t="s">
        <v>1896</v>
      </c>
      <c r="L68" s="1845" t="e">
        <f>IF(M49&gt;10000,M49*0.5%,IF(AND(M49&gt;5000,M49&lt;=10000),M49*1%,IF(AND(M49&gt;1000,M49&lt;=5000),M49*2%,IF(AND(M49&gt;200,M49&lt;=1000),M49*3%,M49*5%))))</f>
        <v>#VALUE!</v>
      </c>
      <c r="M68" s="14" t="e">
        <f>ROUND(L68,1)</f>
        <v>#VALUE!</v>
      </c>
      <c r="N68" s="1846"/>
      <c r="O68" s="1846"/>
      <c r="P68" s="1846"/>
    </row>
    <row r="69" spans="1:35" s="2222" customFormat="1" ht="7.5" hidden="1" customHeight="1">
      <c r="A69" s="2274"/>
      <c r="B69" s="2275"/>
      <c r="C69" s="2276"/>
      <c r="D69" s="2277"/>
      <c r="E69" s="2278"/>
      <c r="F69" s="1022"/>
      <c r="G69" s="1022"/>
      <c r="H69" s="2248"/>
      <c r="I69" s="2195"/>
      <c r="J69" s="2960"/>
      <c r="K69" s="2273" t="s">
        <v>1897</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hidden="1" thickBot="1">
      <c r="A70" s="2932" t="s">
        <v>1898</v>
      </c>
      <c r="B70" s="2933"/>
      <c r="C70" s="2933"/>
      <c r="D70" s="2933"/>
      <c r="E70" s="2933"/>
      <c r="F70" s="2933"/>
      <c r="G70" s="2933"/>
      <c r="H70" s="2933"/>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hidden="1">
      <c r="A71" s="2928" t="s">
        <v>1878</v>
      </c>
      <c r="B71" s="2929"/>
      <c r="C71" s="1886"/>
      <c r="D71" s="1886" t="s">
        <v>1879</v>
      </c>
      <c r="E71" s="130" t="s">
        <v>1880</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hidden="1">
      <c r="A72" s="133">
        <v>1</v>
      </c>
      <c r="B72" s="121" t="s">
        <v>1899</v>
      </c>
      <c r="C72" s="124">
        <f ca="1">ROUND(D45/(1+'数据-取费表'!F30),0)</f>
        <v>8966591</v>
      </c>
      <c r="D72" s="117" t="s">
        <v>41</v>
      </c>
      <c r="E72" s="12" t="s">
        <v>1900</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hidden="1">
      <c r="A73" s="135">
        <v>2</v>
      </c>
      <c r="B73" s="89" t="s">
        <v>1901</v>
      </c>
      <c r="C73" s="124">
        <f ca="1">C74+C78</f>
        <v>53800</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hidden="1">
      <c r="A74" s="136" t="s">
        <v>73</v>
      </c>
      <c r="B74" s="115" t="s">
        <v>1902</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hidden="1">
      <c r="A75" s="136" t="s">
        <v>74</v>
      </c>
      <c r="B75" s="115" t="s">
        <v>1903</v>
      </c>
      <c r="C75" s="137"/>
      <c r="D75" s="117" t="s">
        <v>41</v>
      </c>
      <c r="E75" s="138" t="s">
        <v>1904</v>
      </c>
      <c r="F75" s="2284" t="s">
        <v>1905</v>
      </c>
      <c r="G75" s="138" t="s">
        <v>1906</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hidden="1" customHeight="1">
      <c r="A76" s="136" t="s">
        <v>75</v>
      </c>
      <c r="B76" s="140" t="s">
        <v>1907</v>
      </c>
      <c r="C76" s="117">
        <f>IF(F75="购房发票",ROUND(C75*H75*D76,0),0)</f>
        <v>0</v>
      </c>
      <c r="D76" s="141">
        <v>0.05</v>
      </c>
      <c r="E76" s="2909" t="s">
        <v>1908</v>
      </c>
      <c r="F76" s="2908"/>
      <c r="G76" s="2908"/>
      <c r="H76" s="2923"/>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hidden="1"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5" t="s">
        <v>1911</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hidden="1" customHeight="1">
      <c r="A78" s="136" t="s">
        <v>77</v>
      </c>
      <c r="B78" s="115" t="s">
        <v>1912</v>
      </c>
      <c r="C78" s="144">
        <f ca="1">ROUND(D45*D78/(1+'数据-取费表'!F30),0)</f>
        <v>53800</v>
      </c>
      <c r="D78" s="145">
        <f>'数据-取费表'!E31</f>
        <v>6.000000000000001E-3</v>
      </c>
      <c r="E78" s="2900" t="s">
        <v>1913</v>
      </c>
      <c r="F78" s="2901"/>
      <c r="G78" s="2901"/>
      <c r="H78" s="2902"/>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hidden="1">
      <c r="A79" s="146" t="s">
        <v>42</v>
      </c>
      <c r="B79" s="121" t="s">
        <v>1914</v>
      </c>
      <c r="C79" s="124">
        <f ca="1">C72-C73</f>
        <v>8912791</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hidden="1">
      <c r="A80" s="146" t="s">
        <v>43</v>
      </c>
      <c r="B80" s="121" t="s">
        <v>1915</v>
      </c>
      <c r="C80" s="147">
        <f ca="1">IF(C79&lt;=0,0,C79/C73)</f>
        <v>165.66526022304834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hidden="1" thickBot="1">
      <c r="A81" s="148" t="s">
        <v>44</v>
      </c>
      <c r="B81" s="126" t="s">
        <v>1916</v>
      </c>
      <c r="C81" s="149">
        <f ca="1">ROUND(IF(C79&lt;=0,0,IF(C80&gt;=200%,C79*60%-C73*35%,IF(C80&gt;=100%,C79*50%-C73*15%,IF(C80&gt;=50%,C79*40%-C73*5%,IF(C80&lt;50%,C79*30%,0))))),0)</f>
        <v>5328845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hidden="1"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hidden="1" thickBot="1">
      <c r="A83" s="2932" t="s">
        <v>1917</v>
      </c>
      <c r="B83" s="2933"/>
      <c r="C83" s="2933"/>
      <c r="D83" s="2933"/>
      <c r="E83" s="2933"/>
      <c r="F83" s="2933"/>
      <c r="G83" s="2933"/>
      <c r="H83" s="2933"/>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hidden="1">
      <c r="A84" s="2928" t="s">
        <v>1878</v>
      </c>
      <c r="B84" s="2929"/>
      <c r="C84" s="1886"/>
      <c r="D84" s="1886"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hidden="1">
      <c r="A85" s="133">
        <v>1</v>
      </c>
      <c r="B85" s="121" t="s">
        <v>1899</v>
      </c>
      <c r="C85" s="124">
        <f ca="1">ROUND(D45/(1+'数据-取费表'!F30),0)</f>
        <v>8966591</v>
      </c>
      <c r="D85" s="117" t="s">
        <v>41</v>
      </c>
      <c r="E85" s="1889" t="s">
        <v>1900</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hidden="1">
      <c r="A86" s="135">
        <v>2</v>
      </c>
      <c r="B86" s="89" t="s">
        <v>1901</v>
      </c>
      <c r="C86" s="124">
        <f ca="1">IF(H88="仅含出让金",C87+C90+C91+C92+C93+C94,C87+C91+C92+C93+C94)</f>
        <v>53800</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hidden="1">
      <c r="A87" s="136" t="s">
        <v>73</v>
      </c>
      <c r="B87" s="115" t="s">
        <v>1918</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hidden="1">
      <c r="A88" s="136" t="s">
        <v>74</v>
      </c>
      <c r="B88" s="115" t="s">
        <v>1919</v>
      </c>
      <c r="C88" s="157"/>
      <c r="D88" s="145"/>
      <c r="E88" s="158" t="s">
        <v>1920</v>
      </c>
      <c r="F88" s="1883"/>
      <c r="G88" s="159" t="s">
        <v>1921</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hidden="1">
      <c r="A89" s="136" t="s">
        <v>75</v>
      </c>
      <c r="B89" s="115" t="s">
        <v>1909</v>
      </c>
      <c r="C89" s="144">
        <f>ROUND(C88*D89,0)</f>
        <v>0</v>
      </c>
      <c r="D89" s="145">
        <f>'数据-取费表'!E36+'数据-取费表'!E37</f>
        <v>3.0499999999999999E-2</v>
      </c>
      <c r="E89" s="158" t="s">
        <v>1922</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hidden="1">
      <c r="A90" s="136" t="s">
        <v>77</v>
      </c>
      <c r="B90" s="115" t="s">
        <v>1923</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hidden="1" customHeight="1">
      <c r="A91" s="136" t="s">
        <v>78</v>
      </c>
      <c r="B91" s="115" t="s">
        <v>1924</v>
      </c>
      <c r="C91" s="144">
        <f>IF(H91="——",成本法!C33,I91)</f>
        <v>0</v>
      </c>
      <c r="D91" s="145"/>
      <c r="E91" s="2900" t="s">
        <v>1925</v>
      </c>
      <c r="F91" s="2901"/>
      <c r="G91" s="2901"/>
      <c r="H91" s="2288" t="s">
        <v>1926</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hidden="1" customHeight="1">
      <c r="A92" s="136" t="s">
        <v>79</v>
      </c>
      <c r="B92" s="115" t="s">
        <v>1927</v>
      </c>
      <c r="C92" s="144">
        <f>ROUND((C87+C90+C91)*D92,0)</f>
        <v>0</v>
      </c>
      <c r="D92" s="145">
        <v>0.1</v>
      </c>
      <c r="E92" s="2900" t="s">
        <v>1928</v>
      </c>
      <c r="F92" s="2901"/>
      <c r="G92" s="2901"/>
      <c r="H92" s="2902"/>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hidden="1" customHeight="1">
      <c r="A93" s="136" t="s">
        <v>80</v>
      </c>
      <c r="B93" s="115" t="s">
        <v>1912</v>
      </c>
      <c r="C93" s="144">
        <f ca="1">ROUND(D45*D93/(1+'数据-取费表'!F30),0)</f>
        <v>53800</v>
      </c>
      <c r="D93" s="145">
        <f>'数据-取费表'!E31</f>
        <v>6.000000000000001E-3</v>
      </c>
      <c r="E93" s="2900" t="s">
        <v>1913</v>
      </c>
      <c r="F93" s="2901"/>
      <c r="G93" s="2901"/>
      <c r="H93" s="290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hidden="1" customHeight="1">
      <c r="A94" s="136" t="s">
        <v>81</v>
      </c>
      <c r="B94" s="115" t="s">
        <v>1929</v>
      </c>
      <c r="C94" s="144">
        <f>ROUND((C87+C90+C91)*D94,0)</f>
        <v>0</v>
      </c>
      <c r="D94" s="145">
        <v>0.2</v>
      </c>
      <c r="E94" s="2900" t="s">
        <v>1930</v>
      </c>
      <c r="F94" s="2901"/>
      <c r="G94" s="2901"/>
      <c r="H94" s="290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hidden="1">
      <c r="A95" s="146" t="s">
        <v>42</v>
      </c>
      <c r="B95" s="121" t="s">
        <v>1914</v>
      </c>
      <c r="C95" s="124">
        <f ca="1">ROUND(C85-C86,0)</f>
        <v>8912791</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hidden="1">
      <c r="A96" s="146" t="s">
        <v>43</v>
      </c>
      <c r="B96" s="121" t="s">
        <v>1915</v>
      </c>
      <c r="C96" s="147">
        <f ca="1">IF(C95&lt;=0,0,C95/C86)</f>
        <v>165.66526022304834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hidden="1" thickBot="1">
      <c r="A97" s="148" t="s">
        <v>44</v>
      </c>
      <c r="B97" s="126" t="s">
        <v>1916</v>
      </c>
      <c r="C97" s="149">
        <f ca="1">ROUND(IF(C95&lt;=0,0,IF(C96&gt;=200%,C95*60%-C86*35%,IF(C96&gt;=100%,C95*50%-C86*15%,IF(C96&gt;=50%,C95*40%-C86*5%,IF(C96&lt;50%,C95*30%,0))))),0)</f>
        <v>5328845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hidden="1" customHeight="1" thickBot="1">
      <c r="A98" s="2251" t="s">
        <v>1931</v>
      </c>
      <c r="B98" s="2195"/>
      <c r="C98" s="2195"/>
      <c r="D98" s="2195"/>
      <c r="E98" s="1022"/>
      <c r="F98" s="1022"/>
      <c r="G98" s="1022"/>
      <c r="H98" s="2248"/>
      <c r="I98" s="2195"/>
    </row>
    <row r="99" spans="1:35" ht="15.75" hidden="1">
      <c r="A99" s="2955" t="s">
        <v>1932</v>
      </c>
      <c r="B99" s="2956"/>
      <c r="C99" s="2956"/>
      <c r="D99" s="2957"/>
      <c r="E99" s="2195"/>
      <c r="F99" s="2966" t="s">
        <v>1933</v>
      </c>
      <c r="G99" s="2967"/>
      <c r="H99" s="2967"/>
      <c r="I99" s="2968"/>
    </row>
    <row r="100" spans="1:35" ht="15.75" hidden="1">
      <c r="A100" s="2969" t="s">
        <v>1934</v>
      </c>
      <c r="B100" s="2970"/>
      <c r="C100" s="720" t="str">
        <f>C4</f>
        <v>比较法-住宅</v>
      </c>
      <c r="D100" s="721" t="str">
        <f>D4</f>
        <v>收益法</v>
      </c>
      <c r="E100" s="2195"/>
      <c r="F100" s="2865" t="s">
        <v>1935</v>
      </c>
      <c r="G100" s="2866"/>
      <c r="H100" s="2865" t="s">
        <v>1936</v>
      </c>
      <c r="I100" s="2864"/>
    </row>
    <row r="101" spans="1:35" ht="15.75" hidden="1">
      <c r="A101" s="2947" t="s">
        <v>1937</v>
      </c>
      <c r="B101" s="2290" t="str">
        <f>IF(H19="元","总价（元）","总价（万元）")</f>
        <v>总价（元）</v>
      </c>
      <c r="C101" s="720">
        <f ca="1">C19</f>
        <v>10301353</v>
      </c>
      <c r="D101" s="721">
        <f ca="1">D19</f>
        <v>5879933</v>
      </c>
      <c r="E101" s="2195"/>
      <c r="F101" s="2865" t="str">
        <f>项目基本情况!I1</f>
        <v>北京市房地产</v>
      </c>
      <c r="G101" s="2866"/>
      <c r="H101" s="2863">
        <f>项目基本情况!C12</f>
        <v>137.41</v>
      </c>
      <c r="I101" s="2864"/>
    </row>
    <row r="102" spans="1:35" ht="15.75" hidden="1">
      <c r="A102" s="2947"/>
      <c r="B102" s="2290" t="s">
        <v>1938</v>
      </c>
      <c r="C102" s="722">
        <f ca="1">C20</f>
        <v>74968</v>
      </c>
      <c r="D102" s="723">
        <f ca="1">D20</f>
        <v>42791</v>
      </c>
      <c r="E102" s="2195"/>
      <c r="F102" s="2892" t="s">
        <v>1939</v>
      </c>
      <c r="G102" s="2893"/>
      <c r="H102" s="2291" t="str">
        <f>C106</f>
        <v>总价（元）</v>
      </c>
      <c r="I102" s="1863">
        <f ca="1">H121</f>
        <v>9414921</v>
      </c>
    </row>
    <row r="103" spans="1:35" ht="15" hidden="1">
      <c r="A103" s="2947" t="s">
        <v>1940</v>
      </c>
      <c r="B103" s="2292" t="str">
        <f>B101</f>
        <v>总价（元）</v>
      </c>
      <c r="C103" s="724">
        <f ca="1">H121</f>
        <v>9414921</v>
      </c>
      <c r="D103" s="725"/>
      <c r="E103" s="2195"/>
      <c r="F103" s="2892"/>
      <c r="G103" s="2893"/>
      <c r="H103" s="2291" t="s">
        <v>1938</v>
      </c>
      <c r="I103" s="1050">
        <f ca="1">I121</f>
        <v>68517</v>
      </c>
    </row>
    <row r="104" spans="1:35" ht="16.5" hidden="1" thickBot="1">
      <c r="A104" s="2948"/>
      <c r="B104" s="2293" t="s">
        <v>1938</v>
      </c>
      <c r="C104" s="726">
        <f ca="1">I121</f>
        <v>68517</v>
      </c>
      <c r="D104" s="727"/>
      <c r="E104" s="2195"/>
      <c r="F104" s="2964"/>
      <c r="G104" s="2965"/>
      <c r="H104" s="2949"/>
      <c r="I104" s="2950"/>
    </row>
    <row r="105" spans="1:35" ht="15.75" hidden="1">
      <c r="A105" s="2955" t="s">
        <v>1941</v>
      </c>
      <c r="B105" s="2956"/>
      <c r="C105" s="2956"/>
      <c r="D105" s="2957"/>
      <c r="E105" s="2195"/>
      <c r="F105" s="2953" t="s">
        <v>1942</v>
      </c>
      <c r="G105" s="2954"/>
      <c r="H105" s="2294" t="str">
        <f>C108</f>
        <v>总额（元）</v>
      </c>
      <c r="I105" s="1863">
        <f>SUMIF(I106:I108,"&lt;9E307")</f>
        <v>871</v>
      </c>
    </row>
    <row r="106" spans="1:35" ht="15" hidden="1">
      <c r="A106" s="2879" t="s">
        <v>1943</v>
      </c>
      <c r="B106" s="2880"/>
      <c r="C106" s="2291" t="str">
        <f>B101</f>
        <v>总价（元）</v>
      </c>
      <c r="D106" s="1051">
        <f ca="1">H121</f>
        <v>9414921</v>
      </c>
      <c r="E106" s="2195"/>
      <c r="F106" s="2881" t="s">
        <v>1944</v>
      </c>
      <c r="G106" s="2882"/>
      <c r="H106" s="2294" t="str">
        <f>C109</f>
        <v>总额（元）</v>
      </c>
      <c r="I106" s="1050">
        <f>IF(D36="同一抵押权人同一抵押物续贷",C36&amp;"（未扣减，详见特别提示）",C36)</f>
        <v>0</v>
      </c>
      <c r="K106" s="2205" t="str">
        <f>IF(D123=0,"本次评估不存在"&amp;A123&amp;"。","本次评估"&amp;A123&amp;"为"&amp;D123&amp;"元人民币。")</f>
        <v>本次评估估价师所知悉的法定优先受偿款为871元人民币。</v>
      </c>
    </row>
    <row r="107" spans="1:35" ht="15" hidden="1">
      <c r="A107" s="2879"/>
      <c r="B107" s="2880"/>
      <c r="C107" s="2291" t="s">
        <v>1938</v>
      </c>
      <c r="D107" s="1052">
        <f ca="1">I121</f>
        <v>68517</v>
      </c>
      <c r="E107" s="2195"/>
      <c r="F107" s="2881" t="s">
        <v>1945</v>
      </c>
      <c r="G107" s="2882"/>
      <c r="H107" s="2294" t="str">
        <f>C110</f>
        <v>总额（元）</v>
      </c>
      <c r="I107" s="1050">
        <f>C37</f>
        <v>0</v>
      </c>
      <c r="K107" s="2295"/>
    </row>
    <row r="108" spans="1:35" ht="15" hidden="1">
      <c r="A108" s="2886" t="s">
        <v>1946</v>
      </c>
      <c r="B108" s="2887"/>
      <c r="C108" s="2294" t="str">
        <f>IF(H19="元","总额（元）","总额（万元）")</f>
        <v>总额（元）</v>
      </c>
      <c r="D108" s="1051">
        <f>IF(D36="正常操作",I106+I107+I108,I107+I108)</f>
        <v>871</v>
      </c>
      <c r="E108" s="2195"/>
      <c r="F108" s="2881" t="s">
        <v>1947</v>
      </c>
      <c r="G108" s="2882"/>
      <c r="H108" s="2294" t="str">
        <f>C111</f>
        <v>总额（元）</v>
      </c>
      <c r="I108" s="1050">
        <f>C38</f>
        <v>871</v>
      </c>
    </row>
    <row r="109" spans="1:35" ht="15.75" hidden="1">
      <c r="A109" s="2881" t="s">
        <v>1944</v>
      </c>
      <c r="B109" s="2882"/>
      <c r="C109" s="2294" t="str">
        <f>C108</f>
        <v>总额（元）</v>
      </c>
      <c r="D109" s="637">
        <f>IF(D36="同一抵押权人同一抵押物续贷",C36&amp;"（未扣减，详见特别提示）",C36)</f>
        <v>0</v>
      </c>
      <c r="E109" s="2195"/>
      <c r="F109" s="2964"/>
      <c r="G109" s="2965"/>
      <c r="H109" s="2951"/>
      <c r="I109" s="2952"/>
    </row>
    <row r="110" spans="1:35" ht="28.5" hidden="1" customHeight="1">
      <c r="A110" s="2881" t="s">
        <v>1945</v>
      </c>
      <c r="B110" s="2882"/>
      <c r="C110" s="2294" t="str">
        <f>C108</f>
        <v>总额（元）</v>
      </c>
      <c r="D110" s="637">
        <f>C37</f>
        <v>0</v>
      </c>
      <c r="E110" s="2195"/>
      <c r="F110" s="2867" t="str">
        <f>IF(项目基本情况!F5="已注销","——","3.房地产抵押价值")</f>
        <v>3.房地产抵押价值</v>
      </c>
      <c r="G110" s="2868"/>
      <c r="H110" s="2296" t="str">
        <f>C112</f>
        <v>总价（元）</v>
      </c>
      <c r="I110" s="1864">
        <f ca="1">IF(F110="——","——",I102-I105)</f>
        <v>9414050</v>
      </c>
    </row>
    <row r="111" spans="1:35" ht="15" hidden="1">
      <c r="A111" s="2881" t="s">
        <v>1947</v>
      </c>
      <c r="B111" s="2882"/>
      <c r="C111" s="2294" t="str">
        <f>C108</f>
        <v>总额（元）</v>
      </c>
      <c r="D111" s="637">
        <f>C38</f>
        <v>871</v>
      </c>
      <c r="E111" s="2195"/>
      <c r="F111" s="2983"/>
      <c r="G111" s="2984"/>
      <c r="H111" s="2291" t="s">
        <v>1938</v>
      </c>
      <c r="I111" s="2297">
        <f ca="1">D113</f>
        <v>68511</v>
      </c>
    </row>
    <row r="112" spans="1:35" ht="26.25" hidden="1" customHeight="1">
      <c r="A112" s="2879" t="str">
        <f>IF(项目基本情况!F5="已注销","——","3.房地产抵押价值")</f>
        <v>3.房地产抵押价值</v>
      </c>
      <c r="B112" s="2880"/>
      <c r="C112" s="2291" t="str">
        <f>B101</f>
        <v>总价（元）</v>
      </c>
      <c r="D112" s="1051">
        <f ca="1">IF(A112="——","——",D106-D108)</f>
        <v>9414050</v>
      </c>
      <c r="E112" s="2195"/>
      <c r="F112" s="2867" t="str">
        <f>IF(项目基本情况!F5="已注销及未注销","4.抵押担保权已注销时的房地产抵押价值",IF(项目基本情况!F5="已注销","3.抵押担保权已注销时的房地产抵押价值","——"))</f>
        <v>——</v>
      </c>
      <c r="G112" s="2868"/>
      <c r="H112" s="2296" t="str">
        <f>C114</f>
        <v>总价（元）</v>
      </c>
      <c r="I112" s="1864" t="str">
        <f>IF(F112="——","——",I102-I107-I108)</f>
        <v>——</v>
      </c>
    </row>
    <row r="113" spans="1:15" ht="15" hidden="1">
      <c r="A113" s="2879"/>
      <c r="B113" s="2880"/>
      <c r="C113" s="2291" t="s">
        <v>1938</v>
      </c>
      <c r="D113" s="1052">
        <f ca="1">ROUND(IF(D112=D106,D107,IF(H19="元",D112/项目基本情况!C12,D112*10000/项目基本情况!C12)),0)</f>
        <v>68511</v>
      </c>
      <c r="E113" s="2195"/>
      <c r="F113" s="2983"/>
      <c r="G113" s="2984"/>
      <c r="H113" s="2291" t="s">
        <v>1938</v>
      </c>
      <c r="I113" s="2298" t="str">
        <f>D115</f>
        <v>——</v>
      </c>
    </row>
    <row r="114" spans="1:15" ht="15.75" hidden="1">
      <c r="A114" s="2879" t="str">
        <f>IF(项目基本情况!F5="已注销及未注销","4.抵押担保权已注销时的房地产抵押价值",IF(项目基本情况!F5="已注销","3.抵押担保权已注销时的房地产抵押价值","——"))</f>
        <v>——</v>
      </c>
      <c r="B114" s="2880"/>
      <c r="C114" s="2291" t="str">
        <f>B101</f>
        <v>总价（元）</v>
      </c>
      <c r="D114" s="1051" t="str">
        <f>IF(A114="——","——",D106-D110-D111)</f>
        <v>——</v>
      </c>
      <c r="E114" s="2195"/>
      <c r="F114" s="2867" t="str">
        <f>IF(项目基本情况!G5="抵押净值",IF(OR(项目基本情况!F5="已注销",项目基本情况!F5="房地产抵押价值"),"4.抵押净值","5.抵押净值"),"——")</f>
        <v>——</v>
      </c>
      <c r="G114" s="2868"/>
      <c r="H114" s="2291" t="str">
        <f>C116</f>
        <v>总价（元）</v>
      </c>
      <c r="I114" s="1863" t="str">
        <f>IF(F114="——","——",N59)</f>
        <v>——</v>
      </c>
    </row>
    <row r="115" spans="1:15" ht="15.75" hidden="1" thickBot="1">
      <c r="A115" s="2879"/>
      <c r="B115" s="2880"/>
      <c r="C115" s="2291" t="s">
        <v>1938</v>
      </c>
      <c r="D115" s="1052" t="str">
        <f>IF(A114="——","——",ROUND(IF(D114=D106,D107,IF(H19="元",D114/项目基本情况!C12,D114*10000/项目基本情况!C12)),0))</f>
        <v>——</v>
      </c>
      <c r="E115" s="2195"/>
      <c r="F115" s="2869"/>
      <c r="G115" s="2870"/>
      <c r="H115" s="2299" t="s">
        <v>1938</v>
      </c>
      <c r="I115" s="1865" t="str">
        <f ca="1">D117</f>
        <v>——</v>
      </c>
    </row>
    <row r="116" spans="1:15" ht="15.75" hidden="1">
      <c r="A116" s="2879" t="str">
        <f>IF(项目基本情况!G5="抵押净值",IF(OR(项目基本情况!F5="已注销",项目基本情况!F5="房地产抵押价值"),"4.抵押净值","5.抵押净值"),"——")</f>
        <v>——</v>
      </c>
      <c r="B116" s="2880"/>
      <c r="C116" s="2291" t="str">
        <f>B101</f>
        <v>总价（元）</v>
      </c>
      <c r="D116" s="1051" t="str">
        <f>IF(A116="——","——",N59)</f>
        <v>——</v>
      </c>
      <c r="E116" s="2195"/>
      <c r="F116" s="2979"/>
      <c r="G116" s="2979"/>
      <c r="H116" s="2935"/>
      <c r="I116" s="2935"/>
      <c r="N116" s="55"/>
      <c r="O116" s="55"/>
    </row>
    <row r="117" spans="1:15" ht="15.75" hidden="1" thickBot="1">
      <c r="A117" s="2884"/>
      <c r="B117" s="2885"/>
      <c r="C117" s="2299" t="s">
        <v>1938</v>
      </c>
      <c r="D117" s="1053" t="str">
        <f ca="1">IF(D116=D112,D113,IF(A116="——","——",N61))</f>
        <v>——</v>
      </c>
      <c r="E117" s="2195"/>
      <c r="F117" s="2859" t="str">
        <f>IF(B32="总价","（以上估价结果中单价为总价除以建筑面积得出）","（以上估价结果中总价为楼面单价乘以建筑面积得出）")</f>
        <v>（以上估价结果中总价为楼面单价乘以建筑面积得出）</v>
      </c>
      <c r="G117" s="2859"/>
      <c r="H117" s="2859"/>
      <c r="I117" s="2859"/>
      <c r="N117" s="55"/>
      <c r="O117" s="55"/>
    </row>
    <row r="118" spans="1:15" ht="15" hidden="1">
      <c r="A118" s="2936" t="s">
        <v>1948</v>
      </c>
      <c r="B118" s="2937"/>
      <c r="C118" s="2937"/>
      <c r="D118" s="2937"/>
      <c r="E118" s="2937"/>
      <c r="F118" s="2937"/>
      <c r="G118" s="2937"/>
      <c r="H118" s="2937"/>
      <c r="I118" s="2937"/>
    </row>
    <row r="119" spans="1:15" ht="14.25" hidden="1">
      <c r="A119" s="2860" t="s">
        <v>1949</v>
      </c>
      <c r="B119" s="2890" t="s">
        <v>1950</v>
      </c>
      <c r="C119" s="2890" t="s">
        <v>1951</v>
      </c>
      <c r="D119" s="2962" t="s">
        <v>1952</v>
      </c>
      <c r="E119" s="2963"/>
      <c r="F119" s="2861" t="s">
        <v>1810</v>
      </c>
      <c r="G119" s="2861"/>
      <c r="H119" s="2861" t="s">
        <v>1953</v>
      </c>
      <c r="I119" s="2961"/>
    </row>
    <row r="120" spans="1:15" ht="14.25" hidden="1">
      <c r="A120" s="2860"/>
      <c r="B120" s="2891"/>
      <c r="C120" s="2891"/>
      <c r="D120" s="1888" t="s">
        <v>1954</v>
      </c>
      <c r="E120" s="1888" t="s">
        <v>1955</v>
      </c>
      <c r="F120" s="1888" t="s">
        <v>1954</v>
      </c>
      <c r="G120" s="1888" t="s">
        <v>1956</v>
      </c>
      <c r="H120" s="1888" t="s">
        <v>1954</v>
      </c>
      <c r="I120" s="637" t="s">
        <v>1956</v>
      </c>
    </row>
    <row r="121" spans="1:15" ht="14.25" hidden="1">
      <c r="A121" s="2181" t="str">
        <f>项目基本情况!I1</f>
        <v>北京市房地产</v>
      </c>
      <c r="B121" s="1888">
        <f>项目基本情况!C12</f>
        <v>137.41</v>
      </c>
      <c r="C121" s="1888">
        <f>项目基本情况!C13</f>
        <v>0</v>
      </c>
      <c r="D121" s="1888">
        <f ca="1">ROUND(IF(B32="总价",C34,IF('数据-取费表'!B3="万元",E121*B121/10000,E121*B121)),0)</f>
        <v>8426393</v>
      </c>
      <c r="E121" s="1888">
        <f ca="1">ROUND(IF(B32="楼面单价",C34,IF(H19="元",D121/B121,D121*10000/B121)),0)</f>
        <v>61323</v>
      </c>
      <c r="F121" s="1888">
        <f ca="1">ROUND(IF(B32="总价",C35,IF('数据-取费表'!B3="万元",G121*B121/10000,G121*B121)),0)</f>
        <v>988528</v>
      </c>
      <c r="G121" s="1888">
        <f ca="1">ROUND(IF(B32="楼面单价",C35,IF(H19="元",F121/B121,F121*10000/B121)),0)</f>
        <v>7194</v>
      </c>
      <c r="H121" s="1888">
        <f ca="1">ROUND(IF(B32="总价",C32,IF('数据-取费表'!B3="万元",I121*B121/10000,I121*B121)),0)</f>
        <v>9414921</v>
      </c>
      <c r="I121" s="637">
        <f ca="1">ROUND(IF(B32="楼面单价",C32,IF(H19="元",H121/B121,H121*10000/B121)),0)</f>
        <v>68517</v>
      </c>
    </row>
    <row r="122" spans="1:15" ht="14.25" hidden="1">
      <c r="A122" s="2860" t="s">
        <v>1957</v>
      </c>
      <c r="B122" s="2861"/>
      <c r="C122" s="2861"/>
      <c r="D122" s="2894" t="str">
        <f ca="1">IF(H19="元",NUMBERSTRING(INT(D121),2)&amp;"元整",NUMBERSTRING(INT(D121*10000),2)&amp;"元整")</f>
        <v>捌佰肆拾贰万陆仟叁佰玖拾叁元整</v>
      </c>
      <c r="E122" s="2941"/>
      <c r="F122" s="2894" t="str">
        <f ca="1">IF(H19="元",NUMBERSTRING(INT(F121),2)&amp;"元整",NUMBERSTRING(INT(F121*10000),2)&amp;"元整")</f>
        <v>玖拾捌万捌仟伍佰贰拾捌元整</v>
      </c>
      <c r="G122" s="2941"/>
      <c r="H122" s="2894" t="str">
        <f ca="1">IF(H19="元",NUMBERSTRING(INT(H121),2)&amp;"元整",NUMBERSTRING(INT(H121*10000),2)&amp;"元整")</f>
        <v>玖佰肆拾壹万肆仟玖佰贰拾壹元整</v>
      </c>
      <c r="I122" s="2895"/>
    </row>
    <row r="123" spans="1:15" ht="15" hidden="1">
      <c r="A123" s="2942" t="str">
        <f>IF(项目基本情况!D5="房地产市场价值","——",MID(A108,3,LEN(A108)-2))</f>
        <v>估价师所知悉的法定优先受偿款</v>
      </c>
      <c r="B123" s="2872"/>
      <c r="C123" s="2943"/>
      <c r="D123" s="2871">
        <f>I105</f>
        <v>871</v>
      </c>
      <c r="E123" s="2872"/>
      <c r="F123" s="2872"/>
      <c r="G123" s="2872"/>
      <c r="H123" s="2872"/>
      <c r="I123" s="2873"/>
    </row>
    <row r="124" spans="1:15" ht="14.25" hidden="1">
      <c r="A124" s="2944" t="s">
        <v>1957</v>
      </c>
      <c r="B124" s="2945"/>
      <c r="C124" s="2946"/>
      <c r="D124" s="2874">
        <f>H109</f>
        <v>0</v>
      </c>
      <c r="E124" s="2875"/>
      <c r="F124" s="2875"/>
      <c r="G124" s="2875"/>
      <c r="H124" s="2875"/>
      <c r="I124" s="2876"/>
    </row>
    <row r="125" spans="1:15" ht="15" hidden="1">
      <c r="A125" s="2877" t="str">
        <f>IF(项目基本情况!D5="房地产市场价值","——",MID(A112,3,LEN(A112)-2))</f>
        <v>房地产抵押价值</v>
      </c>
      <c r="B125" s="2878"/>
      <c r="C125" s="2878"/>
      <c r="D125" s="2871">
        <f ca="1">I110</f>
        <v>9414050</v>
      </c>
      <c r="E125" s="2872"/>
      <c r="F125" s="2872"/>
      <c r="G125" s="2872"/>
      <c r="H125" s="2872"/>
      <c r="I125" s="2873"/>
    </row>
    <row r="126" spans="1:15" ht="14.25" hidden="1">
      <c r="A126" s="2860" t="s">
        <v>1957</v>
      </c>
      <c r="B126" s="2861"/>
      <c r="C126" s="2861"/>
      <c r="D126" s="2874">
        <f ca="1">I111</f>
        <v>68511</v>
      </c>
      <c r="E126" s="2875"/>
      <c r="F126" s="2875"/>
      <c r="G126" s="2875"/>
      <c r="H126" s="2875"/>
      <c r="I126" s="2876"/>
    </row>
    <row r="127" spans="1:15" ht="15.75" hidden="1" thickBot="1">
      <c r="A127" s="2877" t="str">
        <f>IF(项目基本情况!D5="房地产市场价值","——",MID(A114,3,LEN(A114)-2))</f>
        <v/>
      </c>
      <c r="B127" s="2878"/>
      <c r="C127" s="2878"/>
      <c r="D127" s="2976" t="str">
        <f>I112</f>
        <v>——</v>
      </c>
      <c r="E127" s="2977"/>
      <c r="F127" s="2977"/>
      <c r="G127" s="2977"/>
      <c r="H127" s="2977"/>
      <c r="I127" s="2978"/>
    </row>
    <row r="128" spans="1:15" ht="15.75" hidden="1" thickTop="1" thickBot="1">
      <c r="A128" s="2860" t="s">
        <v>1957</v>
      </c>
      <c r="B128" s="2861"/>
      <c r="C128" s="2862"/>
      <c r="D128" s="2934" t="str">
        <f>I113</f>
        <v>——</v>
      </c>
      <c r="E128" s="2934"/>
      <c r="F128" s="2934"/>
      <c r="G128" s="2934"/>
      <c r="H128" s="2934"/>
      <c r="I128" s="2934"/>
    </row>
    <row r="129" spans="1:9" ht="16.5" hidden="1" thickTop="1" thickBot="1">
      <c r="A129" s="2877" t="str">
        <f>IF(项目基本情况!D5="房地产市场价值","——",MID(F114,3,LEN(F114)-2))</f>
        <v/>
      </c>
      <c r="B129" s="2878"/>
      <c r="C129" s="2871"/>
      <c r="D129" s="2883" t="str">
        <f>I114</f>
        <v>——</v>
      </c>
      <c r="E129" s="2883"/>
      <c r="F129" s="2883"/>
      <c r="G129" s="2883"/>
      <c r="H129" s="2883"/>
      <c r="I129" s="2883"/>
    </row>
    <row r="130" spans="1:9" ht="15.75" hidden="1" thickTop="1" thickBot="1">
      <c r="A130" s="2888" t="s">
        <v>1957</v>
      </c>
      <c r="B130" s="2889"/>
      <c r="C130" s="2889"/>
      <c r="D130" s="2896">
        <f>H116</f>
        <v>0</v>
      </c>
      <c r="E130" s="2897"/>
      <c r="F130" s="2897"/>
      <c r="G130" s="2897"/>
      <c r="H130" s="2897"/>
      <c r="I130" s="2898"/>
    </row>
    <row r="131" spans="1:9" ht="12.75" hidden="1">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hidden="1" thickBot="1">
      <c r="A132" s="2858" t="str">
        <f>IF(B32="总价","（以上估价结果中楼面单价为总价除以建筑面积得出）","（以上估价结果中总价为楼面单价乘以建筑面积得出）")</f>
        <v>（以上估价结果中总价为楼面单价乘以建筑面积得出）</v>
      </c>
      <c r="B132" s="2858"/>
      <c r="C132" s="2858"/>
      <c r="D132" s="2858"/>
      <c r="E132" s="2858"/>
      <c r="F132" s="2858"/>
      <c r="G132" s="2858"/>
      <c r="H132" s="2858"/>
      <c r="I132" s="2858"/>
    </row>
    <row r="133" spans="1:9" ht="21.75" customHeight="1">
      <c r="A133" s="2300" t="s">
        <v>1958</v>
      </c>
      <c r="B133" s="2301"/>
      <c r="C133" s="2302" t="s">
        <v>1959</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1960</v>
      </c>
      <c r="G139" s="2314"/>
      <c r="H139" s="2314"/>
      <c r="I139" s="2315" t="s">
        <v>1961</v>
      </c>
    </row>
    <row r="140" spans="1:9" ht="21.75" customHeight="1">
      <c r="A140" s="798"/>
      <c r="B140" s="2316"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1963</v>
      </c>
    </row>
    <row r="143" spans="1:9" ht="21.75" customHeight="1">
      <c r="A143" s="798"/>
      <c r="B143" s="2316" t="s">
        <v>1964</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1963</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1965</v>
      </c>
      <c r="B1" s="2195"/>
      <c r="C1" s="2195"/>
      <c r="D1" s="2195"/>
      <c r="E1" s="2195"/>
      <c r="F1" s="2195"/>
      <c r="G1" s="2195"/>
      <c r="H1" s="2195"/>
      <c r="I1" s="2195"/>
    </row>
    <row r="2" spans="1:12" ht="21.75" customHeight="1">
      <c r="A2" s="2995" t="s">
        <v>1966</v>
      </c>
      <c r="B2" s="2995"/>
      <c r="C2" s="2995"/>
      <c r="D2" s="2995"/>
      <c r="E2" s="2995"/>
      <c r="F2" s="2995"/>
      <c r="G2" s="2995"/>
      <c r="H2" s="2995"/>
      <c r="I2" s="2995"/>
    </row>
    <row r="3" spans="1:12" ht="12.75">
      <c r="A3" s="2925" t="s">
        <v>1770</v>
      </c>
      <c r="B3" s="2926"/>
      <c r="C3" s="2926"/>
      <c r="D3" s="2926"/>
      <c r="E3" s="2926"/>
      <c r="F3" s="2926"/>
      <c r="G3" s="2926"/>
      <c r="H3" s="2926"/>
      <c r="I3" s="2926"/>
    </row>
    <row r="4" spans="1:12" ht="14.25">
      <c r="A4" s="2197" t="s">
        <v>1771</v>
      </c>
      <c r="B4" s="2198" t="s">
        <v>1772</v>
      </c>
      <c r="C4" s="2199"/>
      <c r="D4" s="2199"/>
      <c r="E4" s="2906" t="s">
        <v>1967</v>
      </c>
      <c r="F4" s="2907"/>
      <c r="G4" s="2907"/>
      <c r="H4" s="2907"/>
      <c r="I4" s="2917"/>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9" t="s">
        <v>1774</v>
      </c>
      <c r="B5" s="2861">
        <v>25</v>
      </c>
      <c r="C5" s="2910"/>
      <c r="D5" s="2924"/>
      <c r="E5" s="56" t="s">
        <v>1775</v>
      </c>
      <c r="F5" s="2200"/>
      <c r="G5" s="2200"/>
      <c r="H5" s="2200"/>
      <c r="I5" s="2201"/>
    </row>
    <row r="6" spans="1:12" ht="12.75">
      <c r="A6" s="2899"/>
      <c r="B6" s="2861"/>
      <c r="C6" s="2927"/>
      <c r="D6" s="2924"/>
      <c r="E6" s="56" t="s">
        <v>1776</v>
      </c>
      <c r="F6" s="2200"/>
      <c r="G6" s="2200"/>
      <c r="H6" s="2200"/>
      <c r="I6" s="2201"/>
    </row>
    <row r="7" spans="1:12" ht="12.75">
      <c r="A7" s="2899"/>
      <c r="B7" s="2861"/>
      <c r="C7" s="2911"/>
      <c r="D7" s="2924"/>
      <c r="E7" s="56" t="s">
        <v>1777</v>
      </c>
      <c r="F7" s="2200"/>
      <c r="G7" s="2200"/>
      <c r="H7" s="2200"/>
      <c r="I7" s="2201"/>
    </row>
    <row r="8" spans="1:12" ht="12.75">
      <c r="A8" s="2899" t="s">
        <v>1778</v>
      </c>
      <c r="B8" s="2861">
        <v>15</v>
      </c>
      <c r="C8" s="2910"/>
      <c r="D8" s="2924"/>
      <c r="E8" s="56" t="s">
        <v>1779</v>
      </c>
      <c r="F8" s="2200"/>
      <c r="G8" s="2200"/>
      <c r="H8" s="2200"/>
      <c r="I8" s="2201"/>
    </row>
    <row r="9" spans="1:12" ht="12.75">
      <c r="A9" s="2899"/>
      <c r="B9" s="2861"/>
      <c r="C9" s="2911"/>
      <c r="D9" s="2924"/>
      <c r="E9" s="56" t="s">
        <v>1780</v>
      </c>
      <c r="F9" s="2200"/>
      <c r="G9" s="2200"/>
      <c r="H9" s="2200"/>
      <c r="I9" s="2201"/>
    </row>
    <row r="10" spans="1:12" ht="12.75">
      <c r="A10" s="2899" t="s">
        <v>1781</v>
      </c>
      <c r="B10" s="2861">
        <v>15</v>
      </c>
      <c r="C10" s="2910"/>
      <c r="D10" s="2924"/>
      <c r="E10" s="56" t="s">
        <v>1782</v>
      </c>
      <c r="F10" s="2200"/>
      <c r="G10" s="2200"/>
      <c r="H10" s="2200"/>
      <c r="I10" s="2201"/>
    </row>
    <row r="11" spans="1:12" ht="12.75">
      <c r="A11" s="2899"/>
      <c r="B11" s="2861"/>
      <c r="C11" s="2911"/>
      <c r="D11" s="2924"/>
      <c r="E11" s="56" t="s">
        <v>1783</v>
      </c>
      <c r="F11" s="2200"/>
      <c r="G11" s="2200"/>
      <c r="H11" s="2200"/>
      <c r="I11" s="2201"/>
    </row>
    <row r="12" spans="1:12" ht="12.75">
      <c r="A12" s="2899" t="s">
        <v>1784</v>
      </c>
      <c r="B12" s="2861">
        <v>15</v>
      </c>
      <c r="C12" s="2910"/>
      <c r="D12" s="2924"/>
      <c r="E12" s="56" t="s">
        <v>1785</v>
      </c>
      <c r="F12" s="2200"/>
      <c r="G12" s="2200"/>
      <c r="H12" s="2200"/>
      <c r="I12" s="2201"/>
    </row>
    <row r="13" spans="1:12" ht="12.75">
      <c r="A13" s="2899"/>
      <c r="B13" s="2861"/>
      <c r="C13" s="2911"/>
      <c r="D13" s="2924"/>
      <c r="E13" s="56" t="s">
        <v>1786</v>
      </c>
      <c r="F13" s="2200"/>
      <c r="G13" s="2200"/>
      <c r="H13" s="2200"/>
      <c r="I13" s="2201"/>
    </row>
    <row r="14" spans="1:12" ht="12.75">
      <c r="A14" s="2899" t="s">
        <v>1787</v>
      </c>
      <c r="B14" s="2861">
        <v>30</v>
      </c>
      <c r="C14" s="2910"/>
      <c r="D14" s="2924"/>
      <c r="E14" s="56" t="s">
        <v>1788</v>
      </c>
      <c r="F14" s="2200"/>
      <c r="G14" s="2200"/>
      <c r="H14" s="2200"/>
      <c r="I14" s="2201"/>
    </row>
    <row r="15" spans="1:12" ht="12.75">
      <c r="A15" s="2899"/>
      <c r="B15" s="2861"/>
      <c r="C15" s="2927"/>
      <c r="D15" s="2924"/>
      <c r="E15" s="56" t="s">
        <v>1789</v>
      </c>
      <c r="F15" s="2200"/>
      <c r="G15" s="2200"/>
      <c r="H15" s="2200"/>
      <c r="I15" s="2201"/>
    </row>
    <row r="16" spans="1:12" ht="12.75">
      <c r="A16" s="2899"/>
      <c r="B16" s="2861"/>
      <c r="C16" s="2911"/>
      <c r="D16" s="2924"/>
      <c r="E16" s="56" t="s">
        <v>1790</v>
      </c>
      <c r="F16" s="2200"/>
      <c r="G16" s="2200"/>
      <c r="H16" s="2200"/>
      <c r="I16" s="2201"/>
    </row>
    <row r="17" spans="1:35" ht="15">
      <c r="A17" s="2202" t="s">
        <v>1791</v>
      </c>
      <c r="B17" s="2203"/>
      <c r="C17" s="57">
        <f>SUM(C5:C16)</f>
        <v>0</v>
      </c>
      <c r="D17" s="57">
        <f>SUM(D5:D16)</f>
        <v>0</v>
      </c>
      <c r="E17" s="2195"/>
      <c r="F17" s="2195"/>
      <c r="G17" s="2195"/>
      <c r="H17" s="2195"/>
      <c r="I17" s="2195"/>
    </row>
    <row r="18" spans="1:35" ht="15.75" thickBot="1">
      <c r="A18" s="2204" t="s">
        <v>1792</v>
      </c>
      <c r="B18" s="2205"/>
      <c r="C18" s="58" t="e">
        <f>ROUND(C17/SUM(C17:D17),2)</f>
        <v>#DIV/0!</v>
      </c>
      <c r="D18" s="58" t="e">
        <f>1-C18</f>
        <v>#DIV/0!</v>
      </c>
      <c r="E18" s="2195"/>
      <c r="F18" s="2195"/>
      <c r="G18" s="2195"/>
      <c r="H18" s="2195"/>
      <c r="I18" s="2195"/>
    </row>
    <row r="19" spans="1:35" ht="15">
      <c r="A19" s="2206" t="s">
        <v>1793</v>
      </c>
      <c r="B19" s="2207" t="s">
        <v>1794</v>
      </c>
      <c r="C19" s="59" t="e">
        <f ca="1">SUMIF(INDIRECT("'"&amp;C4&amp;"'"&amp;"!A:A"),'结果表 (1修多)'!B19,INDIRECT("'"&amp;C4&amp;"'"&amp;"!B:B"))</f>
        <v>#REF!</v>
      </c>
      <c r="D19" s="60" t="e">
        <f ca="1">SUMIF(INDIRECT("'"&amp;D4&amp;"'"&amp;"!A:A"),'结果表 (1修多)'!B19,INDIRECT("'"&amp;D4&amp;"'"&amp;"!B:B"))</f>
        <v>#REF!</v>
      </c>
      <c r="E19" s="2206" t="s">
        <v>1795</v>
      </c>
      <c r="F19" s="2207" t="s">
        <v>1794</v>
      </c>
      <c r="G19" s="61" t="e">
        <f ca="1">ROUND(C19*$C$18+D19*$D$18,0)</f>
        <v>#REF!</v>
      </c>
      <c r="H19" s="2208" t="str">
        <f>'数据-取费表'!B3</f>
        <v>元</v>
      </c>
      <c r="I19" s="2195"/>
    </row>
    <row r="20" spans="1:35" ht="15">
      <c r="A20" s="2209"/>
      <c r="B20" s="2210" t="s">
        <v>1796</v>
      </c>
      <c r="C20" s="62" t="e">
        <f ca="1">SUMIF(INDIRECT("'"&amp;C4&amp;"'"&amp;"!A:A"),'结果表 (1修多)'!B20,INDIRECT("'"&amp;C4&amp;"'"&amp;"!B:B"))</f>
        <v>#REF!</v>
      </c>
      <c r="D20" s="63" t="e">
        <f ca="1">SUMIF(INDIRECT("'"&amp;D4&amp;"'"&amp;"!A:A"),'结果表 (1修多)'!B20,INDIRECT("'"&amp;D4&amp;"'"&amp;"!B:B"))</f>
        <v>#REF!</v>
      </c>
      <c r="E20" s="2209"/>
      <c r="F20" s="2210" t="s">
        <v>1796</v>
      </c>
      <c r="G20" s="64" t="e">
        <f ca="1">ROUND(C20*$C$18+D20*$D$18,0)</f>
        <v>#REF!</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1799</v>
      </c>
      <c r="B24" s="2207" t="s">
        <v>1794</v>
      </c>
      <c r="C24" s="61">
        <f>D30</f>
        <v>0</v>
      </c>
      <c r="D24" s="994"/>
      <c r="E24" s="2195"/>
      <c r="F24" s="2195"/>
      <c r="G24" s="2195"/>
      <c r="H24" s="2195"/>
      <c r="I24" s="2195"/>
    </row>
    <row r="25" spans="1:35" ht="21.75" customHeight="1">
      <c r="A25" s="2931"/>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1968</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5" t="s">
        <v>1969</v>
      </c>
      <c r="B30" s="2716"/>
      <c r="C30" s="2716"/>
      <c r="D30" s="2716"/>
      <c r="E30" s="2714" t="s">
        <v>2808</v>
      </c>
      <c r="F30" s="2195"/>
      <c r="G30" s="2195"/>
      <c r="H30" s="2195"/>
      <c r="I30" s="2195"/>
    </row>
    <row r="31" spans="1:35" s="2222" customFormat="1" ht="15.75" thickBot="1">
      <c r="A31" s="2986" t="s">
        <v>1970</v>
      </c>
      <c r="B31" s="2986"/>
      <c r="C31" s="2986"/>
      <c r="D31" s="2986"/>
      <c r="E31" s="2986"/>
      <c r="F31" s="2986"/>
      <c r="G31" s="2986"/>
      <c r="H31" s="2986"/>
      <c r="I31" s="2986"/>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1971</v>
      </c>
      <c r="C32" s="1308">
        <f>典型户型修正!R27</f>
        <v>0</v>
      </c>
      <c r="D32" s="2195" t="s">
        <v>1972</v>
      </c>
      <c r="E32" s="2195"/>
      <c r="F32" s="2195"/>
      <c r="G32" s="2195"/>
      <c r="H32" s="2195"/>
      <c r="I32" s="2195"/>
    </row>
    <row r="33" spans="1:16" ht="15">
      <c r="A33" s="2322" t="s">
        <v>1973</v>
      </c>
      <c r="B33" s="2323" t="s">
        <v>1974</v>
      </c>
      <c r="C33" s="1309">
        <f>典型户型修正!B2</f>
        <v>0</v>
      </c>
      <c r="D33" s="2324" t="str">
        <f>IF('数据-取费表'!B3="万元","万元","元")</f>
        <v>元</v>
      </c>
      <c r="E33" s="2195"/>
      <c r="F33" s="2195"/>
      <c r="G33" s="2195"/>
      <c r="H33" s="2195"/>
      <c r="I33" s="2195"/>
    </row>
    <row r="34" spans="1:16" ht="15.75" thickBot="1">
      <c r="A34" s="2325"/>
      <c r="B34" s="2326" t="s">
        <v>1975</v>
      </c>
      <c r="C34" s="771" t="e">
        <f>典型户型修正!B3</f>
        <v>#DIV/0!</v>
      </c>
      <c r="D34" s="2195" t="s">
        <v>1976</v>
      </c>
      <c r="E34" s="2195"/>
      <c r="F34" s="2195"/>
      <c r="G34" s="2195"/>
      <c r="H34" s="2195"/>
      <c r="I34" s="2195"/>
    </row>
    <row r="35" spans="1:16" ht="15">
      <c r="A35" s="2327"/>
      <c r="B35" s="2328" t="s">
        <v>1977</v>
      </c>
      <c r="C35" s="1316">
        <f>IF('数据-取费表'!B3="万元",典型户型修正!V25,典型户型修正!U25)</f>
        <v>0</v>
      </c>
      <c r="D35" s="2195" t="str">
        <f>D33</f>
        <v>元</v>
      </c>
      <c r="E35" s="2195"/>
      <c r="F35" s="2195"/>
      <c r="G35" s="2195"/>
      <c r="H35" s="2195"/>
      <c r="I35" s="2195"/>
    </row>
    <row r="36" spans="1:16" ht="15.75" thickBot="1">
      <c r="A36" s="2234"/>
      <c r="B36" s="2329" t="s">
        <v>1978</v>
      </c>
      <c r="C36" s="1317">
        <f>IF('数据-取费表'!B3="万元",典型户型修正!Y25,典型户型修正!X25)</f>
        <v>0</v>
      </c>
      <c r="D36" s="2195" t="str">
        <f>D33</f>
        <v>元</v>
      </c>
      <c r="E36" s="2195"/>
      <c r="F36" s="2195"/>
      <c r="G36" s="2195"/>
      <c r="H36" s="2195"/>
      <c r="I36" s="2195"/>
    </row>
    <row r="37" spans="1:16" ht="15.75" thickBot="1">
      <c r="A37" s="2912" t="s">
        <v>1979</v>
      </c>
      <c r="B37" s="2237" t="s">
        <v>1980</v>
      </c>
      <c r="C37" s="69"/>
      <c r="D37" s="2238"/>
      <c r="E37" s="2239"/>
      <c r="F37" s="2239"/>
      <c r="G37" s="2195"/>
      <c r="H37" s="2195"/>
      <c r="I37" s="2195"/>
    </row>
    <row r="38" spans="1:16" ht="15.75" thickBot="1">
      <c r="A38" s="2913"/>
      <c r="B38" s="2240" t="s">
        <v>1981</v>
      </c>
      <c r="C38" s="71"/>
      <c r="D38" s="2205"/>
      <c r="E38" s="2205"/>
      <c r="F38" s="2239"/>
      <c r="G38" s="2205"/>
      <c r="H38" s="2205"/>
      <c r="I38" s="2205"/>
    </row>
    <row r="39" spans="1:16" ht="15.75" thickBot="1">
      <c r="A39" s="2914"/>
      <c r="B39" s="2241" t="s">
        <v>1982</v>
      </c>
      <c r="C39" s="712"/>
      <c r="D39" s="2242" t="s">
        <v>1983</v>
      </c>
      <c r="E39" s="2205"/>
      <c r="F39" s="2239"/>
      <c r="G39" s="2205"/>
      <c r="H39" s="2205"/>
      <c r="I39" s="2205"/>
    </row>
    <row r="40" spans="1:16" ht="15">
      <c r="A40" s="2209" t="s">
        <v>1984</v>
      </c>
      <c r="B40" s="2243" t="s">
        <v>1985</v>
      </c>
      <c r="C40" s="2244" t="s">
        <v>1986</v>
      </c>
      <c r="D40" s="2244" t="s">
        <v>1987</v>
      </c>
      <c r="E40" s="2245" t="s">
        <v>1988</v>
      </c>
      <c r="F40" s="2239"/>
      <c r="G40" s="2205"/>
      <c r="H40" s="2205"/>
      <c r="I40" s="2205"/>
    </row>
    <row r="41" spans="1:16" ht="14.25">
      <c r="A41" s="2246" t="s">
        <v>1989</v>
      </c>
      <c r="B41" s="74"/>
      <c r="C41" s="75"/>
      <c r="D41" s="75"/>
      <c r="E41" s="76"/>
      <c r="F41" s="2239"/>
      <c r="G41" s="2205"/>
      <c r="H41" s="2205"/>
      <c r="I41" s="2205"/>
    </row>
    <row r="42" spans="1:16" ht="14.25">
      <c r="A42" s="2246" t="s">
        <v>1990</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1991</v>
      </c>
      <c r="B45" s="2252"/>
      <c r="C45" s="2252"/>
      <c r="D45" s="2253"/>
      <c r="E45" s="2253"/>
      <c r="F45" s="2254"/>
      <c r="G45" s="2254"/>
      <c r="H45" s="2254"/>
      <c r="I45" s="2254"/>
      <c r="J45" s="2255" t="s">
        <v>1822</v>
      </c>
      <c r="K45" s="2256"/>
      <c r="L45" s="2256"/>
      <c r="M45" s="2256"/>
      <c r="N45" s="2256"/>
      <c r="O45" s="2256"/>
      <c r="P45" s="1846"/>
    </row>
    <row r="46" spans="1:16" ht="14.25" customHeight="1" thickBot="1">
      <c r="A46" s="2918" t="s">
        <v>1992</v>
      </c>
      <c r="B46" s="2919"/>
      <c r="C46" s="2920"/>
      <c r="D46" s="80">
        <f>ROUND(I103*F46,0)</f>
        <v>0</v>
      </c>
      <c r="E46" s="81" t="s">
        <v>1993</v>
      </c>
      <c r="F46" s="82">
        <v>1</v>
      </c>
      <c r="G46" s="83" t="s">
        <v>1994</v>
      </c>
      <c r="H46" s="2195"/>
      <c r="I46" s="2195"/>
      <c r="J46" s="2980" t="s">
        <v>1826</v>
      </c>
      <c r="K46" s="2980"/>
      <c r="L46" s="2980"/>
      <c r="M46" s="2980"/>
      <c r="N46" s="2980"/>
      <c r="O46" s="2980"/>
      <c r="P46" s="1846"/>
    </row>
    <row r="47" spans="1:16" ht="14.25" customHeight="1">
      <c r="A47" s="2903" t="s">
        <v>1827</v>
      </c>
      <c r="B47" s="2904"/>
      <c r="C47" s="2904"/>
      <c r="D47" s="2904"/>
      <c r="E47" s="2904"/>
      <c r="F47" s="2904"/>
      <c r="G47" s="2905"/>
      <c r="H47" s="2257"/>
      <c r="I47" s="1144"/>
      <c r="J47" s="1884">
        <v>1</v>
      </c>
      <c r="K47" s="2980" t="s">
        <v>1828</v>
      </c>
      <c r="L47" s="2980"/>
      <c r="M47" s="2996"/>
      <c r="N47" s="2996"/>
      <c r="O47" s="2996"/>
      <c r="P47" s="1846"/>
    </row>
    <row r="48" spans="1:16" ht="12" customHeight="1">
      <c r="A48" s="85" t="s">
        <v>1829</v>
      </c>
      <c r="B48" s="86"/>
      <c r="C48" s="87"/>
      <c r="D48" s="88" t="s">
        <v>1830</v>
      </c>
      <c r="E48" s="14" t="s">
        <v>1831</v>
      </c>
      <c r="F48" s="89" t="s">
        <v>1832</v>
      </c>
      <c r="G48" s="90" t="s">
        <v>1833</v>
      </c>
      <c r="H48" s="2257"/>
      <c r="I48" s="1144"/>
      <c r="J48" s="1884">
        <v>2</v>
      </c>
      <c r="K48" s="2980" t="s">
        <v>1834</v>
      </c>
      <c r="L48" s="2980"/>
      <c r="M48" s="2982">
        <f>'数据-取费表'!B2</f>
        <v>43083</v>
      </c>
      <c r="N48" s="2982"/>
      <c r="O48" s="2982"/>
      <c r="P48" s="1846"/>
    </row>
    <row r="49" spans="1:16" ht="25.5">
      <c r="A49" s="2915" t="s">
        <v>1835</v>
      </c>
      <c r="B49" s="2916"/>
      <c r="C49" s="2916"/>
      <c r="D49" s="56">
        <f>IF(H49="情况1",0,IF(H49="情况2",D53,IF(H49="情况3",D54,IF(H49="情况4",D55))))</f>
        <v>0</v>
      </c>
      <c r="E49" s="1894" t="str">
        <f>IF(H49="情况4","(销售额-原购置价)×税（费）率","销售额×税（费）率")</f>
        <v>销售额×税（费）率</v>
      </c>
      <c r="F49" s="91">
        <f>IF(H49="情况1","免征",'数据-取费表'!E29)</f>
        <v>5.6000000000000001E-2</v>
      </c>
      <c r="G49" s="2258" t="s">
        <v>1836</v>
      </c>
      <c r="H49" s="2259" t="s">
        <v>1837</v>
      </c>
      <c r="I49" s="2257"/>
      <c r="J49" s="1884">
        <v>3</v>
      </c>
      <c r="K49" s="2980" t="s">
        <v>1838</v>
      </c>
      <c r="L49" s="2980"/>
      <c r="M49" s="2981">
        <f>I103</f>
        <v>0</v>
      </c>
      <c r="N49" s="2981"/>
      <c r="O49" s="2981"/>
      <c r="P49" s="1846"/>
    </row>
    <row r="50" spans="1:16" ht="25.5" customHeight="1">
      <c r="A50" s="92" t="s">
        <v>1839</v>
      </c>
      <c r="B50" s="2908" t="s">
        <v>1840</v>
      </c>
      <c r="C50" s="2908"/>
      <c r="D50" s="93">
        <v>0</v>
      </c>
      <c r="E50" s="13" t="s">
        <v>1841</v>
      </c>
      <c r="F50" s="18" t="s">
        <v>48</v>
      </c>
      <c r="G50" s="2973"/>
      <c r="H50" s="2195"/>
      <c r="I50" s="2260"/>
      <c r="J50" s="1884">
        <v>4</v>
      </c>
      <c r="K50" s="2980" t="str">
        <f>IF(项目基本情况!F5="房地产抵押价值","房地产抵押价值","抵押担保权已注销时的房地产抵押价值")</f>
        <v>抵押担保权已注销时的房地产抵押价值</v>
      </c>
      <c r="L50" s="2980"/>
      <c r="M50" s="2981" t="str">
        <f>IF(项目基本情况!E8="房地产抵押价值",I111,I113)</f>
        <v>——</v>
      </c>
      <c r="N50" s="2981"/>
      <c r="O50" s="2981"/>
      <c r="P50" s="1846"/>
    </row>
    <row r="51" spans="1:16" ht="25.5" customHeight="1">
      <c r="A51" s="94"/>
      <c r="B51" s="2908" t="s">
        <v>1842</v>
      </c>
      <c r="C51" s="2908"/>
      <c r="D51" s="95"/>
      <c r="E51" s="21"/>
      <c r="F51" s="96"/>
      <c r="G51" s="2974"/>
      <c r="H51" s="2195"/>
      <c r="I51" s="2260"/>
      <c r="J51" s="2980" t="s">
        <v>1843</v>
      </c>
      <c r="K51" s="2980"/>
      <c r="L51" s="2980"/>
      <c r="M51" s="2980"/>
      <c r="N51" s="2980"/>
      <c r="O51" s="2980"/>
      <c r="P51" s="1846"/>
    </row>
    <row r="52" spans="1:16" ht="12" customHeight="1">
      <c r="A52" s="97"/>
      <c r="B52" s="2908" t="s">
        <v>1844</v>
      </c>
      <c r="C52" s="2908"/>
      <c r="D52" s="98"/>
      <c r="E52" s="20"/>
      <c r="F52" s="96"/>
      <c r="G52" s="2975"/>
      <c r="H52" s="2195"/>
      <c r="I52" s="2260"/>
      <c r="J52" s="2261" t="s">
        <v>1845</v>
      </c>
      <c r="K52" s="2980" t="s">
        <v>1846</v>
      </c>
      <c r="L52" s="2980"/>
      <c r="M52" s="2261" t="s">
        <v>1847</v>
      </c>
      <c r="N52" s="2261" t="s">
        <v>1848</v>
      </c>
      <c r="O52" s="2261" t="s">
        <v>1849</v>
      </c>
      <c r="P52" s="1846"/>
    </row>
    <row r="53" spans="1:16" ht="24" customHeight="1">
      <c r="A53" s="99" t="s">
        <v>1850</v>
      </c>
      <c r="B53" s="2908" t="s">
        <v>1851</v>
      </c>
      <c r="C53" s="2908"/>
      <c r="D53" s="98">
        <f>ROUND(D46*'数据-取费表'!E29/(1+'数据-取费表'!F30),0)</f>
        <v>0</v>
      </c>
      <c r="E53" s="10" t="s">
        <v>1852</v>
      </c>
      <c r="F53" s="100">
        <f>'数据-取费表'!E29</f>
        <v>5.6000000000000001E-2</v>
      </c>
      <c r="G53" s="2262"/>
      <c r="H53" s="2195"/>
      <c r="I53" s="2260"/>
      <c r="J53" s="1884">
        <v>1</v>
      </c>
      <c r="K53" s="2940" t="s">
        <v>1853</v>
      </c>
      <c r="L53" s="2940"/>
      <c r="M53" s="778">
        <f>D49</f>
        <v>0</v>
      </c>
      <c r="N53" s="1884" t="str">
        <f>E49</f>
        <v>销售额×税（费）率</v>
      </c>
      <c r="O53" s="779">
        <f>F49</f>
        <v>5.6000000000000001E-2</v>
      </c>
      <c r="P53" s="1846"/>
    </row>
    <row r="54" spans="1:16" ht="12" customHeight="1">
      <c r="A54" s="99" t="s">
        <v>1854</v>
      </c>
      <c r="B54" s="2909" t="s">
        <v>1855</v>
      </c>
      <c r="C54" s="2834"/>
      <c r="D54" s="98">
        <f>ROUND(D46*'数据-取费表'!E29/(1+'数据-取费表'!F30),0)</f>
        <v>0</v>
      </c>
      <c r="E54" s="10" t="s">
        <v>1852</v>
      </c>
      <c r="F54" s="100">
        <f>'数据-取费表'!E29</f>
        <v>5.6000000000000001E-2</v>
      </c>
      <c r="G54" s="2262"/>
      <c r="H54" s="2195"/>
      <c r="I54" s="2260"/>
      <c r="J54" s="1884">
        <v>2</v>
      </c>
      <c r="K54" s="2940" t="s">
        <v>1856</v>
      </c>
      <c r="L54" s="2940"/>
      <c r="M54" s="778">
        <f t="shared" ref="M54:O55" si="1">D56</f>
        <v>0</v>
      </c>
      <c r="N54" s="1884" t="str">
        <f t="shared" si="1"/>
        <v>销售额×税（费）率</v>
      </c>
      <c r="O54" s="779">
        <f t="shared" si="1"/>
        <v>5.0000000000000001E-4</v>
      </c>
      <c r="P54" s="1846"/>
    </row>
    <row r="55" spans="1:16" ht="12" customHeight="1">
      <c r="A55" s="99" t="s">
        <v>1857</v>
      </c>
      <c r="B55" s="2909" t="s">
        <v>1858</v>
      </c>
      <c r="C55" s="2834"/>
      <c r="D55" s="98">
        <f>C69</f>
        <v>0</v>
      </c>
      <c r="E55" s="20" t="s">
        <v>1859</v>
      </c>
      <c r="F55" s="100">
        <f>'数据-取费表'!E29</f>
        <v>5.6000000000000001E-2</v>
      </c>
      <c r="G55" s="2262"/>
      <c r="H55" s="2263"/>
      <c r="I55" s="2260"/>
      <c r="J55" s="1884">
        <v>3</v>
      </c>
      <c r="K55" s="2940" t="s">
        <v>1860</v>
      </c>
      <c r="L55" s="2940"/>
      <c r="M55" s="778">
        <f t="shared" si="1"/>
        <v>0</v>
      </c>
      <c r="N55" s="1884" t="str">
        <f t="shared" si="1"/>
        <v>增值额×税（费）率</v>
      </c>
      <c r="O55" s="780" t="str">
        <f t="shared" si="1"/>
        <v>——</v>
      </c>
      <c r="P55" s="1846"/>
    </row>
    <row r="56" spans="1:16" ht="24" customHeight="1">
      <c r="A56" s="2826" t="s">
        <v>1861</v>
      </c>
      <c r="B56" s="2916"/>
      <c r="C56" s="2916"/>
      <c r="D56" s="101">
        <f>IF(H56="个人住宅",0,ROUND(D46*I56,0))</f>
        <v>0</v>
      </c>
      <c r="E56" s="10" t="s">
        <v>1862</v>
      </c>
      <c r="F56" s="100">
        <f>IF(H56="正常",I56,"免征")</f>
        <v>5.0000000000000001E-4</v>
      </c>
      <c r="G56" s="2262"/>
      <c r="H56" s="2259" t="s">
        <v>1863</v>
      </c>
      <c r="I56" s="102">
        <f>'数据-取费表'!E37</f>
        <v>5.0000000000000001E-4</v>
      </c>
      <c r="J56" s="1884" t="str">
        <f>IF(H60="非个人房产","",4)</f>
        <v/>
      </c>
      <c r="K56" s="2940" t="str">
        <f>IF(H60="非个人房产","——","个人所得税")</f>
        <v>——</v>
      </c>
      <c r="L56" s="2940"/>
      <c r="M56" s="781" t="str">
        <f>D60</f>
        <v>——</v>
      </c>
      <c r="N56" s="1887" t="str">
        <f>E60</f>
        <v>——</v>
      </c>
      <c r="O56" s="782" t="str">
        <f>F60</f>
        <v>——</v>
      </c>
      <c r="P56" s="1846"/>
    </row>
    <row r="57" spans="1:16" ht="24.75">
      <c r="A57" s="2826" t="s">
        <v>1864</v>
      </c>
      <c r="B57" s="2916"/>
      <c r="C57" s="2916"/>
      <c r="D57" s="101">
        <f>IF(H57="个人住宅",D58,D59)</f>
        <v>0</v>
      </c>
      <c r="E57" s="10" t="s">
        <v>1865</v>
      </c>
      <c r="F57" s="100" t="str">
        <f>IF(H57="正常",F59,"免征")</f>
        <v>——</v>
      </c>
      <c r="G57" s="2264" t="s">
        <v>1866</v>
      </c>
      <c r="H57" s="2265" t="s">
        <v>1863</v>
      </c>
      <c r="I57" s="1022"/>
      <c r="J57" s="1884" t="str">
        <f>IF(项目基本情况!I6="上海银行",IF(J56="",4,J56+1),"")</f>
        <v/>
      </c>
      <c r="K57" s="2958" t="str">
        <f>IF(项目基本情况!I6="上海银行","其他处置费用","")</f>
        <v/>
      </c>
      <c r="L57" s="2959"/>
      <c r="M57" s="778" t="str">
        <f>IF(项目基本情况!I6="上海银行",M70,"")</f>
        <v/>
      </c>
      <c r="N57" s="2971" t="str">
        <f>IF(项目基本情况!I6="上海银行","包含处置中涉及的律师、诉讼、拍卖、评估等费用","")</f>
        <v/>
      </c>
      <c r="O57" s="2972"/>
      <c r="P57" s="1846"/>
    </row>
    <row r="58" spans="1:16" ht="12.75">
      <c r="A58" s="99" t="s">
        <v>1839</v>
      </c>
      <c r="B58" s="2906" t="s">
        <v>1867</v>
      </c>
      <c r="C58" s="2917"/>
      <c r="D58" s="103">
        <v>0</v>
      </c>
      <c r="E58" s="13" t="s">
        <v>1841</v>
      </c>
      <c r="F58" s="70"/>
      <c r="G58" s="2262"/>
      <c r="H58" s="1022"/>
      <c r="I58" s="1022"/>
      <c r="J58" s="2940">
        <f>IF(AND(J56="",J57=""),4,IF(项目基本情况!I6="上海银行",J57+1,J56+1))</f>
        <v>4</v>
      </c>
      <c r="K58" s="2940" t="s">
        <v>1868</v>
      </c>
      <c r="L58" s="2266" t="s">
        <v>1869</v>
      </c>
      <c r="M58" s="783"/>
      <c r="N58" s="784">
        <f>SUMIF(M53:M57,"&lt;9e307")</f>
        <v>0</v>
      </c>
      <c r="O58" s="2267"/>
      <c r="P58" s="1842" t="e">
        <f>N58/M50</f>
        <v>#VALUE!</v>
      </c>
    </row>
    <row r="59" spans="1:16" ht="24.75">
      <c r="A59" s="99" t="s">
        <v>1850</v>
      </c>
      <c r="B59" s="2906" t="s">
        <v>1870</v>
      </c>
      <c r="C59" s="2907"/>
      <c r="D59" s="101">
        <f>IF(H59="转让取得",C82,C98)</f>
        <v>0</v>
      </c>
      <c r="E59" s="10" t="s">
        <v>1865</v>
      </c>
      <c r="F59" s="14" t="s">
        <v>48</v>
      </c>
      <c r="G59" s="2262"/>
      <c r="H59" s="2265" t="s">
        <v>1871</v>
      </c>
      <c r="I59" s="1022"/>
      <c r="J59" s="2940"/>
      <c r="K59" s="2940"/>
      <c r="L59" s="2266" t="s">
        <v>1872</v>
      </c>
      <c r="M59" s="785"/>
      <c r="N59" s="2268" t="str">
        <f>IF(H19="元",NUMBERSTRING(INT(N58),2)&amp;"元整",NUMBERSTRING(INT(N58*10000),2)&amp;"元整")</f>
        <v>零元整</v>
      </c>
      <c r="O59" s="2269"/>
      <c r="P59" s="1846"/>
    </row>
    <row r="60" spans="1:16" ht="24.75" thickBot="1">
      <c r="A60" s="2827" t="s">
        <v>1873</v>
      </c>
      <c r="B60" s="2830"/>
      <c r="C60" s="2830"/>
      <c r="D60" s="104" t="str">
        <f>IF(H60="非个人房产","——",IF(H60="个人住宅",0,ROUND(D46*I60,0)))</f>
        <v>——</v>
      </c>
      <c r="E60" s="105" t="str">
        <f>IF(H60="非个人房产","——","销售额×税（费）率")</f>
        <v>——</v>
      </c>
      <c r="F60" s="106" t="str">
        <f>IF(H60="非个人房产","——",IF(H60="个人住宅","免征",I60))</f>
        <v>——</v>
      </c>
      <c r="G60" s="2270" t="s">
        <v>1866</v>
      </c>
      <c r="H60" s="2265" t="s">
        <v>1995</v>
      </c>
      <c r="I60" s="107">
        <v>0.01</v>
      </c>
      <c r="J60" s="2938">
        <f>J58+1</f>
        <v>5</v>
      </c>
      <c r="K60" s="2940" t="s">
        <v>1875</v>
      </c>
      <c r="L60" s="1884" t="s">
        <v>1869</v>
      </c>
      <c r="M60" s="786"/>
      <c r="N60" s="787" t="e">
        <f>M50-N58</f>
        <v>#VALUE!</v>
      </c>
      <c r="O60" s="2271"/>
      <c r="P60" s="1846"/>
    </row>
    <row r="61" spans="1:16" ht="12" customHeight="1">
      <c r="A61" s="2069"/>
      <c r="B61" s="2195"/>
      <c r="C61" s="2195"/>
      <c r="D61" s="2195"/>
      <c r="E61" s="1022"/>
      <c r="F61" s="1022"/>
      <c r="G61" s="1022"/>
      <c r="H61" s="2248"/>
      <c r="I61" s="2195"/>
      <c r="J61" s="2939"/>
      <c r="K61" s="2940"/>
      <c r="L61" s="2266" t="s">
        <v>1872</v>
      </c>
      <c r="M61" s="785"/>
      <c r="N61" s="2268" t="e">
        <f>IF(H19="元",NUMBERSTRING(INT(N60),2)&amp;"元整",NUMBERSTRING(INT(N60*10000),2)&amp;"元整")</f>
        <v>#VALUE!</v>
      </c>
      <c r="O61" s="2269"/>
      <c r="P61" s="1846"/>
    </row>
    <row r="62" spans="1:16" ht="13.5" thickBot="1">
      <c r="A62" s="2921" t="s">
        <v>1876</v>
      </c>
      <c r="B62" s="2921"/>
      <c r="C62" s="2921"/>
      <c r="D62" s="2921"/>
      <c r="E62" s="2921"/>
      <c r="F62" s="1022"/>
      <c r="G62" s="1022"/>
      <c r="H62" s="2248"/>
      <c r="I62" s="2195"/>
      <c r="J62" s="1884">
        <f>J60+1</f>
        <v>6</v>
      </c>
      <c r="K62" s="2940" t="s">
        <v>1877</v>
      </c>
      <c r="L62" s="2940"/>
      <c r="M62" s="788"/>
      <c r="N62" s="789" t="e">
        <f>IF(H19="元",ROUND(N60/项目基本情况!C12,0),ROUND(N60*10000/项目基本情况!C12,0))</f>
        <v>#VALUE!</v>
      </c>
      <c r="O62" s="2272"/>
      <c r="P62" s="1846"/>
    </row>
    <row r="63" spans="1:16" ht="12.75">
      <c r="A63" s="2928" t="s">
        <v>1878</v>
      </c>
      <c r="B63" s="2929"/>
      <c r="C63" s="1886"/>
      <c r="D63" s="1886" t="s">
        <v>1879</v>
      </c>
      <c r="E63" s="108" t="s">
        <v>1880</v>
      </c>
      <c r="F63" s="1022"/>
      <c r="G63" s="1022"/>
      <c r="H63" s="2248"/>
      <c r="I63" s="2195"/>
      <c r="J63" s="1846"/>
      <c r="K63" s="1846"/>
      <c r="L63" s="1846"/>
      <c r="M63" s="1846"/>
      <c r="N63" s="1846"/>
      <c r="O63" s="1846"/>
      <c r="P63" s="1846"/>
    </row>
    <row r="64" spans="1:16" ht="12.75">
      <c r="A64" s="109">
        <v>1</v>
      </c>
      <c r="B64" s="110" t="s">
        <v>1881</v>
      </c>
      <c r="C64" s="111">
        <f>ROUND((C65+C66)/(1+'数据-取费表'!F30),0)</f>
        <v>0</v>
      </c>
      <c r="D64" s="112"/>
      <c r="E64" s="113"/>
      <c r="F64" s="1022"/>
      <c r="G64" s="1022"/>
      <c r="H64" s="2248"/>
      <c r="I64" s="2195"/>
      <c r="J64" s="2960" t="s">
        <v>1882</v>
      </c>
      <c r="K64" s="2273" t="s">
        <v>1883</v>
      </c>
      <c r="L64" s="1845" t="e">
        <f>IF(M50&gt;10000,M50*0.5%,IF(AND(M50&gt;1000,M50&lt;=10000),M50*1%,IF(AND(M50&gt;100,M50&lt;=1000),M50*3%,IF(AND(M50&gt;10,M50&lt;=100),M50*5%,M50*8%))))</f>
        <v>#VALUE!</v>
      </c>
      <c r="M64" s="14" t="e">
        <f>ROUND(L64,1)</f>
        <v>#VALUE!</v>
      </c>
      <c r="N64" s="1846"/>
      <c r="O64" s="1846"/>
      <c r="P64" s="1846"/>
    </row>
    <row r="65" spans="1:35" ht="12.75">
      <c r="A65" s="114" t="s">
        <v>71</v>
      </c>
      <c r="B65" s="115" t="s">
        <v>1884</v>
      </c>
      <c r="C65" s="116">
        <f>D46</f>
        <v>0</v>
      </c>
      <c r="D65" s="117" t="s">
        <v>41</v>
      </c>
      <c r="E65" s="118"/>
      <c r="F65" s="1022"/>
      <c r="G65" s="1022"/>
      <c r="H65" s="2248"/>
      <c r="I65" s="2195"/>
      <c r="J65" s="2960"/>
      <c r="K65" s="2273" t="s">
        <v>1885</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1886</v>
      </c>
      <c r="O65" s="1846"/>
      <c r="P65" s="1846"/>
    </row>
    <row r="66" spans="1:35" ht="12.75">
      <c r="A66" s="114" t="s">
        <v>72</v>
      </c>
      <c r="B66" s="115" t="s">
        <v>1887</v>
      </c>
      <c r="C66" s="119"/>
      <c r="D66" s="117"/>
      <c r="E66" s="118"/>
      <c r="F66" s="1022"/>
      <c r="G66" s="1022"/>
      <c r="H66" s="2248"/>
      <c r="I66" s="2195"/>
      <c r="J66" s="2960"/>
      <c r="K66" s="2273" t="s">
        <v>1888</v>
      </c>
      <c r="L66" s="1845" t="e">
        <f>IF(M50&gt;1000,M50*0.1%,IF(AND(M50&gt;500,M50&lt;=1000),M50*0.5%,IF(AND(M50&gt;50,M50&lt;=500),M50*1%,IF(AND(M50&gt;1,M50&lt;=50),M50*1.5%))))</f>
        <v>#VALUE!</v>
      </c>
      <c r="M66" s="14" t="e">
        <f t="shared" si="2"/>
        <v>#VALUE!</v>
      </c>
      <c r="N66" s="1846" t="s">
        <v>1886</v>
      </c>
      <c r="O66" s="1846"/>
      <c r="P66" s="1846"/>
    </row>
    <row r="67" spans="1:35" ht="12.75">
      <c r="A67" s="120" t="s">
        <v>47</v>
      </c>
      <c r="B67" s="121" t="s">
        <v>1889</v>
      </c>
      <c r="C67" s="122"/>
      <c r="D67" s="123" t="s">
        <v>41</v>
      </c>
      <c r="E67" s="1862" t="s">
        <v>1890</v>
      </c>
      <c r="F67" s="1022"/>
      <c r="G67" s="1022"/>
      <c r="H67" s="2248"/>
      <c r="I67" s="2195"/>
      <c r="J67" s="2960"/>
      <c r="K67" s="2273" t="s">
        <v>1891</v>
      </c>
      <c r="L67" s="1845" t="e">
        <f>M50*0.5%</f>
        <v>#VALUE!</v>
      </c>
      <c r="M67" s="14" t="e">
        <f>IF(L67&gt;0.5,0.5,ROUND(L67,0))</f>
        <v>#VALUE!</v>
      </c>
      <c r="N67" s="1846" t="s">
        <v>1892</v>
      </c>
      <c r="O67" s="1846"/>
      <c r="P67" s="1846"/>
    </row>
    <row r="68" spans="1:35" ht="12.75">
      <c r="A68" s="120" t="s">
        <v>42</v>
      </c>
      <c r="B68" s="121" t="s">
        <v>1893</v>
      </c>
      <c r="C68" s="124">
        <f>C64-C67</f>
        <v>0</v>
      </c>
      <c r="D68" s="117" t="s">
        <v>41</v>
      </c>
      <c r="E68" s="118"/>
      <c r="F68" s="1022"/>
      <c r="G68" s="1022"/>
      <c r="H68" s="2248"/>
      <c r="I68" s="2195"/>
      <c r="J68" s="2960"/>
      <c r="K68" s="2273" t="s">
        <v>1894</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1895</v>
      </c>
      <c r="C69" s="127">
        <f>IF(C68&lt;=0,0,ROUND(C68*D69,0))</f>
        <v>0</v>
      </c>
      <c r="D69" s="128">
        <f>'数据-取费表'!E29</f>
        <v>5.6000000000000001E-2</v>
      </c>
      <c r="E69" s="129"/>
      <c r="F69" s="1022"/>
      <c r="G69" s="1022"/>
      <c r="H69" s="2248"/>
      <c r="I69" s="2195"/>
      <c r="J69" s="2960"/>
      <c r="K69" s="2273" t="s">
        <v>1896</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960"/>
      <c r="K70" s="2273" t="s">
        <v>1897</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932" t="s">
        <v>1898</v>
      </c>
      <c r="B71" s="2933"/>
      <c r="C71" s="2933"/>
      <c r="D71" s="2933"/>
      <c r="E71" s="2933"/>
      <c r="F71" s="2933"/>
      <c r="G71" s="2933"/>
      <c r="H71" s="2933"/>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8" t="s">
        <v>1878</v>
      </c>
      <c r="B72" s="2929"/>
      <c r="C72" s="1886"/>
      <c r="D72" s="1886" t="s">
        <v>1879</v>
      </c>
      <c r="E72" s="130" t="s">
        <v>1880</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1899</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1901</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1902</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1903</v>
      </c>
      <c r="C76" s="137"/>
      <c r="D76" s="117" t="s">
        <v>41</v>
      </c>
      <c r="E76" s="138" t="s">
        <v>1904</v>
      </c>
      <c r="F76" s="2284"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1907</v>
      </c>
      <c r="C77" s="117">
        <f>IF(F76="购房发票",ROUND(C76*H76*D77,0),0)</f>
        <v>0</v>
      </c>
      <c r="D77" s="141">
        <v>0.05</v>
      </c>
      <c r="E77" s="2909" t="s">
        <v>1908</v>
      </c>
      <c r="F77" s="2908"/>
      <c r="G77" s="2908"/>
      <c r="H77" s="2923"/>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5" t="s">
        <v>1911</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1912</v>
      </c>
      <c r="C79" s="144">
        <f>ROUND(D46*D79/(1+'数据-取费表'!F30),0)</f>
        <v>0</v>
      </c>
      <c r="D79" s="145">
        <f>'数据-取费表'!E31</f>
        <v>6.000000000000001E-3</v>
      </c>
      <c r="E79" s="2900" t="s">
        <v>1913</v>
      </c>
      <c r="F79" s="2901"/>
      <c r="G79" s="2901"/>
      <c r="H79" s="2902"/>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1914</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2" t="s">
        <v>1917</v>
      </c>
      <c r="B84" s="2933"/>
      <c r="C84" s="2933"/>
      <c r="D84" s="2933"/>
      <c r="E84" s="2933"/>
      <c r="F84" s="2933"/>
      <c r="G84" s="2933"/>
      <c r="H84" s="2933"/>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8" t="s">
        <v>1878</v>
      </c>
      <c r="B85" s="2929"/>
      <c r="C85" s="1886"/>
      <c r="D85" s="1886"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1899</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1901</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1918</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1919</v>
      </c>
      <c r="C89" s="157"/>
      <c r="D89" s="145"/>
      <c r="E89" s="158" t="s">
        <v>1920</v>
      </c>
      <c r="F89" s="1883"/>
      <c r="G89" s="159" t="s">
        <v>1921</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1909</v>
      </c>
      <c r="C90" s="144">
        <f>ROUND(C89*D90,0)</f>
        <v>0</v>
      </c>
      <c r="D90" s="145">
        <f>'数据-取费表'!E36+'数据-取费表'!E37</f>
        <v>3.0499999999999999E-2</v>
      </c>
      <c r="E90" s="158" t="s">
        <v>1922</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1923</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1924</v>
      </c>
      <c r="C92" s="144">
        <f>IF(H92="——",成本法!C33,I92)</f>
        <v>0</v>
      </c>
      <c r="D92" s="145"/>
      <c r="E92" s="2900" t="s">
        <v>1925</v>
      </c>
      <c r="F92" s="2901"/>
      <c r="G92" s="2901"/>
      <c r="H92" s="2288" t="s">
        <v>1926</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1927</v>
      </c>
      <c r="C93" s="144">
        <f>ROUND((C88+C91+C92)*D93,0)</f>
        <v>0</v>
      </c>
      <c r="D93" s="145">
        <v>0.1</v>
      </c>
      <c r="E93" s="2900" t="s">
        <v>1928</v>
      </c>
      <c r="F93" s="2901"/>
      <c r="G93" s="2901"/>
      <c r="H93" s="290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1912</v>
      </c>
      <c r="C94" s="144">
        <f>ROUND(D46*D94/(1+'数据-取费表'!F30),0)</f>
        <v>0</v>
      </c>
      <c r="D94" s="145">
        <f>'数据-取费表'!E31</f>
        <v>6.000000000000001E-3</v>
      </c>
      <c r="E94" s="2900" t="s">
        <v>1913</v>
      </c>
      <c r="F94" s="2901"/>
      <c r="G94" s="2901"/>
      <c r="H94" s="290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1929</v>
      </c>
      <c r="C95" s="144">
        <f>ROUND((C88+C91+C92)*D95,0)</f>
        <v>0</v>
      </c>
      <c r="D95" s="145">
        <v>0.2</v>
      </c>
      <c r="E95" s="2900" t="s">
        <v>1930</v>
      </c>
      <c r="F95" s="2901"/>
      <c r="G95" s="2901"/>
      <c r="H95" s="2902"/>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1914</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1931</v>
      </c>
      <c r="B99" s="2195"/>
      <c r="C99" s="2195"/>
      <c r="D99" s="2195"/>
      <c r="E99" s="1022"/>
      <c r="F99" s="1022"/>
      <c r="G99" s="1022"/>
      <c r="H99" s="2248"/>
      <c r="I99" s="2195"/>
    </row>
    <row r="100" spans="1:35" ht="15.75">
      <c r="A100" s="2955" t="s">
        <v>1932</v>
      </c>
      <c r="B100" s="2956"/>
      <c r="C100" s="2956"/>
      <c r="D100" s="2957"/>
      <c r="E100" s="2195"/>
      <c r="F100" s="2966" t="s">
        <v>1933</v>
      </c>
      <c r="G100" s="2967"/>
      <c r="H100" s="2967"/>
      <c r="I100" s="2968"/>
    </row>
    <row r="101" spans="1:35" ht="15.75">
      <c r="A101" s="2969" t="s">
        <v>1934</v>
      </c>
      <c r="B101" s="2970"/>
      <c r="C101" s="720">
        <f>C4</f>
        <v>0</v>
      </c>
      <c r="D101" s="721">
        <f>D4</f>
        <v>0</v>
      </c>
      <c r="E101" s="2195"/>
      <c r="F101" s="2865" t="s">
        <v>1935</v>
      </c>
      <c r="G101" s="2866"/>
      <c r="H101" s="2991" t="s">
        <v>1936</v>
      </c>
      <c r="I101" s="2864"/>
    </row>
    <row r="102" spans="1:35" ht="15.75">
      <c r="A102" s="2992" t="s">
        <v>1996</v>
      </c>
      <c r="B102" s="2290" t="str">
        <f>IF(H19="元","总价（元）","总价（万元）")</f>
        <v>总价（元）</v>
      </c>
      <c r="C102" s="720" t="e">
        <f ca="1">C19</f>
        <v>#REF!</v>
      </c>
      <c r="D102" s="721" t="e">
        <f ca="1">D19</f>
        <v>#REF!</v>
      </c>
      <c r="E102" s="2195"/>
      <c r="F102" s="2993"/>
      <c r="G102" s="2994"/>
      <c r="H102" s="2863">
        <f>典型户型修正!B25</f>
        <v>0</v>
      </c>
      <c r="I102" s="2864"/>
    </row>
    <row r="103" spans="1:35" ht="15.75">
      <c r="A103" s="2992"/>
      <c r="B103" s="2290" t="s">
        <v>1938</v>
      </c>
      <c r="C103" s="722" t="e">
        <f ca="1">C20</f>
        <v>#REF!</v>
      </c>
      <c r="D103" s="723" t="e">
        <f ca="1">D20</f>
        <v>#REF!</v>
      </c>
      <c r="E103" s="2195"/>
      <c r="F103" s="2892" t="s">
        <v>1939</v>
      </c>
      <c r="G103" s="2893"/>
      <c r="H103" s="2291" t="str">
        <f>C109</f>
        <v>总价（元）</v>
      </c>
      <c r="I103" s="1863">
        <f>H124</f>
        <v>0</v>
      </c>
    </row>
    <row r="104" spans="1:35" ht="15">
      <c r="A104" s="2992" t="s">
        <v>1997</v>
      </c>
      <c r="B104" s="2292" t="str">
        <f>B102</f>
        <v>总价（元）</v>
      </c>
      <c r="C104" s="1190" t="e">
        <f ca="1">ROUND(IF('数据-取费表'!B4="总价",G19,IF(H19="元",G20*'数据-取费表'!E5,G20*'数据-取费表'!E5/10000)),0)</f>
        <v>#REF!</v>
      </c>
      <c r="D104" s="725"/>
      <c r="E104" s="2195"/>
      <c r="F104" s="2892"/>
      <c r="G104" s="2893"/>
      <c r="H104" s="2291" t="s">
        <v>1938</v>
      </c>
      <c r="I104" s="1050" t="e">
        <f>I124</f>
        <v>#DIV/0!</v>
      </c>
    </row>
    <row r="105" spans="1:35" ht="15.75">
      <c r="A105" s="2992"/>
      <c r="B105" s="2290" t="s">
        <v>1938</v>
      </c>
      <c r="C105" s="1191" t="e">
        <f ca="1">ROUND(IF('数据-取费表'!B4="楼面单价",G20,IF(H19="元",G19/'数据-取费表'!E5,G19*10000/'数据-取费表'!E5)),0)</f>
        <v>#REF!</v>
      </c>
      <c r="D105" s="725"/>
      <c r="E105" s="2195"/>
      <c r="F105" s="2964"/>
      <c r="G105" s="2965"/>
      <c r="H105" s="2949"/>
      <c r="I105" s="2950"/>
    </row>
    <row r="106" spans="1:35" ht="15.75">
      <c r="A106" s="2985" t="s">
        <v>1998</v>
      </c>
      <c r="B106" s="2330" t="str">
        <f>B102</f>
        <v>总价（元）</v>
      </c>
      <c r="C106" s="724">
        <f>H124</f>
        <v>0</v>
      </c>
      <c r="D106" s="1189"/>
      <c r="E106" s="2195"/>
      <c r="F106" s="2953" t="s">
        <v>1942</v>
      </c>
      <c r="G106" s="2954"/>
      <c r="H106" s="2294" t="str">
        <f>C111</f>
        <v>总额（元）</v>
      </c>
      <c r="I106" s="1863">
        <f>SUMIF(I107:I109,"&lt;9E307")</f>
        <v>0</v>
      </c>
    </row>
    <row r="107" spans="1:35" ht="15.75" thickBot="1">
      <c r="A107" s="2948"/>
      <c r="B107" s="2293" t="s">
        <v>1938</v>
      </c>
      <c r="C107" s="726" t="e">
        <f>I124</f>
        <v>#DIV/0!</v>
      </c>
      <c r="D107" s="727"/>
      <c r="E107" s="2195"/>
      <c r="F107" s="2881" t="s">
        <v>1944</v>
      </c>
      <c r="G107" s="2882"/>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88" t="s">
        <v>1941</v>
      </c>
      <c r="B108" s="2989"/>
      <c r="C108" s="2989"/>
      <c r="D108" s="2990"/>
      <c r="E108" s="2195"/>
      <c r="F108" s="2881" t="s">
        <v>1945</v>
      </c>
      <c r="G108" s="2882"/>
      <c r="H108" s="2294" t="str">
        <f>C113</f>
        <v>总额（元）</v>
      </c>
      <c r="I108" s="1050">
        <f>C38</f>
        <v>0</v>
      </c>
      <c r="K108" s="2295"/>
    </row>
    <row r="109" spans="1:35" ht="15">
      <c r="A109" s="2879" t="s">
        <v>1999</v>
      </c>
      <c r="B109" s="2880"/>
      <c r="C109" s="2291" t="str">
        <f>B102</f>
        <v>总价（元）</v>
      </c>
      <c r="D109" s="1051">
        <f>H124</f>
        <v>0</v>
      </c>
      <c r="E109" s="2195"/>
      <c r="F109" s="2881" t="s">
        <v>1947</v>
      </c>
      <c r="G109" s="2882"/>
      <c r="H109" s="2294" t="str">
        <f>C114</f>
        <v>总额（元）</v>
      </c>
      <c r="I109" s="1050">
        <f>C39</f>
        <v>0</v>
      </c>
    </row>
    <row r="110" spans="1:35" ht="15.75">
      <c r="A110" s="2879"/>
      <c r="B110" s="2880"/>
      <c r="C110" s="2291" t="s">
        <v>1938</v>
      </c>
      <c r="D110" s="1052" t="e">
        <f>I124</f>
        <v>#DIV/0!</v>
      </c>
      <c r="E110" s="2195"/>
      <c r="F110" s="2964"/>
      <c r="G110" s="2965"/>
      <c r="H110" s="2951"/>
      <c r="I110" s="2952"/>
    </row>
    <row r="111" spans="1:35" ht="28.5" customHeight="1">
      <c r="A111" s="2886" t="s">
        <v>1946</v>
      </c>
      <c r="B111" s="2887"/>
      <c r="C111" s="2294" t="str">
        <f>IF(H19="元","总额（元）","总额（万元）")</f>
        <v>总额（元）</v>
      </c>
      <c r="D111" s="1051">
        <f>IF(D37="正常操作",I107+I108+I109,I108+I109)</f>
        <v>0</v>
      </c>
      <c r="E111" s="2195"/>
      <c r="F111" s="2867" t="str">
        <f>IF(项目基本情况!F5="已注销","——","3.房地产抵押价值")</f>
        <v>3.房地产抵押价值</v>
      </c>
      <c r="G111" s="2868"/>
      <c r="H111" s="2331" t="str">
        <f>C115</f>
        <v>总价（元）</v>
      </c>
      <c r="I111" s="1863">
        <f>IF(F111="——","——",I103-I106)</f>
        <v>0</v>
      </c>
    </row>
    <row r="112" spans="1:35" ht="15">
      <c r="A112" s="2881" t="s">
        <v>1944</v>
      </c>
      <c r="B112" s="2882"/>
      <c r="C112" s="2294" t="str">
        <f>C111</f>
        <v>总额（元）</v>
      </c>
      <c r="D112" s="637">
        <f>IF(D37="同一抵押权人同一抵押物续贷",C37&amp;"（未扣减，详见特别提示）",C37)</f>
        <v>0</v>
      </c>
      <c r="E112" s="2195"/>
      <c r="F112" s="2983"/>
      <c r="G112" s="2984"/>
      <c r="H112" s="2291" t="s">
        <v>1938</v>
      </c>
      <c r="I112" s="2297" t="e">
        <f>D116</f>
        <v>#DIV/0!</v>
      </c>
    </row>
    <row r="113" spans="1:26" ht="15.75">
      <c r="A113" s="2881" t="s">
        <v>1945</v>
      </c>
      <c r="B113" s="2882"/>
      <c r="C113" s="2294" t="str">
        <f>C111</f>
        <v>总额（元）</v>
      </c>
      <c r="D113" s="637">
        <f>C38</f>
        <v>0</v>
      </c>
      <c r="E113" s="2195"/>
      <c r="F113" s="2867" t="str">
        <f>IF(项目基本情况!F5="已注销及未注销","4.抵押担保权已注销时的房地产抵押价值",IF(项目基本情况!F5="已注销","3.抵押担保权已注销时的房地产抵押价值","——"))</f>
        <v>——</v>
      </c>
      <c r="G113" s="2868"/>
      <c r="H113" s="2331" t="str">
        <f>C117</f>
        <v>总价（元）</v>
      </c>
      <c r="I113" s="1863" t="str">
        <f>IF(F113="——","——",I103-I108-I109)</f>
        <v>——</v>
      </c>
    </row>
    <row r="114" spans="1:26" ht="15">
      <c r="A114" s="2881" t="s">
        <v>1947</v>
      </c>
      <c r="B114" s="2882"/>
      <c r="C114" s="2294" t="str">
        <f>C111</f>
        <v>总额（元）</v>
      </c>
      <c r="D114" s="637">
        <f>C39</f>
        <v>0</v>
      </c>
      <c r="E114" s="2195"/>
      <c r="F114" s="2983"/>
      <c r="G114" s="2984"/>
      <c r="H114" s="2291" t="s">
        <v>1938</v>
      </c>
      <c r="I114" s="1050" t="str">
        <f>D118</f>
        <v>——</v>
      </c>
    </row>
    <row r="115" spans="1:26" ht="15.75">
      <c r="A115" s="2879" t="str">
        <f>IF(项目基本情况!F5="已注销","——","3.房地产抵押价值")</f>
        <v>3.房地产抵押价值</v>
      </c>
      <c r="B115" s="2880"/>
      <c r="C115" s="2291" t="str">
        <f>B102</f>
        <v>总价（元）</v>
      </c>
      <c r="D115" s="1051">
        <f>IF(A115="——","——",D109-D111)</f>
        <v>0</v>
      </c>
      <c r="E115" s="2195"/>
      <c r="F115" s="2867" t="str">
        <f>IF(项目基本情况!G5="抵押净值",IF(OR(项目基本情况!F5="已注销",项目基本情况!F5="房地产抵押价值"),"4.抵押净值","5.抵押净值"),"——")</f>
        <v>——</v>
      </c>
      <c r="G115" s="2868"/>
      <c r="H115" s="2291" t="str">
        <f>C119</f>
        <v>总价（元）</v>
      </c>
      <c r="I115" s="1863" t="str">
        <f>IF(F115="——","——",N60)</f>
        <v>——</v>
      </c>
    </row>
    <row r="116" spans="1:26" ht="15.75" thickBot="1">
      <c r="A116" s="2879"/>
      <c r="B116" s="2880"/>
      <c r="C116" s="2291" t="s">
        <v>2000</v>
      </c>
      <c r="D116" s="1052" t="e">
        <f>ROUND(IF(D115=D109,D110,IF(H19="元",D115/B124,D115*10000/B124)),0)</f>
        <v>#DIV/0!</v>
      </c>
      <c r="E116" s="2195"/>
      <c r="F116" s="2869"/>
      <c r="G116" s="2870"/>
      <c r="H116" s="2299" t="s">
        <v>2000</v>
      </c>
      <c r="I116" s="1865" t="str">
        <f>D120</f>
        <v>——</v>
      </c>
    </row>
    <row r="117" spans="1:26" ht="15.75">
      <c r="A117" s="2879" t="str">
        <f>IF(项目基本情况!F5="已注销及未注销","4.抵押担保权已注销时的房地产抵押价值",IF(项目基本情况!F5="已注销","3.抵押担保权已注销时的房地产抵押价值","——"))</f>
        <v>——</v>
      </c>
      <c r="B117" s="2880"/>
      <c r="C117" s="2291" t="str">
        <f>B102</f>
        <v>总价（元）</v>
      </c>
      <c r="D117" s="1051" t="str">
        <f>IF(A117="——","——",D109-D113-D114)</f>
        <v>——</v>
      </c>
      <c r="E117" s="2195"/>
      <c r="F117" s="2979"/>
      <c r="G117" s="2979"/>
      <c r="H117" s="2935"/>
      <c r="I117" s="2935"/>
      <c r="N117" s="55"/>
      <c r="O117" s="55"/>
    </row>
    <row r="118" spans="1:26" s="1846" customFormat="1" ht="15">
      <c r="A118" s="2879"/>
      <c r="B118" s="2880"/>
      <c r="C118" s="2291" t="s">
        <v>2000</v>
      </c>
      <c r="D118" s="1052" t="str">
        <f>IF(A117="——","——",IF(H19="元",ROUND(D117/B124,0),ROUND(D117*10000/B124,0)))</f>
        <v>——</v>
      </c>
      <c r="E118" s="2195"/>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798"/>
      <c r="K118" s="798"/>
      <c r="L118" s="798"/>
      <c r="M118" s="798"/>
      <c r="N118" s="55"/>
      <c r="O118" s="55"/>
      <c r="P118" s="798"/>
      <c r="Q118" s="798"/>
      <c r="R118" s="798"/>
      <c r="S118" s="798"/>
      <c r="T118" s="798"/>
      <c r="U118" s="798"/>
      <c r="V118" s="798"/>
      <c r="W118" s="798"/>
      <c r="X118" s="798"/>
      <c r="Y118" s="798"/>
      <c r="Z118" s="798"/>
    </row>
    <row r="119" spans="1:26" s="1846" customFormat="1" ht="15">
      <c r="A119" s="2879" t="str">
        <f>IF(项目基本情况!G5="抵押净值",IF(OR(项目基本情况!F5="已注销",项目基本情况!F5="房地产抵押价值"),"4.抵押净值","5.抵押净值"),"——")</f>
        <v>——</v>
      </c>
      <c r="B119" s="2880"/>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884"/>
      <c r="B120" s="2885"/>
      <c r="C120" s="2299" t="s">
        <v>2000</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36" t="s">
        <v>2001</v>
      </c>
      <c r="B121" s="2937"/>
      <c r="C121" s="2937"/>
      <c r="D121" s="2937"/>
      <c r="E121" s="2937"/>
      <c r="F121" s="2937"/>
      <c r="G121" s="2937"/>
      <c r="H121" s="2937"/>
      <c r="I121" s="2937"/>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60" t="s">
        <v>1949</v>
      </c>
      <c r="B122" s="2890" t="s">
        <v>2002</v>
      </c>
      <c r="C122" s="2890" t="s">
        <v>2003</v>
      </c>
      <c r="D122" s="2962" t="s">
        <v>1952</v>
      </c>
      <c r="E122" s="2963"/>
      <c r="F122" s="2861" t="s">
        <v>2004</v>
      </c>
      <c r="G122" s="2861"/>
      <c r="H122" s="2861" t="s">
        <v>1953</v>
      </c>
      <c r="I122" s="2961"/>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60"/>
      <c r="B123" s="2891"/>
      <c r="C123" s="2891"/>
      <c r="D123" s="1888" t="s">
        <v>1954</v>
      </c>
      <c r="E123" s="1888" t="s">
        <v>1955</v>
      </c>
      <c r="F123" s="1888" t="s">
        <v>1954</v>
      </c>
      <c r="G123" s="1888" t="s">
        <v>1956</v>
      </c>
      <c r="H123" s="1888"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60" t="s">
        <v>1957</v>
      </c>
      <c r="B125" s="2861"/>
      <c r="C125" s="2861"/>
      <c r="D125" s="2894" t="str">
        <f>IF(H19="元",NUMBERSTRING(INT(D124),2)&amp;"元整",NUMBERSTRING(INT(D124*10000),2)&amp;"元整")</f>
        <v>零元整</v>
      </c>
      <c r="E125" s="2941"/>
      <c r="F125" s="2894" t="str">
        <f>IF(H19="元",NUMBERSTRING(INT(F124),2)&amp;"元整",NUMBERSTRING(INT(F124*10000),2)&amp;"元整")</f>
        <v>零元整</v>
      </c>
      <c r="G125" s="2941"/>
      <c r="H125" s="2894" t="str">
        <f>IF(H19="元",NUMBERSTRING(INT(H124),2)&amp;"元整",NUMBERSTRING(INT(H124*10000),2)&amp;"元整")</f>
        <v>零元整</v>
      </c>
      <c r="I125" s="2895"/>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42" t="str">
        <f>IF(项目基本情况!D5="房地产市场价值","——",MID(A111,3,LEN(A111)-2))</f>
        <v>估价师所知悉的法定优先受偿款</v>
      </c>
      <c r="B126" s="2872"/>
      <c r="C126" s="2943"/>
      <c r="D126" s="2871">
        <f>I106</f>
        <v>0</v>
      </c>
      <c r="E126" s="2872"/>
      <c r="F126" s="2872"/>
      <c r="G126" s="2872"/>
      <c r="H126" s="2872"/>
      <c r="I126" s="2873"/>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44" t="s">
        <v>1957</v>
      </c>
      <c r="B127" s="2945"/>
      <c r="C127" s="2946"/>
      <c r="D127" s="2874">
        <f>H110</f>
        <v>0</v>
      </c>
      <c r="E127" s="2875"/>
      <c r="F127" s="2875"/>
      <c r="G127" s="2875"/>
      <c r="H127" s="2875"/>
      <c r="I127" s="2876"/>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77" t="str">
        <f>IF(项目基本情况!D5="房地产市场价值","——",MID(A115,3,LEN(A115)-2))</f>
        <v>房地产抵押价值</v>
      </c>
      <c r="B128" s="2878"/>
      <c r="C128" s="2878"/>
      <c r="D128" s="2871">
        <f>I111</f>
        <v>0</v>
      </c>
      <c r="E128" s="2872"/>
      <c r="F128" s="2872"/>
      <c r="G128" s="2872"/>
      <c r="H128" s="2872"/>
      <c r="I128" s="2873"/>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60" t="s">
        <v>1957</v>
      </c>
      <c r="B129" s="2861"/>
      <c r="C129" s="2861"/>
      <c r="D129" s="2874" t="e">
        <f>I112</f>
        <v>#DIV/0!</v>
      </c>
      <c r="E129" s="2875"/>
      <c r="F129" s="2875"/>
      <c r="G129" s="2875"/>
      <c r="H129" s="2875"/>
      <c r="I129" s="2876"/>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77" t="str">
        <f>IF(项目基本情况!D5="房地产市场价值","——",MID(A117,3,LEN(A117)-2))</f>
        <v/>
      </c>
      <c r="B130" s="2878"/>
      <c r="C130" s="2878"/>
      <c r="D130" s="2976" t="str">
        <f>I113</f>
        <v>——</v>
      </c>
      <c r="E130" s="2977"/>
      <c r="F130" s="2977"/>
      <c r="G130" s="2977"/>
      <c r="H130" s="2977"/>
      <c r="I130" s="2978"/>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60" t="s">
        <v>1957</v>
      </c>
      <c r="B131" s="2861"/>
      <c r="C131" s="2862"/>
      <c r="D131" s="2934" t="str">
        <f>I114</f>
        <v>——</v>
      </c>
      <c r="E131" s="2934"/>
      <c r="F131" s="2934"/>
      <c r="G131" s="2934"/>
      <c r="H131" s="2934"/>
      <c r="I131" s="2934"/>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77" t="str">
        <f>IF(项目基本情况!D5="房地产市场价值","——",MID(F115,3,LEN(F115)-2))</f>
        <v/>
      </c>
      <c r="B132" s="2878"/>
      <c r="C132" s="2871"/>
      <c r="D132" s="2883" t="str">
        <f>I115</f>
        <v>——</v>
      </c>
      <c r="E132" s="2883"/>
      <c r="F132" s="2883"/>
      <c r="G132" s="2883"/>
      <c r="H132" s="2883"/>
      <c r="I132" s="2883"/>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888" t="s">
        <v>1957</v>
      </c>
      <c r="B133" s="2889"/>
      <c r="C133" s="2889"/>
      <c r="D133" s="2896">
        <f>H117</f>
        <v>0</v>
      </c>
      <c r="E133" s="2897"/>
      <c r="F133" s="2897"/>
      <c r="G133" s="2897"/>
      <c r="H133" s="2897"/>
      <c r="I133" s="2898"/>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858" t="str">
        <f>IF(B32="总价","（以上估价结果中楼面单价为总价除以建筑面积得出）","（以上估价结果中总价为楼面单价乘以建筑面积得出）")</f>
        <v>（以上估价结果中总价为楼面单价乘以建筑面积得出）</v>
      </c>
      <c r="B135" s="2858"/>
      <c r="C135" s="2858"/>
      <c r="D135" s="2858"/>
      <c r="E135" s="2858"/>
      <c r="F135" s="2858"/>
      <c r="G135" s="2858"/>
      <c r="H135" s="2858"/>
      <c r="I135" s="2858"/>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1958</v>
      </c>
      <c r="B136" s="2301"/>
      <c r="C136" s="2302" t="s">
        <v>1959</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1960</v>
      </c>
      <c r="G142" s="2314"/>
      <c r="H142" s="2314"/>
      <c r="I142" s="2315" t="s">
        <v>1961</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1963</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1963</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C22" sqref="C2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2852</v>
      </c>
      <c r="C1" s="162"/>
      <c r="D1" s="162"/>
      <c r="E1" s="162"/>
      <c r="F1" s="162"/>
      <c r="G1" s="163"/>
    </row>
    <row r="2" spans="1:7" s="164" customFormat="1" ht="18" customHeight="1">
      <c r="A2" s="165" t="s">
        <v>2006</v>
      </c>
      <c r="B2" s="166">
        <f ca="1">IF(D2="——",IF(C2="元",C52,ROUND(C52/10000,0)),IF(C2="元",C52,ROUND(C52/10000,0))-E2)</f>
        <v>615802</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2007</v>
      </c>
      <c r="B3" s="168">
        <f ca="1">ROUND(C52/IF(B1="仅计算典型户型",'数据-取费表'!E5,'数据-取费表'!B5),0)</f>
        <v>4481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0</v>
      </c>
      <c r="D5" s="195" t="s">
        <v>2012</v>
      </c>
      <c r="E5" s="1532" t="s">
        <v>2013</v>
      </c>
      <c r="F5" s="1532" t="s">
        <v>2014</v>
      </c>
      <c r="G5" s="174"/>
    </row>
    <row r="6" spans="1:7" s="175" customFormat="1" ht="13.5" customHeight="1">
      <c r="A6" s="176" t="s">
        <v>2015</v>
      </c>
      <c r="B6" s="177" t="s">
        <v>2016</v>
      </c>
      <c r="C6" s="1531">
        <f ca="1">基准地价修正!B2</f>
        <v>0</v>
      </c>
      <c r="D6" s="1533"/>
      <c r="E6" s="1534"/>
      <c r="F6" s="1534"/>
      <c r="G6" s="179"/>
    </row>
    <row r="7" spans="1:7" s="175" customFormat="1" ht="13.5" customHeight="1">
      <c r="A7" s="176" t="s">
        <v>2017</v>
      </c>
      <c r="B7" s="177" t="s">
        <v>2018</v>
      </c>
      <c r="C7" s="199">
        <f ca="1">ROUND(C6*F7,0)</f>
        <v>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5" t="s">
        <v>2884</v>
      </c>
    </row>
    <row r="9" spans="1:7" s="175" customFormat="1" ht="13.5" customHeight="1">
      <c r="A9" s="1304" t="s">
        <v>954</v>
      </c>
      <c r="B9" s="181" t="s">
        <v>2021</v>
      </c>
      <c r="C9" s="1537">
        <f>ROUND(D9*E9,0)</f>
        <v>21986</v>
      </c>
      <c r="D9" s="1538">
        <f>IF('数据-取费表'!B10="住宅",IF(B1="仅计算典型户型",'数据-取费表'!E5,'数据-取费表'!B5),0)</f>
        <v>137.41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t="str">
        <f>IF(G19="已包含在土地取得成本中","0",ROUND(D19*E19,0))</f>
        <v>0</v>
      </c>
      <c r="D19" s="1541">
        <f>IF(B1="仅计算典型户型",'数据-取费表'!E5,'数据-取费表'!B5)</f>
        <v>137.41</v>
      </c>
      <c r="E19" s="195">
        <f>'数据-取费表'!E15</f>
        <v>200</v>
      </c>
      <c r="F19" s="196"/>
      <c r="G19" s="2335" t="s">
        <v>2883</v>
      </c>
    </row>
    <row r="20" spans="1:7" s="175" customFormat="1" ht="13.5" customHeight="1">
      <c r="A20" s="204" t="s">
        <v>2034</v>
      </c>
      <c r="B20" s="173" t="s">
        <v>2035</v>
      </c>
      <c r="C20" s="183">
        <f ca="1">ROUND((C5+C19)*F20,0)</f>
        <v>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0</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0</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0</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5" t="s">
        <v>2052</v>
      </c>
      <c r="B27" s="194" t="s">
        <v>2053</v>
      </c>
      <c r="C27" s="195">
        <f ca="1">C28</f>
        <v>0</v>
      </c>
      <c r="D27" s="185">
        <f>C29</f>
        <v>5.0000000000000001E-3</v>
      </c>
      <c r="E27" s="186" t="s">
        <v>2039</v>
      </c>
      <c r="F27" s="196">
        <f>'数据-取费表'!E28</f>
        <v>0.25</v>
      </c>
      <c r="G27" s="197" t="s">
        <v>2054</v>
      </c>
    </row>
    <row r="28" spans="1:7" s="175" customFormat="1" ht="13.5" customHeight="1">
      <c r="A28" s="176" t="s">
        <v>2043</v>
      </c>
      <c r="B28" s="198" t="s">
        <v>2055</v>
      </c>
      <c r="C28" s="199">
        <f ca="1">ROUND((C5+C19+C20)*F27*'数据-取费表'!B22/'数据-取费表'!B21,0)</f>
        <v>0</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0</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492416</v>
      </c>
      <c r="D33" s="183"/>
      <c r="E33" s="1532"/>
      <c r="F33" s="191"/>
      <c r="G33" s="184"/>
    </row>
    <row r="34" spans="1:7" s="206" customFormat="1" ht="13.5" customHeight="1">
      <c r="A34" s="176" t="s">
        <v>2043</v>
      </c>
      <c r="B34" s="177" t="s">
        <v>2065</v>
      </c>
      <c r="C34" s="199">
        <f>IF(B1="仅计算典型户型",'数据-取费表'!F18,'数据-取费表'!E18)</f>
        <v>424597</v>
      </c>
      <c r="D34" s="1533"/>
      <c r="E34" s="199"/>
      <c r="F34" s="1544" t="str">
        <f>IF('数据-取费表'!B25=0,"",'数据-取费表'!E20)</f>
        <v/>
      </c>
      <c r="G34" s="179"/>
    </row>
    <row r="35" spans="1:7" ht="13.5" customHeight="1">
      <c r="A35" s="176" t="s">
        <v>2017</v>
      </c>
      <c r="B35" s="177" t="s">
        <v>2066</v>
      </c>
      <c r="C35" s="199">
        <f>ROUND(C34*F35,0)</f>
        <v>12738</v>
      </c>
      <c r="D35" s="199"/>
      <c r="E35" s="199"/>
      <c r="F35" s="1545">
        <f>'数据-取费表'!E21</f>
        <v>0.03</v>
      </c>
      <c r="G35" s="179" t="s">
        <v>2067</v>
      </c>
    </row>
    <row r="36" spans="1:7" ht="24">
      <c r="A36" s="176" t="s">
        <v>2019</v>
      </c>
      <c r="B36" s="177" t="s">
        <v>2068</v>
      </c>
      <c r="C36" s="199">
        <f>ROUND(IF('数据-取费表'!B10="住宅",C34*F36,0),0)</f>
        <v>21230</v>
      </c>
      <c r="D36" s="199"/>
      <c r="E36" s="199"/>
      <c r="F36" s="1545">
        <f>'数据-取费表'!E22</f>
        <v>0.05</v>
      </c>
      <c r="G36" s="207" t="s">
        <v>2069</v>
      </c>
    </row>
    <row r="37" spans="1:7" s="206" customFormat="1" ht="13.5" customHeight="1">
      <c r="A37" s="176" t="s">
        <v>2050</v>
      </c>
      <c r="B37" s="177" t="s">
        <v>2070</v>
      </c>
      <c r="C37" s="199">
        <f>ROUND(E37*D37,0)</f>
        <v>27482</v>
      </c>
      <c r="D37" s="1533">
        <f>IF(B1="仅计算典型户型",'数据-取费表'!E5,'数据-取费表'!B5)</f>
        <v>137.41</v>
      </c>
      <c r="E37" s="199">
        <f>'数据-取费表'!E23</f>
        <v>200</v>
      </c>
      <c r="F37" s="1545"/>
      <c r="G37" s="208" t="s">
        <v>2071</v>
      </c>
    </row>
    <row r="38" spans="1:7" ht="13.5" customHeight="1">
      <c r="A38" s="176" t="s">
        <v>2072</v>
      </c>
      <c r="B38" s="177" t="s">
        <v>2073</v>
      </c>
      <c r="C38" s="199">
        <f>ROUND(C34*F38,0)</f>
        <v>6369</v>
      </c>
      <c r="D38" s="199"/>
      <c r="E38" s="199"/>
      <c r="F38" s="1545">
        <f>'数据-取费表'!E24</f>
        <v>1.4999999999999999E-2</v>
      </c>
      <c r="G38" s="179" t="s">
        <v>2067</v>
      </c>
    </row>
    <row r="39" spans="1:7" s="175" customFormat="1" ht="13.5" customHeight="1">
      <c r="A39" s="204" t="s">
        <v>2032</v>
      </c>
      <c r="B39" s="173" t="s">
        <v>2035</v>
      </c>
      <c r="C39" s="183">
        <f>ROUND(C33*F20,0)</f>
        <v>9848</v>
      </c>
      <c r="D39" s="183"/>
      <c r="E39" s="183"/>
      <c r="F39" s="187"/>
      <c r="G39" s="184" t="s">
        <v>2074</v>
      </c>
    </row>
    <row r="40" spans="1:7" s="175" customFormat="1" ht="13.5" customHeight="1">
      <c r="A40" s="204" t="s">
        <v>2034</v>
      </c>
      <c r="B40" s="173" t="s">
        <v>2038</v>
      </c>
      <c r="C40" s="1820">
        <f>F21</f>
        <v>0.02</v>
      </c>
      <c r="D40" s="186" t="s">
        <v>2075</v>
      </c>
      <c r="E40" s="183"/>
      <c r="F40" s="187"/>
      <c r="G40" s="184" t="s">
        <v>2076</v>
      </c>
    </row>
    <row r="41" spans="1:7" s="175" customFormat="1" ht="13.5" customHeight="1">
      <c r="A41" s="204" t="s">
        <v>2037</v>
      </c>
      <c r="B41" s="173" t="s">
        <v>2042</v>
      </c>
      <c r="C41" s="183">
        <f ca="1">ROUND(SUM(C42:C43),0)</f>
        <v>23858</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23390</v>
      </c>
      <c r="D42" s="188"/>
      <c r="E42" s="188"/>
      <c r="F42" s="189"/>
      <c r="G42" s="2997" t="s">
        <v>2077</v>
      </c>
    </row>
    <row r="43" spans="1:7" ht="13.5" customHeight="1">
      <c r="A43" s="176" t="s">
        <v>2017</v>
      </c>
      <c r="B43" s="177" t="s">
        <v>2046</v>
      </c>
      <c r="C43" s="188">
        <f ca="1">ROUND(IF('数据-取费表'!B23&lt;=1,C39*F22*'数据-取费表'!B22/2,C39*(POWER((1+F22),'数据-取费表'!B22/2)-1)),0)</f>
        <v>468</v>
      </c>
      <c r="D43" s="188"/>
      <c r="E43" s="188"/>
      <c r="F43" s="189"/>
      <c r="G43" s="2998"/>
    </row>
    <row r="44" spans="1:7" ht="13.5" customHeight="1">
      <c r="A44" s="176" t="s">
        <v>2019</v>
      </c>
      <c r="B44" s="177" t="s">
        <v>2048</v>
      </c>
      <c r="C44" s="188">
        <f ca="1">ROUND(IF('数据-取费表'!B23&lt;=1,C40*F22*'数据-取费表'!B22/2,C40*(POWER((1+F22),'数据-取费表'!B22/2)-1)),4)</f>
        <v>1E-3</v>
      </c>
      <c r="D44" s="188"/>
      <c r="E44" s="188"/>
      <c r="F44" s="189"/>
      <c r="G44" s="2999"/>
    </row>
    <row r="45" spans="1:7" s="175" customFormat="1" ht="13.5" customHeight="1">
      <c r="A45" s="204" t="s">
        <v>2041</v>
      </c>
      <c r="B45" s="194" t="s">
        <v>2053</v>
      </c>
      <c r="C45" s="195">
        <f>C46</f>
        <v>125566</v>
      </c>
      <c r="D45" s="185">
        <f>C47</f>
        <v>5.0000000000000001E-3</v>
      </c>
      <c r="E45" s="186" t="s">
        <v>2075</v>
      </c>
      <c r="F45" s="196"/>
      <c r="G45" s="197" t="s">
        <v>2078</v>
      </c>
    </row>
    <row r="46" spans="1:7" s="175" customFormat="1" ht="13.5" customHeight="1">
      <c r="A46" s="176" t="s">
        <v>2043</v>
      </c>
      <c r="B46" s="198" t="s">
        <v>2079</v>
      </c>
      <c r="C46" s="199">
        <f>ROUND((C33+C39)*F27,0)</f>
        <v>125566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5" t="s">
        <v>2052</v>
      </c>
      <c r="B48" s="173" t="s">
        <v>2081</v>
      </c>
      <c r="C48" s="1820">
        <f>ROUND(F30/(1+'数据-取费表'!F30),4)</f>
        <v>5.33E-2</v>
      </c>
      <c r="D48" s="186" t="s">
        <v>2075</v>
      </c>
      <c r="E48" s="183"/>
      <c r="F48" s="187"/>
      <c r="G48" s="184" t="s">
        <v>2082</v>
      </c>
    </row>
    <row r="49" spans="1:7" ht="16.5" customHeight="1">
      <c r="A49" s="1305" t="s">
        <v>2083</v>
      </c>
      <c r="B49" s="173" t="s">
        <v>2084</v>
      </c>
      <c r="C49" s="183">
        <f ca="1">ROUND((C33+C39+C41+C45)/(1-C40-D41-D45-C48),0)</f>
        <v>707818</v>
      </c>
      <c r="D49" s="183"/>
      <c r="E49" s="183"/>
      <c r="F49" s="210"/>
      <c r="G49" s="184" t="s">
        <v>2085</v>
      </c>
    </row>
    <row r="50" spans="1:7" s="206" customFormat="1" ht="24">
      <c r="A50" s="1305" t="s">
        <v>2086</v>
      </c>
      <c r="B50" s="173" t="s">
        <v>2087</v>
      </c>
      <c r="C50" s="183"/>
      <c r="D50" s="183"/>
      <c r="E50" s="183"/>
      <c r="F50" s="210">
        <f>IF('数据-取费表'!B25=0,'数据-取费表'!E20,1)</f>
        <v>0.87</v>
      </c>
      <c r="G50" s="197" t="s">
        <v>2088</v>
      </c>
    </row>
    <row r="51" spans="1:7" ht="16.5" customHeight="1">
      <c r="A51" s="1305" t="s">
        <v>2089</v>
      </c>
      <c r="B51" s="173" t="s">
        <v>2090</v>
      </c>
      <c r="C51" s="183">
        <f ca="1">ROUND(C49*F50,0)</f>
        <v>615802</v>
      </c>
      <c r="D51" s="183"/>
      <c r="E51" s="183"/>
      <c r="F51" s="210"/>
      <c r="G51" s="184" t="s">
        <v>2091</v>
      </c>
    </row>
    <row r="52" spans="1:7" s="172" customFormat="1" ht="16.5" thickBot="1">
      <c r="A52" s="211" t="s">
        <v>2092</v>
      </c>
      <c r="B52" s="212"/>
      <c r="C52" s="213">
        <f ca="1">C31+C51</f>
        <v>615802</v>
      </c>
      <c r="D52" s="212"/>
      <c r="E52" s="212"/>
      <c r="F52" s="212"/>
      <c r="G52" s="214"/>
    </row>
    <row r="55" spans="1:7" ht="15">
      <c r="B55" s="216" t="s">
        <v>2093</v>
      </c>
      <c r="C55" s="217"/>
    </row>
    <row r="56" spans="1:7">
      <c r="B56" s="219" t="s">
        <v>2094</v>
      </c>
      <c r="C56" s="220">
        <f ca="1">ROUND(C51/C52,3)</f>
        <v>1</v>
      </c>
    </row>
    <row r="57" spans="1:7">
      <c r="B57" s="219" t="s">
        <v>2095</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0.25729999999999997</v>
      </c>
      <c r="E28" s="273" t="s">
        <v>12</v>
      </c>
      <c r="F28" s="284">
        <f>'数据-取费表'!E28</f>
        <v>0.25</v>
      </c>
      <c r="G28" s="269"/>
      <c r="H28" s="270"/>
      <c r="I28" s="270"/>
      <c r="J28" s="270"/>
      <c r="K28" s="271"/>
    </row>
    <row r="29" spans="1:33" s="288" customFormat="1" ht="13.5" customHeight="1">
      <c r="A29" s="1307" t="s">
        <v>1359</v>
      </c>
      <c r="B29" s="286" t="s">
        <v>1360</v>
      </c>
      <c r="C29" s="277">
        <f>ROUND((1+C24)*F28,4)</f>
        <v>0.25729999999999997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topLeftCell="A22" zoomScale="90" zoomScaleNormal="90" zoomScaleSheetLayoutView="100" workbookViewId="0">
      <selection sqref="A1:F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5879933</v>
      </c>
      <c r="C2" s="2336"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42791</v>
      </c>
      <c r="C3" s="2336"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136980</v>
      </c>
      <c r="D5" s="2337" t="s">
        <v>2105</v>
      </c>
      <c r="E5" s="1214"/>
      <c r="F5" s="1383"/>
      <c r="G5" s="1238"/>
      <c r="H5" s="316">
        <v>1</v>
      </c>
      <c r="I5" s="317" t="s">
        <v>2104</v>
      </c>
      <c r="J5" s="318">
        <f ca="1">J6+J10+J12</f>
        <v>0</v>
      </c>
      <c r="K5" s="2337" t="s">
        <v>2105</v>
      </c>
      <c r="L5" s="1214"/>
      <c r="M5" s="1383"/>
    </row>
    <row r="6" spans="1:37" ht="18" customHeight="1">
      <c r="A6" s="1384" t="s">
        <v>2106</v>
      </c>
      <c r="B6" s="2026" t="s">
        <v>2107</v>
      </c>
      <c r="C6" s="318">
        <f>ROUND(F6*F8*F7*(1-F9),0)</f>
        <v>136800</v>
      </c>
      <c r="D6" s="80" t="s">
        <v>2800</v>
      </c>
      <c r="E6" s="319" t="s">
        <v>2108</v>
      </c>
      <c r="F6" s="320">
        <f>'数据-取费表'!B29</f>
        <v>12000</v>
      </c>
      <c r="G6" s="1238"/>
      <c r="H6" s="1384" t="s">
        <v>2106</v>
      </c>
      <c r="I6" s="2026" t="s">
        <v>2107</v>
      </c>
      <c r="J6" s="318">
        <f>ROUND(M6*M8*M7*(1-M9),0)</f>
        <v>0</v>
      </c>
      <c r="K6" s="80" t="s">
        <v>2800</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8" t="s">
        <v>2114</v>
      </c>
      <c r="C10" s="1385">
        <f ca="1">ROUND(IF(F10="押一",F6*F7*F8/12*F11,IF(F10="押二",F6*F7*F8/12*2*F11,IF(F10="押三",F6*F7*F8/12*3*F11,C11*F11))),0)</f>
        <v>180</v>
      </c>
      <c r="D10" s="2339" t="s">
        <v>2801</v>
      </c>
      <c r="E10" s="330" t="s">
        <v>2115</v>
      </c>
      <c r="F10" s="2340" t="s">
        <v>2116</v>
      </c>
      <c r="G10" s="1238"/>
      <c r="H10" s="1384" t="s">
        <v>2113</v>
      </c>
      <c r="I10" s="2338" t="s">
        <v>2114</v>
      </c>
      <c r="J10" s="1385">
        <f ca="1">ROUND(IF(M10="押一",M6*M8*M7/12*M11,IF(M10="押二",M6*M8*M7/12*2*M11,IF(M10="押三",M6*M8*M7/12*3*M11,J11*M11))),0)</f>
        <v>0</v>
      </c>
      <c r="K10" s="80" t="s">
        <v>2802</v>
      </c>
      <c r="L10" s="330" t="s">
        <v>2115</v>
      </c>
      <c r="M10" s="2340"/>
    </row>
    <row r="11" spans="1:37" s="341" customFormat="1" ht="18" customHeight="1">
      <c r="A11" s="348"/>
      <c r="B11" s="2341" t="s">
        <v>2117</v>
      </c>
      <c r="C11" s="1418"/>
      <c r="D11" s="324"/>
      <c r="E11" s="330" t="s">
        <v>2118</v>
      </c>
      <c r="F11" s="331">
        <f ca="1">'数据-取费表'!B30</f>
        <v>1.4999999999999999E-2</v>
      </c>
      <c r="G11" s="1239"/>
      <c r="H11" s="325"/>
      <c r="I11" s="2341"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2" t="s">
        <v>2121</v>
      </c>
      <c r="C12" s="1425"/>
      <c r="D12" s="2343"/>
      <c r="E12" s="1431"/>
      <c r="F12" s="1426"/>
      <c r="G12" s="1238"/>
      <c r="H12" s="1424" t="s">
        <v>2120</v>
      </c>
      <c r="I12" s="2342" t="s">
        <v>2121</v>
      </c>
      <c r="J12" s="1425"/>
      <c r="K12" s="1441"/>
      <c r="L12" s="1431"/>
      <c r="M12" s="1442"/>
    </row>
    <row r="13" spans="1:37" s="341" customFormat="1" ht="18" customHeight="1" thickTop="1">
      <c r="A13" s="1420">
        <v>2</v>
      </c>
      <c r="B13" s="1421" t="s">
        <v>2122</v>
      </c>
      <c r="C13" s="327">
        <f ca="1">ROUND(C29*F13,0)</f>
        <v>615802</v>
      </c>
      <c r="D13" s="1422" t="s">
        <v>2123</v>
      </c>
      <c r="E13" s="1422" t="s">
        <v>2124</v>
      </c>
      <c r="F13" s="1423">
        <f>'数据-取费表'!E20</f>
        <v>0.87</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424597</v>
      </c>
      <c r="D14" s="1889" t="s">
        <v>2127</v>
      </c>
      <c r="E14" s="1890"/>
      <c r="F14" s="979"/>
      <c r="G14" s="1239"/>
      <c r="H14" s="337" t="s">
        <v>2106</v>
      </c>
      <c r="I14" s="319" t="s">
        <v>2128</v>
      </c>
      <c r="J14" s="14">
        <f ca="1">C29</f>
        <v>707818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12738</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21230</v>
      </c>
      <c r="D16" s="319" t="s">
        <v>2131</v>
      </c>
      <c r="E16" s="319" t="s">
        <v>2132</v>
      </c>
      <c r="F16" s="342">
        <f>IF('数据-取费表'!B10="住宅",'数据-取费表'!E22,0)</f>
        <v>0.05</v>
      </c>
      <c r="G16" s="1239"/>
      <c r="H16" s="1420" t="s">
        <v>14</v>
      </c>
      <c r="I16" s="1421" t="s">
        <v>2137</v>
      </c>
      <c r="J16" s="327">
        <f ca="1">ROUND(J17+J22+J23+J24,0)</f>
        <v>7078</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27482</v>
      </c>
      <c r="D17" s="319" t="s">
        <v>2141</v>
      </c>
      <c r="E17" s="319" t="s">
        <v>2142</v>
      </c>
      <c r="F17" s="16">
        <f>'数据-取费表'!E23</f>
        <v>200</v>
      </c>
      <c r="G17" s="1239"/>
      <c r="H17" s="337" t="s">
        <v>2143</v>
      </c>
      <c r="I17" s="319" t="s">
        <v>2144</v>
      </c>
      <c r="J17" s="14">
        <f ca="1">ROUND(IF(项目基本情况!B7="自然人",J5*M17,J18+J19+J20),0)</f>
        <v>0</v>
      </c>
      <c r="K17" s="1889" t="s">
        <v>2145</v>
      </c>
      <c r="L17" s="1894"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6369</v>
      </c>
      <c r="D18" s="319" t="s">
        <v>2131</v>
      </c>
      <c r="E18" s="319" t="s">
        <v>2132</v>
      </c>
      <c r="F18" s="342">
        <f>'数据-取费表'!E24</f>
        <v>1.4999999999999999E-2</v>
      </c>
      <c r="G18" s="1238"/>
      <c r="H18" s="337" t="s">
        <v>2149</v>
      </c>
      <c r="I18" s="319" t="s">
        <v>2150</v>
      </c>
      <c r="J18" s="14" t="str">
        <f>IF(项目基本情况!B7="自然人","——",ROUND(J5*M18/(1+'数据-取费表'!F30),0))</f>
        <v>——</v>
      </c>
      <c r="K18" s="1894" t="s">
        <v>2151</v>
      </c>
      <c r="L18" s="319" t="s">
        <v>2132</v>
      </c>
      <c r="M18" s="342">
        <f>'数据-取费表'!E29</f>
        <v>5.6000000000000001E-2</v>
      </c>
    </row>
    <row r="19" spans="1:37" s="341" customFormat="1" ht="18" customHeight="1">
      <c r="A19" s="337" t="s">
        <v>2143</v>
      </c>
      <c r="B19" s="319" t="s">
        <v>2152</v>
      </c>
      <c r="C19" s="14">
        <f>SUM(C14:C18)</f>
        <v>492416</v>
      </c>
      <c r="D19" s="56" t="s">
        <v>2153</v>
      </c>
      <c r="E19" s="1899"/>
      <c r="F19" s="16"/>
      <c r="G19" s="1239"/>
      <c r="H19" s="337" t="s">
        <v>2129</v>
      </c>
      <c r="I19" s="319" t="s">
        <v>2154</v>
      </c>
      <c r="J19" s="14" t="str">
        <f>IF(项目基本情况!B7="自然人","——",IF(K19="按租金收入计税",ROUND(J5*M19,1),ROUND(C29*M19*0.7,1)))</f>
        <v>——</v>
      </c>
      <c r="K19" s="2015"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9848</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9"/>
      <c r="F22" s="16"/>
      <c r="G22" s="1238"/>
      <c r="H22" s="337" t="s">
        <v>2133</v>
      </c>
      <c r="I22" s="319" t="s">
        <v>2169</v>
      </c>
      <c r="J22" s="14">
        <f ca="1">ROUND(J14*M22,0)</f>
        <v>7078</v>
      </c>
      <c r="K22" s="1894"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23858</v>
      </c>
      <c r="D23" s="2009" t="str">
        <f>IF(F23&lt;=1,"(建造成本+管理费用)×利率×(建设周期÷2)","(建造成本+管理费用)×((1+利率)^(建设周期÷2)-1)")</f>
        <v>(建造成本+管理费用)×((1+利率)^(建设周期÷2)-1)</v>
      </c>
      <c r="E23" s="319" t="s">
        <v>2172</v>
      </c>
      <c r="F23" s="347">
        <f>'数据-取费表'!B21</f>
        <v>2</v>
      </c>
      <c r="G23" s="1238"/>
      <c r="H23" s="337" t="s">
        <v>2162</v>
      </c>
      <c r="I23" s="319" t="s">
        <v>2173</v>
      </c>
      <c r="J23" s="14">
        <f ca="1">ROUND(J13*M23,0)</f>
        <v>0</v>
      </c>
      <c r="K23" s="1894"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9"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9"/>
      <c r="F25" s="16"/>
      <c r="G25" s="1239"/>
      <c r="H25" s="1420" t="s">
        <v>22</v>
      </c>
      <c r="I25" s="1435" t="s">
        <v>2183</v>
      </c>
      <c r="J25" s="327">
        <f ca="1">J5-J16</f>
        <v>-7078</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125566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4.4999999999999998E-2</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707818</v>
      </c>
      <c r="D29" s="1433"/>
      <c r="E29" s="1431"/>
      <c r="F29" s="1434"/>
      <c r="G29" s="791"/>
      <c r="H29" s="356" t="s">
        <v>24</v>
      </c>
      <c r="I29" s="357" t="s">
        <v>2202</v>
      </c>
      <c r="J29" s="358">
        <f ca="1">ROUND(J26/(1+F40)^F41,0)</f>
        <v>0</v>
      </c>
      <c r="K29" s="359" t="s">
        <v>2203</v>
      </c>
      <c r="L29" s="360"/>
      <c r="M29" s="361">
        <f>IF(D1="仅计算典型户型",'数据-取费表'!E5,'数据-取费表'!B5)</f>
        <v>137.41</v>
      </c>
    </row>
    <row r="30" spans="1:37" ht="18" customHeight="1" thickTop="1">
      <c r="A30" s="1420" t="s">
        <v>14</v>
      </c>
      <c r="B30" s="1421" t="s">
        <v>2204</v>
      </c>
      <c r="C30" s="327">
        <f ca="1">ROUND(C31+C36+C37+C38,0)</f>
        <v>15913</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6849</v>
      </c>
      <c r="D31" s="1889" t="s">
        <v>2206</v>
      </c>
      <c r="E31" s="1894"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4"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5"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49264</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7078</v>
      </c>
      <c r="D36" s="1894" t="s">
        <v>2214</v>
      </c>
      <c r="E36" s="319" t="s">
        <v>2158</v>
      </c>
      <c r="F36" s="350">
        <f>'数据-取费表'!B44</f>
        <v>0.01</v>
      </c>
      <c r="G36" s="791"/>
      <c r="H36" s="1230"/>
      <c r="I36" s="369" t="s">
        <v>2215</v>
      </c>
      <c r="J36" s="370"/>
      <c r="K36" s="1234"/>
      <c r="L36" s="1230"/>
      <c r="M36" s="1230"/>
    </row>
    <row r="37" spans="1:18" ht="18" customHeight="1">
      <c r="A37" s="337" t="s">
        <v>2162</v>
      </c>
      <c r="B37" s="319" t="s">
        <v>2173</v>
      </c>
      <c r="C37" s="14">
        <f ca="1">ROUND(C13*F37,0)</f>
        <v>616</v>
      </c>
      <c r="D37" s="1894" t="s">
        <v>2174</v>
      </c>
      <c r="E37" s="319" t="s">
        <v>2175</v>
      </c>
      <c r="F37" s="351">
        <f>'数据-取费表'!B45</f>
        <v>1E-3</v>
      </c>
      <c r="G37" s="791"/>
      <c r="H37" s="1230"/>
      <c r="I37" s="216" t="s">
        <v>2216</v>
      </c>
      <c r="J37" s="371"/>
      <c r="K37" s="1234"/>
      <c r="L37" s="1230"/>
      <c r="M37" s="1230"/>
    </row>
    <row r="38" spans="1:18" ht="18" customHeight="1" thickBot="1">
      <c r="A38" s="1430" t="s">
        <v>2167</v>
      </c>
      <c r="B38" s="1431" t="s">
        <v>2156</v>
      </c>
      <c r="C38" s="1432">
        <f ca="1">ROUND(C5*F38,0)</f>
        <v>1370</v>
      </c>
      <c r="D38" s="1433" t="s">
        <v>2179</v>
      </c>
      <c r="E38" s="1431" t="s">
        <v>2175</v>
      </c>
      <c r="F38" s="1426">
        <f>'数据-取费表'!B46</f>
        <v>0.01</v>
      </c>
      <c r="G38" s="791"/>
      <c r="H38" s="1230"/>
      <c r="I38" s="365" t="s">
        <v>2217</v>
      </c>
      <c r="J38" s="220">
        <f ca="1">ROUND(J34/C39,3)</f>
        <v>0.40699999999999997</v>
      </c>
      <c r="K38" s="1235"/>
      <c r="L38" s="1230"/>
      <c r="M38" s="1230"/>
    </row>
    <row r="39" spans="1:18" ht="18" customHeight="1" thickTop="1">
      <c r="A39" s="1420" t="s">
        <v>22</v>
      </c>
      <c r="B39" s="1435" t="s">
        <v>2218</v>
      </c>
      <c r="C39" s="327">
        <f ca="1">C5-C30</f>
        <v>121067</v>
      </c>
      <c r="D39" s="1436" t="s">
        <v>2219</v>
      </c>
      <c r="E39" s="1437"/>
      <c r="F39" s="1438"/>
      <c r="G39" s="791"/>
      <c r="H39" s="1230"/>
      <c r="I39" s="365" t="s">
        <v>2220</v>
      </c>
      <c r="J39" s="220">
        <f ca="1">1-J38</f>
        <v>0.59299999999999997</v>
      </c>
      <c r="K39" s="1235"/>
      <c r="L39" s="1230"/>
      <c r="M39" s="1230"/>
    </row>
    <row r="40" spans="1:18" s="791" customFormat="1" ht="18" customHeight="1">
      <c r="A40" s="316" t="s">
        <v>23</v>
      </c>
      <c r="B40" s="317" t="s">
        <v>2221</v>
      </c>
      <c r="C40" s="318">
        <f ca="1">ROUND(C39*(1-((1+F42)/(1+F40))^F41)/(F40-F42),0)</f>
        <v>5879933</v>
      </c>
      <c r="D40" s="346" t="s">
        <v>2189</v>
      </c>
      <c r="E40" s="319" t="s">
        <v>2190</v>
      </c>
      <c r="F40" s="329">
        <f>'数据-取费表'!B16</f>
        <v>4.4999999999999998E-2</v>
      </c>
      <c r="H40" s="1236"/>
      <c r="I40" s="216" t="s">
        <v>2222</v>
      </c>
      <c r="J40" s="217"/>
      <c r="K40" s="1235"/>
      <c r="L40" s="1236"/>
      <c r="M40" s="1236"/>
      <c r="Q40" s="795"/>
    </row>
    <row r="41" spans="1:18" s="791" customFormat="1" ht="18" customHeight="1">
      <c r="A41" s="321"/>
      <c r="B41" s="322"/>
      <c r="C41" s="323"/>
      <c r="D41" s="354" t="s">
        <v>2223</v>
      </c>
      <c r="E41" s="1826" t="s">
        <v>2856</v>
      </c>
      <c r="F41" s="355">
        <f>IF('数据-取费表'!B28="租赁期内按合同租金",'数据-取费表'!B34,IF(E41="收益年期(n)",'数据-取费表'!B33,'数据-取费表'!B13))</f>
        <v>58</v>
      </c>
      <c r="H41" s="1237"/>
      <c r="I41" s="219" t="s">
        <v>2094</v>
      </c>
      <c r="J41" s="220">
        <f ca="1">ROUND(C13/C40,3)</f>
        <v>0.105</v>
      </c>
      <c r="K41" s="1234"/>
      <c r="L41" s="1237"/>
      <c r="M41" s="1237"/>
      <c r="Q41" s="795"/>
    </row>
    <row r="42" spans="1:18" s="791" customFormat="1" ht="18" customHeight="1">
      <c r="A42" s="325"/>
      <c r="B42" s="326"/>
      <c r="C42" s="327"/>
      <c r="D42" s="349"/>
      <c r="E42" s="319" t="s">
        <v>2199</v>
      </c>
      <c r="F42" s="329">
        <f>'数据-取费表'!B31</f>
        <v>0.04</v>
      </c>
      <c r="H42" s="1237"/>
      <c r="I42" s="219" t="s">
        <v>2095</v>
      </c>
      <c r="J42" s="221">
        <f ca="1">1-J41</f>
        <v>0.89500000000000002</v>
      </c>
      <c r="K42" s="1234"/>
      <c r="L42" s="1237"/>
      <c r="M42" s="1237"/>
      <c r="Q42" s="795"/>
    </row>
    <row r="43" spans="1:18" s="791" customFormat="1" ht="18" customHeight="1" thickBot="1">
      <c r="A43" s="356" t="s">
        <v>24</v>
      </c>
      <c r="B43" s="357" t="s">
        <v>2224</v>
      </c>
      <c r="C43" s="358">
        <f ca="1">ROUND(C40/F43,0)</f>
        <v>42791</v>
      </c>
      <c r="D43" s="359" t="s">
        <v>2225</v>
      </c>
      <c r="E43" s="360" t="s">
        <v>2226</v>
      </c>
      <c r="F43" s="361">
        <f>IF(D1="仅计算典型户型",'数据-取费表'!E5,'数据-取费表'!B5)</f>
        <v>137.41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5879933</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4" t="s">
        <v>2236</v>
      </c>
      <c r="C47" s="1303">
        <f ca="1">IF(C2="元",C69-C40,ROUND((C69-C40)/10000,0))</f>
        <v>-6037600</v>
      </c>
      <c r="D47" s="2345" t="str">
        <f>C2</f>
        <v>元</v>
      </c>
      <c r="E47" s="776"/>
      <c r="F47" s="776"/>
      <c r="I47" s="2346" t="s">
        <v>2237</v>
      </c>
      <c r="J47" s="1343"/>
      <c r="K47" s="1344"/>
      <c r="L47" s="1357">
        <f>IF(M48="住宅",0,IF(L49&gt;J52,L61,J61))</f>
        <v>0</v>
      </c>
      <c r="O47" s="1371" t="s">
        <v>960</v>
      </c>
      <c r="P47" s="1368" t="s">
        <v>2238</v>
      </c>
      <c r="Q47" s="1369">
        <f ca="1">C29</f>
        <v>707818</v>
      </c>
      <c r="R47" s="1370" t="s">
        <v>2233</v>
      </c>
    </row>
    <row r="48" spans="1:18" s="791" customFormat="1" ht="15.75" thickBot="1">
      <c r="A48" s="312" t="s">
        <v>2239</v>
      </c>
      <c r="B48" s="313" t="s">
        <v>2240</v>
      </c>
      <c r="C48" s="313" t="s">
        <v>2241</v>
      </c>
      <c r="D48" s="313" t="s">
        <v>2242</v>
      </c>
      <c r="E48" s="1297" t="s">
        <v>2243</v>
      </c>
      <c r="F48" s="1298"/>
      <c r="I48" s="2347" t="s">
        <v>2244</v>
      </c>
      <c r="J48" s="2348" t="s">
        <v>2846</v>
      </c>
      <c r="K48" s="2349"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50" t="s">
        <v>2248</v>
      </c>
      <c r="J49" s="2351" t="s">
        <v>2857</v>
      </c>
      <c r="K49" s="2352" t="s">
        <v>2249</v>
      </c>
      <c r="L49" s="1128">
        <f>'数据-取费表'!B13</f>
        <v>58</v>
      </c>
      <c r="O49" s="1371" t="s">
        <v>962</v>
      </c>
      <c r="P49" s="1368" t="s">
        <v>2250</v>
      </c>
      <c r="Q49" s="1372">
        <f>J53</f>
        <v>0</v>
      </c>
      <c r="R49" s="1370"/>
    </row>
    <row r="50" spans="1:18" s="791" customFormat="1" ht="15.75" thickBot="1">
      <c r="A50" s="345" t="s">
        <v>2106</v>
      </c>
      <c r="B50" s="2026" t="s">
        <v>2251</v>
      </c>
      <c r="C50" s="318">
        <f>ROUND(F50*F52*F51*(1-F53),0)</f>
        <v>0</v>
      </c>
      <c r="D50" s="93" t="s">
        <v>2803</v>
      </c>
      <c r="E50" s="2353" t="s">
        <v>2252</v>
      </c>
      <c r="F50" s="1299"/>
      <c r="I50" s="2350" t="s">
        <v>2253</v>
      </c>
      <c r="J50" s="1128">
        <f>'数据-取费表'!B26</f>
        <v>2007</v>
      </c>
      <c r="K50" s="2354" t="s">
        <v>2254</v>
      </c>
      <c r="L50" s="1346"/>
      <c r="O50" s="1371" t="s">
        <v>963</v>
      </c>
      <c r="P50" s="1368" t="s">
        <v>2255</v>
      </c>
      <c r="Q50" s="1369">
        <f>J54</f>
        <v>40</v>
      </c>
      <c r="R50" s="1370" t="s">
        <v>2256</v>
      </c>
    </row>
    <row r="51" spans="1:18" s="791" customFormat="1" ht="15.75" thickBot="1">
      <c r="A51" s="321"/>
      <c r="B51" s="322"/>
      <c r="C51" s="323"/>
      <c r="D51" s="324"/>
      <c r="E51" s="339" t="s">
        <v>2109</v>
      </c>
      <c r="F51" s="1296">
        <f>F7</f>
        <v>1</v>
      </c>
      <c r="I51" s="2350" t="s">
        <v>2257</v>
      </c>
      <c r="J51" s="1347">
        <f>SUMPRODUCT((I64:I66=J48)*(J63:L63=J49)*(J64:L66))</f>
        <v>50</v>
      </c>
      <c r="K51" s="2354" t="s">
        <v>2258</v>
      </c>
      <c r="L51" s="1346"/>
      <c r="O51" s="1367" t="s">
        <v>964</v>
      </c>
      <c r="P51" s="1368" t="str">
        <f>IF(C2="元","收益价值(元)","收益价值(万元)")</f>
        <v>收益价值(元)</v>
      </c>
      <c r="Q51" s="1369">
        <f ca="1">ROUND(IF(C2="元",Q45+Q46,(Q45+Q46)/10000),0)</f>
        <v>5879933</v>
      </c>
      <c r="R51" s="1370" t="s">
        <v>965</v>
      </c>
    </row>
    <row r="52" spans="1:18" s="791" customFormat="1" ht="16.5" thickBot="1">
      <c r="A52" s="321"/>
      <c r="B52" s="322"/>
      <c r="C52" s="323"/>
      <c r="D52" s="324"/>
      <c r="E52" s="319" t="s">
        <v>2111</v>
      </c>
      <c r="F52" s="320">
        <f>F8</f>
        <v>12</v>
      </c>
      <c r="I52" s="2355" t="s">
        <v>2259</v>
      </c>
      <c r="J52" s="1348">
        <f>IF(J50="",J51,J50+J51-YEAR('数据-取费表'!B2))</f>
        <v>40</v>
      </c>
      <c r="K52" s="2356" t="s">
        <v>2260</v>
      </c>
      <c r="L52" s="1349">
        <f ca="1">ROUND(-PV('数据-取费表'!B15,L49,(C40-C13*J35)),0)</f>
        <v>130779376</v>
      </c>
      <c r="O52" s="1361" t="s">
        <v>2261</v>
      </c>
      <c r="P52" s="1362"/>
      <c r="Q52" s="1358"/>
      <c r="R52" s="1362"/>
    </row>
    <row r="53" spans="1:18" s="791" customFormat="1" ht="15.75" thickBot="1">
      <c r="A53" s="325"/>
      <c r="B53" s="326"/>
      <c r="C53" s="327"/>
      <c r="D53" s="328"/>
      <c r="E53" s="319" t="s">
        <v>2112</v>
      </c>
      <c r="F53" s="1356"/>
      <c r="I53" s="2357" t="s">
        <v>2262</v>
      </c>
      <c r="J53" s="1350"/>
      <c r="K53" s="2357" t="s">
        <v>2263</v>
      </c>
      <c r="L53" s="1350"/>
      <c r="O53" s="1363" t="s">
        <v>2228</v>
      </c>
      <c r="P53" s="1364" t="s">
        <v>2229</v>
      </c>
      <c r="Q53" s="1365" t="s">
        <v>2230</v>
      </c>
      <c r="R53" s="1366" t="s">
        <v>2231</v>
      </c>
    </row>
    <row r="54" spans="1:18" s="791" customFormat="1" ht="29.25" customHeight="1" thickBot="1">
      <c r="A54" s="1384" t="s">
        <v>2113</v>
      </c>
      <c r="B54" s="2338" t="s">
        <v>2114</v>
      </c>
      <c r="C54" s="1385">
        <f ca="1">ROUND(IF(F54="押一",F50*F51*F52/12*F11,IF(F54="押二",F50*F51*F52/12*2*F11,IF(F54="押三",F50*F51*F52/12*3*F11,C55*F11))),0)</f>
        <v>0</v>
      </c>
      <c r="D54" s="2339" t="s">
        <v>2801</v>
      </c>
      <c r="E54" s="330" t="s">
        <v>2115</v>
      </c>
      <c r="F54" s="2340"/>
      <c r="I54" s="2358" t="s">
        <v>2264</v>
      </c>
      <c r="J54" s="1351">
        <f>IF(M48="住宅",J52,IF(E1="——",MIN(J52,L49),IF(E1="在建（套用方法）",MIN(J52,L49-'数据-取费表'!B25),IF(E1="土地（套用方法）",MIN(J52,L49-'数据-取费表'!B21)))))</f>
        <v>40</v>
      </c>
      <c r="K54" s="3000" t="s">
        <v>2799</v>
      </c>
      <c r="L54" s="3001"/>
      <c r="O54" s="1367" t="s">
        <v>958</v>
      </c>
      <c r="P54" s="1368" t="s">
        <v>2232</v>
      </c>
      <c r="Q54" s="1369">
        <f ca="1">C40+J29</f>
        <v>5879933</v>
      </c>
      <c r="R54" s="1370" t="s">
        <v>2233</v>
      </c>
    </row>
    <row r="55" spans="1:18" s="791" customFormat="1" ht="20.25" thickBot="1">
      <c r="A55" s="1384"/>
      <c r="B55" s="2359" t="s">
        <v>2119</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2265</v>
      </c>
      <c r="Q55" s="1369">
        <f>L61</f>
        <v>0</v>
      </c>
      <c r="R55" s="1370" t="s">
        <v>2266</v>
      </c>
    </row>
    <row r="56" spans="1:18" s="791" customFormat="1" ht="20.25" thickBot="1">
      <c r="A56" s="1424" t="s">
        <v>2120</v>
      </c>
      <c r="B56" s="2342" t="s">
        <v>2121</v>
      </c>
      <c r="C56" s="1425"/>
      <c r="D56" s="1441"/>
      <c r="E56" s="2362"/>
      <c r="F56" s="1501"/>
      <c r="I56" s="2363" t="s">
        <v>2267</v>
      </c>
      <c r="J56" s="1872" t="e">
        <f>ROUND(IF(J48="钢混",J58/J51,1-(1-2%)*(J51-J58)/J51),3)</f>
        <v>#VALUE!</v>
      </c>
      <c r="K56" s="2364"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615802</v>
      </c>
      <c r="D57" s="1294"/>
      <c r="E57" s="1295"/>
      <c r="F57" s="1302"/>
      <c r="I57" s="2365" t="s">
        <v>2270</v>
      </c>
      <c r="J57" s="1355" t="s">
        <v>2858</v>
      </c>
      <c r="K57" s="2350" t="s">
        <v>2271</v>
      </c>
      <c r="L57" s="1128">
        <f>IF(L49&lt;J52,"——",L49-J52)</f>
        <v>18</v>
      </c>
      <c r="O57" s="1371" t="s">
        <v>961</v>
      </c>
      <c r="P57" s="1368" t="s">
        <v>2272</v>
      </c>
      <c r="Q57" s="1372">
        <f>L53</f>
        <v>0</v>
      </c>
      <c r="R57" s="1370"/>
    </row>
    <row r="58" spans="1:18" s="791" customFormat="1" ht="29.25" thickBot="1">
      <c r="A58" s="1301"/>
      <c r="B58" s="319" t="s">
        <v>2201</v>
      </c>
      <c r="C58" s="188">
        <f ca="1">C29</f>
        <v>707818</v>
      </c>
      <c r="D58" s="1294"/>
      <c r="E58" s="1295"/>
      <c r="F58" s="1302"/>
      <c r="I58" s="2366" t="s">
        <v>2273</v>
      </c>
      <c r="J58" s="1354" t="str">
        <f>IF(OR(M48="住宅",J52&lt;L49,J57="是"),"——",J52-L49)</f>
        <v>——</v>
      </c>
      <c r="K58" s="2350" t="s">
        <v>2274</v>
      </c>
      <c r="L58" s="1128">
        <f ca="1">IF(L49&lt;J52,"——",IF(L56="比较法",L50,IF(L56="基准地价",L51,L52)))</f>
        <v>130779376</v>
      </c>
      <c r="O58" s="1371" t="s">
        <v>962</v>
      </c>
      <c r="P58" s="1368" t="s">
        <v>2275</v>
      </c>
      <c r="Q58" s="1369" t="e">
        <f>L59</f>
        <v>#DIV/0!</v>
      </c>
      <c r="R58" s="1370" t="s">
        <v>2276</v>
      </c>
    </row>
    <row r="59" spans="1:18" s="791" customFormat="1" ht="29.25" thickBot="1">
      <c r="A59" s="332" t="s">
        <v>14</v>
      </c>
      <c r="B59" s="333" t="s">
        <v>2204</v>
      </c>
      <c r="C59" s="334">
        <f ca="1">ROUND(C60+C65+C66+C67,0)</f>
        <v>7694</v>
      </c>
      <c r="D59" s="12" t="s">
        <v>2205</v>
      </c>
      <c r="E59" s="1899"/>
      <c r="F59" s="16"/>
      <c r="I59" s="2366" t="s">
        <v>2277</v>
      </c>
      <c r="J59" s="1871" t="e">
        <f>IF(J56&lt;0.4,0.4,J56)</f>
        <v>#VALUE!</v>
      </c>
      <c r="K59" s="2356" t="s">
        <v>2278</v>
      </c>
      <c r="L59" s="1128" t="e">
        <f>ROUND(POWER(1+L53,L48-L49)*(POWER(1+L53,L49)-1)/(POWER(1+L53,L48)-1),4)</f>
        <v>#DIV/0!</v>
      </c>
      <c r="O59" s="1371" t="s">
        <v>963</v>
      </c>
      <c r="P59" s="1368" t="str">
        <f>K60</f>
        <v>建设期及建筑物耐用年限下的土地年期修正系数Kn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9" t="s">
        <v>2206</v>
      </c>
      <c r="E60" s="1894" t="s">
        <v>2207</v>
      </c>
      <c r="F60" s="343">
        <f>IF(项目基本情况!B7="企业","",IF('数据-取费表'!B10="住宅",5%,IF(F50*F51*F52/12/(1+'数据-取费表'!F30)&gt;20000,12%,7%)))</f>
        <v>0.05</v>
      </c>
      <c r="I60" s="2366"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5879933</v>
      </c>
      <c r="R60" s="1370" t="s">
        <v>965</v>
      </c>
    </row>
    <row r="61" spans="1:18" s="791" customFormat="1" ht="16.5" thickBot="1">
      <c r="A61" s="337" t="s">
        <v>16</v>
      </c>
      <c r="B61" s="319" t="s">
        <v>2208</v>
      </c>
      <c r="C61" s="14" t="str">
        <f>IF(项目基本情况!B7="自然人","——",ROUND(C49*F61/(1+'数据-取费表'!F30),0))</f>
        <v>——</v>
      </c>
      <c r="D61" s="1894" t="s">
        <v>2209</v>
      </c>
      <c r="E61" s="319" t="s">
        <v>2158</v>
      </c>
      <c r="F61" s="352">
        <f t="shared" ref="F61:F67" si="0">F32</f>
        <v>5.6000000000000001E-2</v>
      </c>
      <c r="I61" s="2367" t="s">
        <v>2281</v>
      </c>
      <c r="J61" s="1353" t="str">
        <f>IF(OR(M48="住宅",J52&lt;L49,J57="是"),"0",ROUND(J60/(1+J53)^J54,0))</f>
        <v>0</v>
      </c>
      <c r="K61" s="2368"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5"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9" t="s">
        <v>2288</v>
      </c>
      <c r="J63" s="1875" t="s">
        <v>2289</v>
      </c>
      <c r="K63" s="1875" t="s">
        <v>2290</v>
      </c>
      <c r="L63" s="1875" t="s">
        <v>2291</v>
      </c>
      <c r="M63" s="1874" t="s">
        <v>2292</v>
      </c>
      <c r="O63" s="1367" t="s">
        <v>958</v>
      </c>
      <c r="P63" s="1368" t="s">
        <v>2232</v>
      </c>
      <c r="Q63" s="1369">
        <f ca="1">C40+J29</f>
        <v>5879933</v>
      </c>
      <c r="R63" s="1370" t="s">
        <v>2233</v>
      </c>
    </row>
    <row r="64" spans="1:18" s="791" customFormat="1" ht="20.25" thickBot="1">
      <c r="A64" s="348"/>
      <c r="B64" s="328"/>
      <c r="C64" s="19"/>
      <c r="D64" s="349"/>
      <c r="E64" s="319" t="s">
        <v>2293</v>
      </c>
      <c r="F64" s="320">
        <f t="shared" si="0"/>
        <v>0</v>
      </c>
      <c r="I64" s="2369" t="s">
        <v>2294</v>
      </c>
      <c r="J64" s="1875">
        <v>70</v>
      </c>
      <c r="K64" s="1875">
        <v>50</v>
      </c>
      <c r="L64" s="1875">
        <v>80</v>
      </c>
      <c r="M64" s="1873">
        <v>0.02</v>
      </c>
      <c r="O64" s="1367" t="s">
        <v>959</v>
      </c>
      <c r="P64" s="1368" t="s">
        <v>2265</v>
      </c>
      <c r="Q64" s="1369">
        <f>L61</f>
        <v>0</v>
      </c>
      <c r="R64" s="1370" t="s">
        <v>2266</v>
      </c>
    </row>
    <row r="65" spans="1:18" s="791" customFormat="1" ht="23.25" thickBot="1">
      <c r="A65" s="337" t="s">
        <v>19</v>
      </c>
      <c r="B65" s="319" t="s">
        <v>2213</v>
      </c>
      <c r="C65" s="14">
        <f ca="1">ROUND(C58*F65,0)</f>
        <v>7078</v>
      </c>
      <c r="D65" s="1894" t="s">
        <v>2214</v>
      </c>
      <c r="E65" s="319" t="s">
        <v>2158</v>
      </c>
      <c r="F65" s="350">
        <f t="shared" si="0"/>
        <v>0.01</v>
      </c>
      <c r="I65" s="2369" t="s">
        <v>2295</v>
      </c>
      <c r="J65" s="1875">
        <v>50</v>
      </c>
      <c r="K65" s="1875">
        <v>35</v>
      </c>
      <c r="L65" s="1875">
        <v>60</v>
      </c>
      <c r="M65" s="1874">
        <v>0</v>
      </c>
      <c r="O65" s="1371" t="s">
        <v>960</v>
      </c>
      <c r="P65" s="1368" t="s">
        <v>2269</v>
      </c>
      <c r="Q65" s="1373">
        <f ca="1">L52</f>
        <v>130779376</v>
      </c>
      <c r="R65" s="1374" t="s">
        <v>2296</v>
      </c>
    </row>
    <row r="66" spans="1:18" s="791" customFormat="1" ht="20.25" thickBot="1">
      <c r="A66" s="337" t="s">
        <v>20</v>
      </c>
      <c r="B66" s="319" t="s">
        <v>2173</v>
      </c>
      <c r="C66" s="14">
        <f ca="1">ROUND(C57*F66,0)</f>
        <v>616</v>
      </c>
      <c r="D66" s="1894" t="s">
        <v>2174</v>
      </c>
      <c r="E66" s="319" t="s">
        <v>2175</v>
      </c>
      <c r="F66" s="351">
        <f t="shared" si="0"/>
        <v>1E-3</v>
      </c>
      <c r="I66" s="2369" t="s">
        <v>2297</v>
      </c>
      <c r="J66" s="1875">
        <v>40</v>
      </c>
      <c r="K66" s="1875">
        <v>30</v>
      </c>
      <c r="L66" s="1875">
        <v>50</v>
      </c>
      <c r="M66" s="1873">
        <v>0.02</v>
      </c>
      <c r="O66" s="1371" t="s">
        <v>961</v>
      </c>
      <c r="P66" s="1375" t="s">
        <v>2298</v>
      </c>
      <c r="Q66" s="1369">
        <f ca="1">ROUND(Q67-Q68*Q69,0)</f>
        <v>71803</v>
      </c>
      <c r="R66" s="1370"/>
    </row>
    <row r="67" spans="1:18" s="791" customFormat="1" ht="15.75" thickBot="1">
      <c r="A67" s="337" t="s">
        <v>21</v>
      </c>
      <c r="B67" s="319" t="s">
        <v>2156</v>
      </c>
      <c r="C67" s="14">
        <f ca="1">ROUND(C49*F67,0)</f>
        <v>0</v>
      </c>
      <c r="D67" s="1894" t="s">
        <v>2179</v>
      </c>
      <c r="E67" s="319" t="s">
        <v>2175</v>
      </c>
      <c r="F67" s="329">
        <f t="shared" si="0"/>
        <v>0.01</v>
      </c>
      <c r="O67" s="1371" t="s">
        <v>966</v>
      </c>
      <c r="P67" s="1375" t="s">
        <v>2299</v>
      </c>
      <c r="Q67" s="1369">
        <f ca="1">C39</f>
        <v>121067</v>
      </c>
      <c r="R67" s="1370" t="s">
        <v>2233</v>
      </c>
    </row>
    <row r="68" spans="1:18" ht="15.75" thickBot="1">
      <c r="A68" s="332" t="s">
        <v>22</v>
      </c>
      <c r="B68" s="89" t="s">
        <v>2183</v>
      </c>
      <c r="C68" s="334">
        <f ca="1">C49-C59</f>
        <v>-7694</v>
      </c>
      <c r="D68" s="1889" t="s">
        <v>2184</v>
      </c>
      <c r="E68" s="1893"/>
      <c r="F68" s="353"/>
      <c r="H68" s="791"/>
      <c r="I68" s="791"/>
      <c r="J68" s="791"/>
      <c r="K68" s="791"/>
      <c r="L68" s="791"/>
      <c r="M68" s="791"/>
      <c r="O68" s="1371" t="s">
        <v>967</v>
      </c>
      <c r="P68" s="1375" t="s">
        <v>2300</v>
      </c>
      <c r="Q68" s="1369">
        <f ca="1">C13</f>
        <v>615802</v>
      </c>
      <c r="R68" s="1370" t="s">
        <v>2233</v>
      </c>
    </row>
    <row r="69" spans="1:18" ht="15.75" thickBot="1">
      <c r="A69" s="316" t="s">
        <v>23</v>
      </c>
      <c r="B69" s="317" t="s">
        <v>2221</v>
      </c>
      <c r="C69" s="318">
        <f ca="1">ROUND(C68*(1-((1+F71)/(1+F69))^F70)/(F69-F71),0)</f>
        <v>-157667</v>
      </c>
      <c r="D69" s="346" t="s">
        <v>2189</v>
      </c>
      <c r="E69" s="319" t="s">
        <v>2190</v>
      </c>
      <c r="F69" s="329">
        <f>F40</f>
        <v>4.4999999999999998E-2</v>
      </c>
      <c r="H69" s="791"/>
      <c r="I69" s="791"/>
      <c r="J69" s="791"/>
      <c r="K69" s="791"/>
      <c r="L69" s="791"/>
      <c r="M69" s="791"/>
      <c r="O69" s="1371" t="s">
        <v>968</v>
      </c>
      <c r="P69" s="1375" t="s">
        <v>2301</v>
      </c>
      <c r="Q69" s="1372">
        <f>J35</f>
        <v>0.08</v>
      </c>
      <c r="R69" s="1370"/>
    </row>
    <row r="70" spans="1:18" ht="15.75" thickBot="1">
      <c r="A70" s="321"/>
      <c r="B70" s="322"/>
      <c r="C70" s="323"/>
      <c r="D70" s="354" t="s">
        <v>2223</v>
      </c>
      <c r="E70" s="319" t="s">
        <v>2195</v>
      </c>
      <c r="F70" s="355">
        <f>F41</f>
        <v>58</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-1147</v>
      </c>
      <c r="D72" s="359" t="s">
        <v>2225</v>
      </c>
      <c r="E72" s="360" t="s">
        <v>2226</v>
      </c>
      <c r="F72" s="361">
        <f>F43</f>
        <v>137.41</v>
      </c>
      <c r="O72" s="1371" t="s">
        <v>969</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5879933</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8" t="s">
        <v>1025</v>
      </c>
      <c r="B1" s="3019"/>
      <c r="C1" s="3020"/>
      <c r="D1" s="3021">
        <f>SUM(I10,I15,I20,I21,I23)</f>
        <v>0</v>
      </c>
      <c r="E1" s="3021"/>
      <c r="F1" s="3021"/>
      <c r="G1" s="3021"/>
      <c r="H1" s="3021"/>
      <c r="I1" s="3022"/>
    </row>
    <row r="2" spans="1:9">
      <c r="A2" s="3008" t="s">
        <v>1026</v>
      </c>
      <c r="B2" s="3009" t="s">
        <v>975</v>
      </c>
      <c r="C2" s="3009"/>
      <c r="D2" s="1389" t="s">
        <v>976</v>
      </c>
      <c r="E2" s="1389" t="s">
        <v>977</v>
      </c>
      <c r="F2" s="1389" t="s">
        <v>978</v>
      </c>
      <c r="G2" s="1389" t="s">
        <v>979</v>
      </c>
      <c r="H2" s="1389" t="s">
        <v>980</v>
      </c>
      <c r="I2" s="1390" t="s">
        <v>981</v>
      </c>
    </row>
    <row r="3" spans="1:9">
      <c r="A3" s="3008"/>
      <c r="B3" s="3009" t="s">
        <v>982</v>
      </c>
      <c r="C3" s="3009"/>
      <c r="D3" s="1391"/>
      <c r="E3" s="1389"/>
      <c r="F3" s="1392"/>
      <c r="G3" s="1392"/>
      <c r="H3" s="1393"/>
      <c r="I3" s="1394">
        <f>ROUND(D3*E3*F3*G3*H3/10000,0)</f>
        <v>0</v>
      </c>
    </row>
    <row r="4" spans="1:9">
      <c r="A4" s="3008"/>
      <c r="B4" s="3009" t="s">
        <v>983</v>
      </c>
      <c r="C4" s="3009"/>
      <c r="D4" s="1391"/>
      <c r="E4" s="1389"/>
      <c r="F4" s="1392"/>
      <c r="G4" s="1392"/>
      <c r="H4" s="1393"/>
      <c r="I4" s="1394">
        <f t="shared" ref="I4:I9" si="0">ROUND(D4*E4*F4*G4*H4/10000,0)</f>
        <v>0</v>
      </c>
    </row>
    <row r="5" spans="1:9">
      <c r="A5" s="3008"/>
      <c r="B5" s="3009" t="s">
        <v>984</v>
      </c>
      <c r="C5" s="3009"/>
      <c r="D5" s="1391"/>
      <c r="E5" s="1389"/>
      <c r="F5" s="1392"/>
      <c r="G5" s="1392"/>
      <c r="H5" s="1393"/>
      <c r="I5" s="1394">
        <f t="shared" si="0"/>
        <v>0</v>
      </c>
    </row>
    <row r="6" spans="1:9">
      <c r="A6" s="3008"/>
      <c r="B6" s="3009" t="s">
        <v>985</v>
      </c>
      <c r="C6" s="3009"/>
      <c r="D6" s="1391"/>
      <c r="E6" s="1389"/>
      <c r="F6" s="1392"/>
      <c r="G6" s="1392"/>
      <c r="H6" s="1393"/>
      <c r="I6" s="1394">
        <f t="shared" si="0"/>
        <v>0</v>
      </c>
    </row>
    <row r="7" spans="1:9">
      <c r="A7" s="3008"/>
      <c r="B7" s="3009" t="s">
        <v>986</v>
      </c>
      <c r="C7" s="3009"/>
      <c r="D7" s="1391"/>
      <c r="E7" s="1389"/>
      <c r="F7" s="1392"/>
      <c r="G7" s="1392"/>
      <c r="H7" s="1393"/>
      <c r="I7" s="1394">
        <f t="shared" si="0"/>
        <v>0</v>
      </c>
    </row>
    <row r="8" spans="1:9">
      <c r="A8" s="3008"/>
      <c r="B8" s="3009" t="s">
        <v>987</v>
      </c>
      <c r="C8" s="3009"/>
      <c r="D8" s="1391"/>
      <c r="E8" s="1389"/>
      <c r="F8" s="1392"/>
      <c r="G8" s="1392"/>
      <c r="H8" s="1393"/>
      <c r="I8" s="1394">
        <f t="shared" si="0"/>
        <v>0</v>
      </c>
    </row>
    <row r="9" spans="1:9">
      <c r="A9" s="3008"/>
      <c r="B9" s="3009" t="s">
        <v>988</v>
      </c>
      <c r="C9" s="3009"/>
      <c r="D9" s="1391"/>
      <c r="E9" s="1389"/>
      <c r="F9" s="1392"/>
      <c r="G9" s="1392"/>
      <c r="H9" s="1393"/>
      <c r="I9" s="1394">
        <f t="shared" si="0"/>
        <v>0</v>
      </c>
    </row>
    <row r="10" spans="1:9">
      <c r="A10" s="3008"/>
      <c r="B10" s="3010" t="s">
        <v>989</v>
      </c>
      <c r="C10" s="3010"/>
      <c r="D10" s="1395">
        <v>527</v>
      </c>
      <c r="E10" s="1395" t="e">
        <f>ROUND(D1*10000/D10/H9,0)</f>
        <v>#DIV/0!</v>
      </c>
      <c r="F10" s="1396"/>
      <c r="G10" s="1396"/>
      <c r="H10" s="1397"/>
      <c r="I10" s="1398">
        <f>SUM(I3:I9)</f>
        <v>0</v>
      </c>
    </row>
    <row r="11" spans="1:9" ht="14.25">
      <c r="A11" s="3008" t="s">
        <v>1027</v>
      </c>
      <c r="B11" s="3009" t="s">
        <v>990</v>
      </c>
      <c r="C11" s="3009"/>
      <c r="D11" s="1391" t="s">
        <v>991</v>
      </c>
      <c r="E11" s="1391" t="s">
        <v>992</v>
      </c>
      <c r="F11" s="1392" t="s">
        <v>993</v>
      </c>
      <c r="G11" s="1392" t="s">
        <v>980</v>
      </c>
      <c r="H11" s="1399" t="s">
        <v>994</v>
      </c>
      <c r="I11" s="1390" t="s">
        <v>981</v>
      </c>
    </row>
    <row r="12" spans="1:9">
      <c r="A12" s="3008"/>
      <c r="B12" s="3009" t="s">
        <v>995</v>
      </c>
      <c r="C12" s="3009"/>
      <c r="D12" s="1391"/>
      <c r="E12" s="1391"/>
      <c r="F12" s="1392"/>
      <c r="G12" s="1393"/>
      <c r="H12" s="1400"/>
      <c r="I12" s="1390">
        <f>ROUND(D12*E12*F12*G12/10000,0)</f>
        <v>0</v>
      </c>
    </row>
    <row r="13" spans="1:9">
      <c r="A13" s="3008"/>
      <c r="B13" s="3009" t="s">
        <v>996</v>
      </c>
      <c r="C13" s="3009"/>
      <c r="D13" s="1391"/>
      <c r="E13" s="1391"/>
      <c r="F13" s="1392"/>
      <c r="G13" s="1393"/>
      <c r="H13" s="1400"/>
      <c r="I13" s="1390">
        <f>ROUND(D13*E13*F13*G13/10000,0)</f>
        <v>0</v>
      </c>
    </row>
    <row r="14" spans="1:9">
      <c r="A14" s="3008"/>
      <c r="B14" s="3009" t="s">
        <v>997</v>
      </c>
      <c r="C14" s="3009"/>
      <c r="D14" s="1391"/>
      <c r="E14" s="1391"/>
      <c r="F14" s="1392"/>
      <c r="G14" s="1393"/>
      <c r="H14" s="1400"/>
      <c r="I14" s="1390">
        <f>ROUND(D14*E14*F14*G14/10000,0)</f>
        <v>0</v>
      </c>
    </row>
    <row r="15" spans="1:9">
      <c r="A15" s="3008"/>
      <c r="B15" s="3010" t="s">
        <v>989</v>
      </c>
      <c r="C15" s="3010"/>
      <c r="D15" s="1395"/>
      <c r="E15" s="1395">
        <f>SUM(E12:E14)</f>
        <v>0</v>
      </c>
      <c r="F15" s="1396"/>
      <c r="G15" s="1393"/>
      <c r="H15" s="1400"/>
      <c r="I15" s="1401">
        <f>SUM(I12:I14)</f>
        <v>0</v>
      </c>
    </row>
    <row r="16" spans="1:9" ht="24">
      <c r="A16" s="3008" t="s">
        <v>1028</v>
      </c>
      <c r="B16" s="3009" t="s">
        <v>998</v>
      </c>
      <c r="C16" s="3009"/>
      <c r="D16" s="1391" t="s">
        <v>976</v>
      </c>
      <c r="E16" s="1402" t="s">
        <v>999</v>
      </c>
      <c r="F16" s="1392" t="s">
        <v>1000</v>
      </c>
      <c r="G16" s="1393" t="s">
        <v>980</v>
      </c>
      <c r="H16" s="1399" t="s">
        <v>994</v>
      </c>
      <c r="I16" s="1390" t="s">
        <v>981</v>
      </c>
    </row>
    <row r="17" spans="1:9" ht="14.25">
      <c r="A17" s="3008"/>
      <c r="B17" s="3009" t="s">
        <v>1001</v>
      </c>
      <c r="C17" s="3009"/>
      <c r="D17" s="1391"/>
      <c r="E17" s="1391"/>
      <c r="F17" s="1392"/>
      <c r="G17" s="1393"/>
      <c r="H17" s="1403"/>
      <c r="I17" s="1404">
        <f>ROUND(D17*E17*F17*G17/10000,0)</f>
        <v>0</v>
      </c>
    </row>
    <row r="18" spans="1:9" ht="14.25">
      <c r="A18" s="3008"/>
      <c r="B18" s="3009" t="s">
        <v>1002</v>
      </c>
      <c r="C18" s="3009"/>
      <c r="D18" s="1391"/>
      <c r="E18" s="1391"/>
      <c r="F18" s="1392"/>
      <c r="G18" s="1393"/>
      <c r="H18" s="1403"/>
      <c r="I18" s="1404">
        <f>ROUND(D18*E18*F18*G18/10000,0)</f>
        <v>0</v>
      </c>
    </row>
    <row r="19" spans="1:9" ht="14.25">
      <c r="A19" s="3008"/>
      <c r="B19" s="3009" t="s">
        <v>1003</v>
      </c>
      <c r="C19" s="3009"/>
      <c r="D19" s="1391"/>
      <c r="E19" s="1391"/>
      <c r="F19" s="1392"/>
      <c r="G19" s="1393"/>
      <c r="H19" s="1403"/>
      <c r="I19" s="1404">
        <f>ROUND(D19*E19*F19*G19/10000,0)</f>
        <v>0</v>
      </c>
    </row>
    <row r="20" spans="1:9">
      <c r="A20" s="3008"/>
      <c r="B20" s="3010" t="s">
        <v>989</v>
      </c>
      <c r="C20" s="3010"/>
      <c r="D20" s="1395">
        <f>SUM(D17:D19)</f>
        <v>0</v>
      </c>
      <c r="E20" s="1395"/>
      <c r="F20" s="1396"/>
      <c r="G20" s="1393"/>
      <c r="H20" s="1400"/>
      <c r="I20" s="1401">
        <f>SUM(I17:I19)</f>
        <v>0</v>
      </c>
    </row>
    <row r="21" spans="1:9">
      <c r="A21" s="3008" t="s">
        <v>1029</v>
      </c>
      <c r="B21" s="3011"/>
      <c r="C21" s="3011"/>
      <c r="D21" s="3011"/>
      <c r="E21" s="3011"/>
      <c r="F21" s="3011"/>
      <c r="G21" s="3011"/>
      <c r="H21" s="1405">
        <v>0.1</v>
      </c>
      <c r="I21" s="1398">
        <f>ROUND(I10*H21,0)</f>
        <v>0</v>
      </c>
    </row>
    <row r="22" spans="1:9" ht="14.25">
      <c r="A22" s="3012" t="s">
        <v>1030</v>
      </c>
      <c r="B22" s="3013"/>
      <c r="C22" s="3014"/>
      <c r="D22" s="1406" t="s">
        <v>1004</v>
      </c>
      <c r="E22" s="1406" t="s">
        <v>1005</v>
      </c>
      <c r="F22" s="1407" t="s">
        <v>980</v>
      </c>
      <c r="G22" s="1407" t="s">
        <v>1006</v>
      </c>
      <c r="H22" s="1399" t="s">
        <v>994</v>
      </c>
      <c r="I22" s="1390" t="s">
        <v>981</v>
      </c>
    </row>
    <row r="23" spans="1:9" ht="14.25" thickBot="1">
      <c r="A23" s="3015"/>
      <c r="B23" s="3016"/>
      <c r="C23" s="3017"/>
      <c r="D23" s="1408"/>
      <c r="E23" s="1408"/>
      <c r="F23" s="1408"/>
      <c r="G23" s="1409"/>
      <c r="H23" s="1410"/>
      <c r="I23" s="1411">
        <f>ROUND(E23*D23*F23*(1-G23)/10000,0)</f>
        <v>0</v>
      </c>
    </row>
    <row r="26" spans="1:9">
      <c r="A26" s="1412" t="s">
        <v>1007</v>
      </c>
      <c r="B26" s="1412"/>
      <c r="C26" s="1412"/>
      <c r="D26" s="1412"/>
      <c r="E26" s="3005">
        <f>C27-C30-C31-C32</f>
        <v>0</v>
      </c>
      <c r="F26" s="3005"/>
      <c r="G26" s="3005"/>
      <c r="H26" s="1830" t="s">
        <v>1221</v>
      </c>
    </row>
    <row r="27" spans="1:9">
      <c r="A27" s="1413">
        <v>1</v>
      </c>
      <c r="B27" s="1414" t="s">
        <v>1008</v>
      </c>
      <c r="C27" s="1414">
        <f>C28+C29</f>
        <v>0</v>
      </c>
      <c r="D27" s="1414"/>
      <c r="E27" s="3006"/>
      <c r="F27" s="3006"/>
      <c r="G27" s="3006"/>
    </row>
    <row r="28" spans="1:9">
      <c r="A28" s="1415" t="s">
        <v>1009</v>
      </c>
      <c r="B28" s="1414" t="s">
        <v>1010</v>
      </c>
      <c r="C28" s="1414"/>
      <c r="D28" s="1414"/>
      <c r="E28" s="3006"/>
      <c r="F28" s="3006"/>
      <c r="G28" s="3006"/>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07"/>
      <c r="F32" s="3007"/>
      <c r="G32" s="3007"/>
    </row>
    <row r="33" spans="1:7" hidden="1">
      <c r="A33" s="3002" t="s">
        <v>1019</v>
      </c>
      <c r="B33" s="3003"/>
      <c r="C33" s="3003"/>
      <c r="D33" s="3004"/>
      <c r="E33" s="3005"/>
      <c r="F33" s="3005"/>
      <c r="G33" s="3005"/>
    </row>
    <row r="34" spans="1:7" hidden="1">
      <c r="A34" s="1417">
        <v>1</v>
      </c>
      <c r="B34" s="1414" t="s">
        <v>1020</v>
      </c>
      <c r="C34" s="1414"/>
      <c r="D34" s="1414"/>
      <c r="E34" s="3006"/>
      <c r="F34" s="3006"/>
      <c r="G34" s="3006"/>
    </row>
    <row r="35" spans="1:7" hidden="1">
      <c r="A35" s="1417">
        <v>2</v>
      </c>
      <c r="B35" s="1414" t="s">
        <v>1021</v>
      </c>
      <c r="C35" s="1414"/>
      <c r="D35" s="1414"/>
      <c r="E35" s="3006"/>
      <c r="F35" s="3006"/>
      <c r="G35" s="3006"/>
    </row>
    <row r="36" spans="1:7" hidden="1">
      <c r="A36" s="1417">
        <v>3</v>
      </c>
      <c r="B36" s="1414" t="s">
        <v>1022</v>
      </c>
      <c r="C36" s="1414"/>
      <c r="D36" s="1414"/>
      <c r="E36" s="3006"/>
      <c r="F36" s="3006"/>
      <c r="G36" s="3006"/>
    </row>
    <row r="37" spans="1:7" hidden="1">
      <c r="A37" s="1417">
        <v>4</v>
      </c>
      <c r="B37" s="1414" t="s">
        <v>1023</v>
      </c>
      <c r="C37" s="1414"/>
      <c r="D37" s="1414"/>
      <c r="E37" s="3006"/>
      <c r="F37" s="3006"/>
      <c r="G37" s="3006"/>
    </row>
    <row r="38" spans="1:7" hidden="1">
      <c r="A38" s="3002" t="s">
        <v>1024</v>
      </c>
      <c r="B38" s="3003"/>
      <c r="C38" s="3003"/>
      <c r="D38" s="3004"/>
      <c r="E38" s="3005"/>
      <c r="F38" s="3005"/>
      <c r="G38" s="30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6" t="s">
        <v>2307</v>
      </c>
      <c r="D4" s="3027"/>
      <c r="E4" s="3027"/>
      <c r="F4" s="3027"/>
      <c r="G4" s="3027"/>
      <c r="H4" s="3027"/>
      <c r="I4" s="3027"/>
      <c r="J4" s="3027"/>
      <c r="K4" s="3027"/>
      <c r="L4" s="3027"/>
      <c r="M4" s="3027"/>
      <c r="N4" s="3027"/>
      <c r="O4" s="3027"/>
      <c r="P4" s="3027"/>
      <c r="Q4" s="3027"/>
      <c r="R4" s="3027"/>
      <c r="S4" s="3028"/>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2316</v>
      </c>
      <c r="B20" s="2371"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2318</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2320</v>
      </c>
      <c r="B24" s="308" t="e">
        <f>R25</f>
        <v>#DIV/0!</v>
      </c>
      <c r="C24" s="1144"/>
      <c r="D24" s="84"/>
      <c r="E24" s="84"/>
      <c r="F24" s="84"/>
      <c r="G24" s="84"/>
      <c r="H24" s="84"/>
      <c r="I24" s="84"/>
      <c r="J24" s="84"/>
      <c r="K24" s="84"/>
      <c r="L24" s="84"/>
      <c r="M24" s="84"/>
      <c r="N24" s="84"/>
      <c r="O24" s="84"/>
      <c r="P24" s="84"/>
      <c r="Q24" s="84"/>
      <c r="R24" s="769"/>
      <c r="S24" s="14" t="s">
        <v>2321</v>
      </c>
      <c r="T24" s="1898" t="s">
        <v>2322</v>
      </c>
      <c r="U24" s="2376" t="s">
        <v>2323</v>
      </c>
      <c r="V24" s="1342"/>
      <c r="W24" s="2377" t="s">
        <v>2324</v>
      </c>
      <c r="X24" s="2376" t="s">
        <v>2325</v>
      </c>
      <c r="Y24" s="1342"/>
      <c r="Z24" s="2378" t="s">
        <v>2324</v>
      </c>
    </row>
    <row r="25" spans="1:45">
      <c r="A25" s="334" t="s">
        <v>2326</v>
      </c>
      <c r="B25" s="14">
        <f>SUM(B27:B10000)</f>
        <v>0</v>
      </c>
      <c r="C25" s="3023" t="s">
        <v>45</v>
      </c>
      <c r="D25" s="3024"/>
      <c r="E25" s="3024"/>
      <c r="F25" s="3024"/>
      <c r="G25" s="3024"/>
      <c r="H25" s="3024"/>
      <c r="I25" s="3024"/>
      <c r="J25" s="3024"/>
      <c r="K25" s="3024"/>
      <c r="L25" s="3024"/>
      <c r="M25" s="3024"/>
      <c r="N25" s="3024"/>
      <c r="O25" s="3024"/>
      <c r="P25" s="3024"/>
      <c r="Q25" s="302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4" t="s">
        <v>2332</v>
      </c>
      <c r="V26" s="2380" t="s">
        <v>2333</v>
      </c>
      <c r="W26" s="2381" t="s">
        <v>2334</v>
      </c>
      <c r="X26" s="1884" t="s">
        <v>2332</v>
      </c>
      <c r="Y26" s="2380" t="s">
        <v>2333</v>
      </c>
      <c r="Z26" s="2381"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1" zoomScale="90" zoomScaleNormal="90" workbookViewId="0">
      <selection activeCell="I27" sqref="I2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2337</v>
      </c>
      <c r="C1" s="1727" t="s">
        <v>2852</v>
      </c>
      <c r="D1" s="2382"/>
      <c r="E1" s="2383" t="s">
        <v>2853</v>
      </c>
      <c r="F1" s="1741" t="s">
        <v>2338</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2006</v>
      </c>
      <c r="B2" s="1726">
        <f>IF(D2="——",IF(C2="元",ROUND(C49*D3,0),ROUND(C49*D3/10000,0)),IF(C2="元",ROUND(C49*D3,0),ROUND(C49*D3/10000,0))-E2)</f>
        <v>10301353</v>
      </c>
      <c r="C2" s="163" t="str">
        <f>'数据-取费表'!B3</f>
        <v>元</v>
      </c>
      <c r="D2" s="2385" t="s">
        <v>1255</v>
      </c>
      <c r="E2" s="1844">
        <f ca="1">SUMIF(INDIRECT("'"&amp;G2&amp;"'"&amp;"!A:A"),"承租人权益价值",INDIRECT("'"&amp;G2&amp;"'"&amp;"!c:c"))</f>
        <v>0</v>
      </c>
      <c r="F2" s="2386" t="str">
        <f>C2</f>
        <v>元</v>
      </c>
      <c r="G2" s="2387" t="s">
        <v>2875</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2007</v>
      </c>
      <c r="B3" s="378">
        <f>ROUND(IF(D2="——",C49,IF(C2="万元",B2*10000/D3,B2/D3)),0)</f>
        <v>74968</v>
      </c>
      <c r="C3" s="379" t="s">
        <v>2339</v>
      </c>
      <c r="D3" s="378">
        <f>IF(C1="仅计算典型户型",'数据-取费表'!E5,'数据-取费表'!B5)</f>
        <v>137.41</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2340</v>
      </c>
      <c r="B4" s="381"/>
      <c r="C4" s="3062" t="s">
        <v>2341</v>
      </c>
      <c r="D4" s="3063"/>
      <c r="E4" s="3064" t="s">
        <v>2342</v>
      </c>
      <c r="F4" s="3065"/>
      <c r="G4" s="3062" t="s">
        <v>2343</v>
      </c>
      <c r="H4" s="3063"/>
      <c r="I4" s="3062" t="s">
        <v>2344</v>
      </c>
      <c r="J4" s="3063"/>
      <c r="K4" s="2396"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59" t="s">
        <v>2343</v>
      </c>
      <c r="AC4" s="3059" t="s">
        <v>2344</v>
      </c>
    </row>
    <row r="5" spans="1:29" ht="15">
      <c r="A5" s="383"/>
      <c r="B5" s="384"/>
      <c r="C5" s="3047" t="s">
        <v>2896</v>
      </c>
      <c r="D5" s="3048"/>
      <c r="E5" s="3047" t="s">
        <v>2896</v>
      </c>
      <c r="F5" s="3048"/>
      <c r="G5" s="3047" t="s">
        <v>2896</v>
      </c>
      <c r="H5" s="3048"/>
      <c r="I5" s="3047" t="s">
        <v>2896</v>
      </c>
      <c r="J5" s="3048"/>
      <c r="K5" s="2397"/>
      <c r="L5" s="1243"/>
      <c r="M5" s="1244"/>
      <c r="N5" s="1244"/>
      <c r="O5" s="1244"/>
      <c r="P5" s="3068"/>
      <c r="Q5" s="3069"/>
      <c r="R5" s="3053"/>
      <c r="S5" s="3054"/>
      <c r="T5" s="3053"/>
      <c r="U5" s="3054"/>
      <c r="V5" s="3072"/>
      <c r="W5" s="3072"/>
      <c r="X5" s="1901"/>
      <c r="Y5" s="3053"/>
      <c r="Z5" s="3054"/>
      <c r="AA5" s="3060"/>
      <c r="AB5" s="3060"/>
      <c r="AC5" s="3060"/>
    </row>
    <row r="6" spans="1:29" ht="28.5" customHeight="1" thickBot="1">
      <c r="A6" s="385"/>
      <c r="B6" s="386"/>
      <c r="C6" s="3073" t="s">
        <v>2911</v>
      </c>
      <c r="D6" s="3074"/>
      <c r="E6" s="3045" t="s">
        <v>2897</v>
      </c>
      <c r="F6" s="3046"/>
      <c r="G6" s="3045" t="s">
        <v>2897</v>
      </c>
      <c r="H6" s="3046"/>
      <c r="I6" s="3045" t="s">
        <v>2897</v>
      </c>
      <c r="J6" s="3046"/>
      <c r="K6" s="2397" t="s">
        <v>2352</v>
      </c>
      <c r="L6" s="1243"/>
      <c r="M6" s="1244"/>
      <c r="N6" s="1244"/>
      <c r="O6" s="1244"/>
      <c r="P6" s="3070"/>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391">
        <v>42966</v>
      </c>
      <c r="F7" s="392">
        <f>SUMIF(58:58,YEAR(E7)&amp;"-"&amp;MONTH(E7),59:59)</f>
        <v>101</v>
      </c>
      <c r="G7" s="391">
        <v>42977</v>
      </c>
      <c r="H7" s="390">
        <f>SUMIF(58:58,YEAR(G7)&amp;"-"&amp;MONTH(G7),59:59)</f>
        <v>101</v>
      </c>
      <c r="I7" s="391">
        <v>42943</v>
      </c>
      <c r="J7" s="390">
        <f>SUMIF(58:58,YEAR(I7)&amp;"-"&amp;MONTH(I7),59:59)</f>
        <v>101</v>
      </c>
      <c r="K7" s="2398"/>
      <c r="L7" s="1245"/>
      <c r="M7" s="1246"/>
      <c r="N7" s="1246"/>
      <c r="O7" s="1246"/>
      <c r="P7" s="3049" t="s">
        <v>2354</v>
      </c>
      <c r="Q7" s="3057"/>
      <c r="R7" s="749" t="s">
        <v>34</v>
      </c>
      <c r="S7" s="750">
        <f t="shared" ref="S7:S15" si="0">F7</f>
        <v>101</v>
      </c>
      <c r="T7" s="749" t="s">
        <v>34</v>
      </c>
      <c r="U7" s="750">
        <f t="shared" ref="U7:U15" si="1">H7</f>
        <v>101</v>
      </c>
      <c r="V7" s="749" t="s">
        <v>34</v>
      </c>
      <c r="W7" s="750">
        <f t="shared" ref="W7:W15" si="2">J7</f>
        <v>101</v>
      </c>
      <c r="X7" s="751"/>
      <c r="Y7" s="3049" t="s">
        <v>2354</v>
      </c>
      <c r="Z7" s="3050"/>
      <c r="AA7" s="752">
        <f>D7/F7</f>
        <v>0.99009900990099009</v>
      </c>
      <c r="AB7" s="752">
        <f>D7/H7</f>
        <v>0.99009900990099009</v>
      </c>
      <c r="AC7" s="752">
        <f>D7/J7</f>
        <v>0.99009900990099009</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8"/>
      <c r="L8" s="1245"/>
      <c r="M8" s="1246"/>
      <c r="N8" s="1246"/>
      <c r="O8" s="1246"/>
      <c r="P8" s="3049" t="s">
        <v>2357</v>
      </c>
      <c r="Q8" s="3050"/>
      <c r="R8" s="749" t="s">
        <v>34</v>
      </c>
      <c r="S8" s="750">
        <f t="shared" si="0"/>
        <v>100</v>
      </c>
      <c r="T8" s="749" t="s">
        <v>34</v>
      </c>
      <c r="U8" s="750">
        <f t="shared" si="1"/>
        <v>100</v>
      </c>
      <c r="V8" s="749" t="s">
        <v>34</v>
      </c>
      <c r="W8" s="750">
        <f t="shared" si="2"/>
        <v>100</v>
      </c>
      <c r="X8" s="751"/>
      <c r="Y8" s="3049" t="s">
        <v>2357</v>
      </c>
      <c r="Z8" s="3050"/>
      <c r="AA8" s="752">
        <f t="shared" ref="AA8:AA46" si="3">D8/F8</f>
        <v>1</v>
      </c>
      <c r="AB8" s="752">
        <f t="shared" ref="AB8:AB46" si="4">D8/H8</f>
        <v>1</v>
      </c>
      <c r="AC8" s="752">
        <f t="shared" ref="AC8:AC46" si="5">D8/J8</f>
        <v>1</v>
      </c>
    </row>
    <row r="9" spans="1:29" s="35" customFormat="1">
      <c r="A9" s="395" t="s">
        <v>2358</v>
      </c>
      <c r="B9" s="28" t="s">
        <v>2359</v>
      </c>
      <c r="C9" s="2721" t="s">
        <v>2819</v>
      </c>
      <c r="D9" s="51">
        <v>100</v>
      </c>
      <c r="E9" s="2721" t="s">
        <v>2819</v>
      </c>
      <c r="F9" s="398">
        <f>SUMIF(63:63,E9,64:64)-SUMIF(63:63,C9,64:64)+100</f>
        <v>100</v>
      </c>
      <c r="G9" s="2721" t="s">
        <v>2819</v>
      </c>
      <c r="H9" s="51">
        <f>SUMIF(63:63,G9,64:64)-SUMIF(63:63,C9,64:64)+100</f>
        <v>100</v>
      </c>
      <c r="I9" s="2721" t="s">
        <v>2819</v>
      </c>
      <c r="J9" s="51">
        <f>SUMIF(63:63,I9,64:64)-SUMIF(63:63,C9,64:64)+100</f>
        <v>100</v>
      </c>
      <c r="K9" s="2398"/>
      <c r="L9" s="1245"/>
      <c r="M9" s="1246"/>
      <c r="N9" s="1246"/>
      <c r="O9" s="1246"/>
      <c r="P9" s="3058"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75" thickBot="1">
      <c r="A10" s="401"/>
      <c r="B10" s="402" t="s">
        <v>2362</v>
      </c>
      <c r="C10" s="403" t="s">
        <v>2893</v>
      </c>
      <c r="D10" s="52">
        <v>100</v>
      </c>
      <c r="E10" s="403" t="s">
        <v>2893</v>
      </c>
      <c r="F10" s="405">
        <f>SUMIF(65:65,E10,66:66)-SUMIF(65:65,C10,66:66)+100</f>
        <v>100</v>
      </c>
      <c r="G10" s="403" t="s">
        <v>2893</v>
      </c>
      <c r="H10" s="52">
        <f>SUMIF(65:65,G10,66:66)-SUMIF(65:65,C10,66:66)+100</f>
        <v>100</v>
      </c>
      <c r="I10" s="403" t="s">
        <v>2893</v>
      </c>
      <c r="J10" s="52">
        <f>SUMIF(65:65,I10,66:66)-SUMIF(65:65,C10,66:66)+100</f>
        <v>100</v>
      </c>
      <c r="K10" s="406"/>
      <c r="L10" s="1248"/>
      <c r="M10" s="1249"/>
      <c r="N10" s="1249"/>
      <c r="O10" s="1249"/>
      <c r="P10" s="3058"/>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58"/>
      <c r="Q11" s="1888" t="str">
        <f t="shared" si="6"/>
        <v>容积率</v>
      </c>
      <c r="R11" s="749" t="s">
        <v>28</v>
      </c>
      <c r="S11" s="750">
        <f t="shared" si="0"/>
        <v>100</v>
      </c>
      <c r="T11" s="749" t="s">
        <v>28</v>
      </c>
      <c r="U11" s="750">
        <f t="shared" si="1"/>
        <v>100</v>
      </c>
      <c r="V11" s="749" t="s">
        <v>28</v>
      </c>
      <c r="W11" s="750">
        <f t="shared" si="2"/>
        <v>100</v>
      </c>
      <c r="X11" s="751"/>
      <c r="Y11" s="2861"/>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8"/>
      <c r="Q12" s="1888">
        <f t="shared" si="6"/>
        <v>111</v>
      </c>
      <c r="R12" s="749" t="s">
        <v>28</v>
      </c>
      <c r="S12" s="750">
        <f t="shared" si="0"/>
        <v>100</v>
      </c>
      <c r="T12" s="749" t="s">
        <v>28</v>
      </c>
      <c r="U12" s="750">
        <f t="shared" si="1"/>
        <v>100</v>
      </c>
      <c r="V12" s="749" t="s">
        <v>28</v>
      </c>
      <c r="W12" s="750">
        <f t="shared" si="2"/>
        <v>100</v>
      </c>
      <c r="X12" s="751"/>
      <c r="Y12" s="2861"/>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8"/>
      <c r="Q13" s="1888">
        <f t="shared" si="6"/>
        <v>111</v>
      </c>
      <c r="R13" s="749" t="s">
        <v>28</v>
      </c>
      <c r="S13" s="750">
        <f t="shared" si="0"/>
        <v>100</v>
      </c>
      <c r="T13" s="749" t="s">
        <v>28</v>
      </c>
      <c r="U13" s="750">
        <f t="shared" si="1"/>
        <v>100</v>
      </c>
      <c r="V13" s="749" t="s">
        <v>28</v>
      </c>
      <c r="W13" s="750">
        <f t="shared" si="2"/>
        <v>100</v>
      </c>
      <c r="X13" s="751"/>
      <c r="Y13" s="2861"/>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8"/>
      <c r="Q14" s="1888">
        <f t="shared" si="6"/>
        <v>111</v>
      </c>
      <c r="R14" s="749" t="s">
        <v>28</v>
      </c>
      <c r="S14" s="750">
        <f t="shared" si="0"/>
        <v>100</v>
      </c>
      <c r="T14" s="749" t="s">
        <v>28</v>
      </c>
      <c r="U14" s="750">
        <f t="shared" si="1"/>
        <v>100</v>
      </c>
      <c r="V14" s="749" t="s">
        <v>28</v>
      </c>
      <c r="W14" s="750">
        <f t="shared" si="2"/>
        <v>100</v>
      </c>
      <c r="X14" s="751"/>
      <c r="Y14" s="2861"/>
      <c r="Z14" s="23">
        <f t="shared" si="7"/>
        <v>111</v>
      </c>
      <c r="AA14" s="752">
        <f t="shared" si="3"/>
        <v>1</v>
      </c>
      <c r="AB14" s="752">
        <f t="shared" si="4"/>
        <v>1</v>
      </c>
      <c r="AC14" s="752">
        <f t="shared" si="5"/>
        <v>1</v>
      </c>
    </row>
    <row r="15" spans="1:29" ht="109.5" customHeight="1">
      <c r="A15" s="419" t="s">
        <v>2364</v>
      </c>
      <c r="B15" s="26" t="s">
        <v>1740</v>
      </c>
      <c r="C15" s="2403" t="str">
        <f>估价对象房地状况!C3</f>
        <v>周边有玉泉路16号院、莲玉嘉园、重聚园、依翠园、诗景长安等居住社区，综合评价居住社区成熟度较好。</v>
      </c>
      <c r="D15" s="420">
        <v>100</v>
      </c>
      <c r="E15" s="2761" t="s">
        <v>2919</v>
      </c>
      <c r="F15" s="422">
        <f>SUMIF(76:76,E16,77:77)-SUMIF(76:76,C16,77:77)+100</f>
        <v>100</v>
      </c>
      <c r="G15" s="2761" t="s">
        <v>2919</v>
      </c>
      <c r="H15" s="420">
        <f>SUMIF(76:76,G16,77:77)-SUMIF(76:76,C16,77:77)+100</f>
        <v>100</v>
      </c>
      <c r="I15" s="2761" t="s">
        <v>2919</v>
      </c>
      <c r="J15" s="420">
        <f>SUMIF(76:76,I16,77:77)-SUMIF(76:76,C16,77:77)+100</f>
        <v>100</v>
      </c>
      <c r="K15" s="424"/>
      <c r="L15" s="1253"/>
      <c r="M15" s="1244"/>
      <c r="N15" s="1244"/>
      <c r="O15" s="1244"/>
      <c r="P15" s="3036" t="s">
        <v>2365</v>
      </c>
      <c r="Q15" s="1900" t="str">
        <f t="shared" si="6"/>
        <v>居住社区成熟度</v>
      </c>
      <c r="R15" s="753" t="s">
        <v>28</v>
      </c>
      <c r="S15" s="754">
        <f t="shared" si="0"/>
        <v>100</v>
      </c>
      <c r="T15" s="753" t="s">
        <v>28</v>
      </c>
      <c r="U15" s="754">
        <f t="shared" si="1"/>
        <v>100</v>
      </c>
      <c r="V15" s="753" t="s">
        <v>28</v>
      </c>
      <c r="W15" s="754">
        <f t="shared" si="2"/>
        <v>100</v>
      </c>
      <c r="X15" s="1901"/>
      <c r="Y15" s="3038" t="s">
        <v>2365</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37"/>
      <c r="Q16" s="1900"/>
      <c r="R16" s="753"/>
      <c r="S16" s="754"/>
      <c r="T16" s="753"/>
      <c r="U16" s="754"/>
      <c r="V16" s="753"/>
      <c r="W16" s="754"/>
      <c r="X16" s="1901"/>
      <c r="Y16" s="3039"/>
      <c r="Z16" s="1903"/>
      <c r="AA16" s="1904">
        <v>1</v>
      </c>
      <c r="AB16" s="1904">
        <v>1</v>
      </c>
      <c r="AC16" s="1904">
        <v>1</v>
      </c>
    </row>
    <row r="17" spans="1:29" ht="104.25" customHeight="1">
      <c r="A17" s="408"/>
      <c r="B17" s="431" t="s">
        <v>1749</v>
      </c>
      <c r="C17" s="2406" t="str">
        <f>估价对象房地状况!C6</f>
        <v>估价对象紧邻城市次干道—鲁谷路，有308路、546路、597路等10余条公交线路及地铁1号线八宝山站通过，交通便捷度较好。</v>
      </c>
      <c r="D17" s="430">
        <v>100</v>
      </c>
      <c r="E17" s="2762" t="s">
        <v>2916</v>
      </c>
      <c r="F17" s="433">
        <f>SUMIF(78:78,E18,79:79)-SUMIF(78:78,C18,79:79)+100</f>
        <v>100</v>
      </c>
      <c r="G17" s="2762" t="s">
        <v>2916</v>
      </c>
      <c r="H17" s="435">
        <f>SUMIF(78:78,G18,79:79)-SUMIF(78:78,C18,79:79)+100</f>
        <v>100</v>
      </c>
      <c r="I17" s="2762" t="s">
        <v>2916</v>
      </c>
      <c r="J17" s="435">
        <f>SUMIF(78:78,I18,79:79)-SUMIF(78:78,C18,79:79)+100</f>
        <v>100</v>
      </c>
      <c r="K17" s="424"/>
      <c r="L17" s="1253"/>
      <c r="M17" s="1244"/>
      <c r="N17" s="1244"/>
      <c r="O17" s="1244"/>
      <c r="P17" s="3037"/>
      <c r="Q17" s="1900" t="str">
        <f>B17</f>
        <v>交通便捷度</v>
      </c>
      <c r="R17" s="753" t="s">
        <v>28</v>
      </c>
      <c r="S17" s="754">
        <f>F17</f>
        <v>100</v>
      </c>
      <c r="T17" s="753" t="s">
        <v>28</v>
      </c>
      <c r="U17" s="754">
        <f>H17</f>
        <v>100</v>
      </c>
      <c r="V17" s="753" t="s">
        <v>28</v>
      </c>
      <c r="W17" s="754">
        <f>J17</f>
        <v>100</v>
      </c>
      <c r="X17" s="1901"/>
      <c r="Y17" s="3039"/>
      <c r="Z17" s="1903" t="str">
        <f>Q17</f>
        <v>交通便捷度</v>
      </c>
      <c r="AA17" s="1904">
        <f t="shared" si="3"/>
        <v>1</v>
      </c>
      <c r="AB17" s="1904">
        <f t="shared" si="4"/>
        <v>1</v>
      </c>
      <c r="AC17" s="1904">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37"/>
      <c r="Q18" s="1900"/>
      <c r="R18" s="753"/>
      <c r="S18" s="754"/>
      <c r="T18" s="753"/>
      <c r="U18" s="754"/>
      <c r="V18" s="753"/>
      <c r="W18" s="754"/>
      <c r="X18" s="1901"/>
      <c r="Y18" s="3039"/>
      <c r="Z18" s="1903"/>
      <c r="AA18" s="1904">
        <v>1</v>
      </c>
      <c r="AB18" s="1904">
        <v>1</v>
      </c>
      <c r="AC18" s="1904">
        <v>1</v>
      </c>
    </row>
    <row r="19" spans="1:29" ht="32.25" customHeight="1">
      <c r="A19" s="408"/>
      <c r="B19" s="431" t="s">
        <v>1747</v>
      </c>
      <c r="C19" s="2406" t="str">
        <f>估价对象房地状况!C7</f>
        <v>估价对象所在区域公共配套设施较好</v>
      </c>
      <c r="D19" s="435">
        <v>100</v>
      </c>
      <c r="E19" s="2762" t="s">
        <v>2921</v>
      </c>
      <c r="F19" s="439">
        <f>SUMIF(80:80,E20,81:81)-SUMIF(80:80,C20,81:81)+100</f>
        <v>100</v>
      </c>
      <c r="G19" s="2762" t="s">
        <v>2921</v>
      </c>
      <c r="H19" s="430">
        <f>SUMIF(80:80,G20,81:81)-SUMIF(80:80,C20,81:81)+100</f>
        <v>100</v>
      </c>
      <c r="I19" s="2762" t="s">
        <v>2921</v>
      </c>
      <c r="J19" s="430">
        <f>SUMIF(80:80,I20,81:81)-SUMIF(80:80,C20,81:81)+100</f>
        <v>100</v>
      </c>
      <c r="K19" s="424"/>
      <c r="L19" s="1253"/>
      <c r="M19" s="1244"/>
      <c r="N19" s="1244"/>
      <c r="O19" s="1244"/>
      <c r="P19" s="3037"/>
      <c r="Q19" s="1900" t="str">
        <f>B19</f>
        <v>公共配套设施</v>
      </c>
      <c r="R19" s="753" t="s">
        <v>28</v>
      </c>
      <c r="S19" s="754">
        <f>F19</f>
        <v>100</v>
      </c>
      <c r="T19" s="753" t="s">
        <v>28</v>
      </c>
      <c r="U19" s="754">
        <f>H19</f>
        <v>100</v>
      </c>
      <c r="V19" s="753" t="s">
        <v>28</v>
      </c>
      <c r="W19" s="754">
        <f>J19</f>
        <v>100</v>
      </c>
      <c r="X19" s="1901"/>
      <c r="Y19" s="3039"/>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37"/>
      <c r="Q20" s="1900"/>
      <c r="R20" s="753"/>
      <c r="S20" s="754"/>
      <c r="T20" s="753"/>
      <c r="U20" s="754"/>
      <c r="V20" s="753"/>
      <c r="W20" s="754"/>
      <c r="X20" s="1901"/>
      <c r="Y20" s="3039"/>
      <c r="Z20" s="1903"/>
      <c r="AA20" s="1904">
        <v>1</v>
      </c>
      <c r="AB20" s="1904">
        <v>1</v>
      </c>
      <c r="AC20" s="1904">
        <v>1</v>
      </c>
    </row>
    <row r="21" spans="1:29" ht="15">
      <c r="A21" s="408"/>
      <c r="B21" s="2408" t="s">
        <v>1750</v>
      </c>
      <c r="C21" s="2406" t="str">
        <f>估价对象房地状况!C8</f>
        <v>七通一平</v>
      </c>
      <c r="D21" s="435">
        <v>100</v>
      </c>
      <c r="E21" s="2762" t="s">
        <v>2922</v>
      </c>
      <c r="F21" s="439">
        <f>SUMIF(82:82,E22,83:83)-SUMIF(82:82,C22,83:83)+100</f>
        <v>100</v>
      </c>
      <c r="G21" s="2762" t="s">
        <v>2922</v>
      </c>
      <c r="H21" s="430">
        <f>SUMIF(82:82,G22,83:83)-SUMIF(82:82,C22,83:83)+100</f>
        <v>100</v>
      </c>
      <c r="I21" s="2762" t="s">
        <v>2922</v>
      </c>
      <c r="J21" s="430">
        <f>SUMIF(82:82,I22,83:83)-SUMIF(82:82,C22,83:83)+100</f>
        <v>100</v>
      </c>
      <c r="K21" s="424"/>
      <c r="L21" s="1253"/>
      <c r="M21" s="1244"/>
      <c r="N21" s="1244"/>
      <c r="O21" s="1244"/>
      <c r="P21" s="3037"/>
      <c r="Q21" s="1900" t="str">
        <f>B21</f>
        <v>基础设施水平</v>
      </c>
      <c r="R21" s="753" t="s">
        <v>28</v>
      </c>
      <c r="S21" s="754">
        <f>F21</f>
        <v>100</v>
      </c>
      <c r="T21" s="753" t="s">
        <v>28</v>
      </c>
      <c r="U21" s="754">
        <f>H21</f>
        <v>100</v>
      </c>
      <c r="V21" s="753" t="s">
        <v>28</v>
      </c>
      <c r="W21" s="754">
        <f>J21</f>
        <v>100</v>
      </c>
      <c r="X21" s="1901"/>
      <c r="Y21" s="3039"/>
      <c r="Z21" s="1903" t="str">
        <f>Q21</f>
        <v>基础设施水平</v>
      </c>
      <c r="AA21" s="1904">
        <f t="shared" ref="AA21" si="8">D21/F21</f>
        <v>1</v>
      </c>
      <c r="AB21" s="1904">
        <f t="shared" ref="AB21" si="9">D21/H21</f>
        <v>1</v>
      </c>
      <c r="AC21" s="1904">
        <f t="shared" ref="AC21" si="10">D21/J21</f>
        <v>1</v>
      </c>
    </row>
    <row r="22" spans="1:29" ht="15">
      <c r="A22" s="408"/>
      <c r="B22" s="2408"/>
      <c r="C22" s="437" t="s">
        <v>2820</v>
      </c>
      <c r="D22" s="427"/>
      <c r="E22" s="426" t="s">
        <v>2820</v>
      </c>
      <c r="F22" s="429"/>
      <c r="G22" s="426" t="s">
        <v>2820</v>
      </c>
      <c r="H22" s="427"/>
      <c r="I22" s="426" t="s">
        <v>2820</v>
      </c>
      <c r="J22" s="427"/>
      <c r="K22" s="2409"/>
      <c r="L22" s="1253"/>
      <c r="M22" s="1244"/>
      <c r="N22" s="1244"/>
      <c r="O22" s="1244"/>
      <c r="P22" s="3037"/>
      <c r="Q22" s="1900"/>
      <c r="R22" s="753"/>
      <c r="S22" s="754"/>
      <c r="T22" s="753"/>
      <c r="U22" s="754"/>
      <c r="V22" s="753"/>
      <c r="W22" s="754"/>
      <c r="X22" s="1901"/>
      <c r="Y22" s="3039"/>
      <c r="Z22" s="1903"/>
      <c r="AA22" s="1904">
        <v>1</v>
      </c>
      <c r="AB22" s="1904">
        <v>1</v>
      </c>
      <c r="AC22" s="1904">
        <v>1</v>
      </c>
    </row>
    <row r="23" spans="1:29" ht="111" customHeight="1">
      <c r="A23" s="408"/>
      <c r="B23" s="431" t="s">
        <v>1754</v>
      </c>
      <c r="C23" s="2406" t="str">
        <f>估价对象房地状况!C9</f>
        <v>自然环境：北京国际雕塑公园、老山城市休闲公园、莲花河等；人文环境：中国科学院大学等；综合评价环境状况较好。</v>
      </c>
      <c r="D23" s="430">
        <v>100</v>
      </c>
      <c r="E23" s="2763" t="s">
        <v>2923</v>
      </c>
      <c r="F23" s="433">
        <f>SUMIF(84:84,E24,85:85)-SUMIF(84:84,C24,85:85)+100</f>
        <v>100</v>
      </c>
      <c r="G23" s="2763" t="s">
        <v>2923</v>
      </c>
      <c r="H23" s="430">
        <f>SUMIF(84:84,G24,85:85)-SUMIF(84:84,C24,85:85)+100</f>
        <v>100</v>
      </c>
      <c r="I23" s="2763" t="s">
        <v>2923</v>
      </c>
      <c r="J23" s="430">
        <f>SUMIF(84:84,I24,85:85)-SUMIF(84:84,C24,85:85)+100</f>
        <v>100</v>
      </c>
      <c r="K23" s="2760">
        <v>1</v>
      </c>
      <c r="L23" s="1253"/>
      <c r="M23" s="1244"/>
      <c r="N23" s="1244"/>
      <c r="O23" s="1244"/>
      <c r="P23" s="3037"/>
      <c r="Q23" s="1900" t="str">
        <f>B23</f>
        <v>自然及人文环境</v>
      </c>
      <c r="R23" s="753" t="s">
        <v>28</v>
      </c>
      <c r="S23" s="754">
        <f>F23</f>
        <v>100</v>
      </c>
      <c r="T23" s="753" t="s">
        <v>28</v>
      </c>
      <c r="U23" s="754">
        <f>H23</f>
        <v>100</v>
      </c>
      <c r="V23" s="753" t="s">
        <v>28</v>
      </c>
      <c r="W23" s="754">
        <f>J23</f>
        <v>100</v>
      </c>
      <c r="X23" s="1901"/>
      <c r="Y23" s="3039"/>
      <c r="Z23" s="1903" t="str">
        <f>Q23</f>
        <v>自然及人文环境</v>
      </c>
      <c r="AA23" s="1904">
        <f t="shared" si="3"/>
        <v>1</v>
      </c>
      <c r="AB23" s="1904">
        <f t="shared" si="4"/>
        <v>1</v>
      </c>
      <c r="AC23" s="1904">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37"/>
      <c r="Q24" s="1900"/>
      <c r="R24" s="753"/>
      <c r="S24" s="754"/>
      <c r="T24" s="753"/>
      <c r="U24" s="754"/>
      <c r="V24" s="753"/>
      <c r="W24" s="754"/>
      <c r="X24" s="1901"/>
      <c r="Y24" s="3039"/>
      <c r="Z24" s="1903"/>
      <c r="AA24" s="1904">
        <v>1</v>
      </c>
      <c r="AB24" s="1904">
        <v>1</v>
      </c>
      <c r="AC24" s="1904">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37"/>
      <c r="Q25" s="1900" t="str">
        <f t="shared" ref="Q25:Q46" si="11">B25</f>
        <v>楼层-1</v>
      </c>
      <c r="R25" s="753" t="s">
        <v>28</v>
      </c>
      <c r="S25" s="754">
        <f>F25</f>
        <v>100</v>
      </c>
      <c r="T25" s="753" t="s">
        <v>28</v>
      </c>
      <c r="U25" s="754">
        <f>H25</f>
        <v>100</v>
      </c>
      <c r="V25" s="753" t="s">
        <v>28</v>
      </c>
      <c r="W25" s="754">
        <f>J25</f>
        <v>100</v>
      </c>
      <c r="X25" s="1901"/>
      <c r="Y25" s="3039"/>
      <c r="Z25" s="1903" t="str">
        <f>Q25</f>
        <v>楼层-1</v>
      </c>
      <c r="AA25" s="1904">
        <f t="shared" si="3"/>
        <v>1</v>
      </c>
      <c r="AB25" s="1904">
        <f t="shared" si="4"/>
        <v>1</v>
      </c>
      <c r="AC25" s="1904">
        <f t="shared" si="5"/>
        <v>1</v>
      </c>
    </row>
    <row r="26" spans="1:29" ht="15">
      <c r="A26" s="408"/>
      <c r="B26" s="402" t="s">
        <v>2367</v>
      </c>
      <c r="C26" s="441" t="s">
        <v>2903</v>
      </c>
      <c r="D26" s="415">
        <v>100</v>
      </c>
      <c r="E26" s="441" t="s">
        <v>2903</v>
      </c>
      <c r="F26" s="442">
        <f>SUMIF(88:88,E26,89:89)-SUMIF(88:88,C26,89:89)+100</f>
        <v>100</v>
      </c>
      <c r="G26" s="441" t="s">
        <v>2903</v>
      </c>
      <c r="H26" s="415">
        <f>SUMIF(88:88,G26,89:89)-SUMIF(88:88,C26,89:89)+100</f>
        <v>100</v>
      </c>
      <c r="I26" s="2759" t="s">
        <v>2900</v>
      </c>
      <c r="J26" s="415">
        <f>SUMIF(88:88,I26,89:89)-SUMIF(88:88,C26,89:89)+100</f>
        <v>97</v>
      </c>
      <c r="K26" s="406">
        <v>3</v>
      </c>
      <c r="L26" s="1253"/>
      <c r="M26" s="1244"/>
      <c r="N26" s="1244"/>
      <c r="O26" s="1244"/>
      <c r="P26" s="3037"/>
      <c r="Q26" s="1900" t="str">
        <f t="shared" si="11"/>
        <v>朝向</v>
      </c>
      <c r="R26" s="753" t="s">
        <v>28</v>
      </c>
      <c r="S26" s="754">
        <f>F26</f>
        <v>100</v>
      </c>
      <c r="T26" s="753" t="s">
        <v>28</v>
      </c>
      <c r="U26" s="754">
        <f>H26</f>
        <v>100</v>
      </c>
      <c r="V26" s="753" t="s">
        <v>28</v>
      </c>
      <c r="W26" s="754">
        <f>J26</f>
        <v>97</v>
      </c>
      <c r="X26" s="1901"/>
      <c r="Y26" s="3039"/>
      <c r="Z26" s="1903" t="str">
        <f>Q26</f>
        <v>朝向</v>
      </c>
      <c r="AA26" s="1904">
        <f t="shared" si="3"/>
        <v>1</v>
      </c>
      <c r="AB26" s="1904">
        <f t="shared" si="4"/>
        <v>1</v>
      </c>
      <c r="AC26" s="1904">
        <f t="shared" si="5"/>
        <v>1.0309278350515463</v>
      </c>
    </row>
    <row r="27" spans="1:29" s="35" customFormat="1" ht="29.25" customHeight="1">
      <c r="A27" s="411"/>
      <c r="B27" s="2399" t="s">
        <v>2368</v>
      </c>
      <c r="C27" s="2764" t="s">
        <v>2924</v>
      </c>
      <c r="D27" s="427">
        <v>100</v>
      </c>
      <c r="E27" s="2764" t="s">
        <v>2924</v>
      </c>
      <c r="F27" s="429">
        <f>SUMIF(90:90,E27,91:91)-SUMIF(90:90,C27,91:91)+100</f>
        <v>100</v>
      </c>
      <c r="G27" s="2764" t="s">
        <v>2924</v>
      </c>
      <c r="H27" s="427">
        <f>SUMIF(90:90,G27,91:91)-SUMIF(90:90,C27,91:91)+100</f>
        <v>100</v>
      </c>
      <c r="I27" s="2764" t="s">
        <v>2924</v>
      </c>
      <c r="J27" s="415">
        <f>SUMIF(90:90,I27,91:91)-SUMIF(90:90,C27,91:91)+100</f>
        <v>100</v>
      </c>
      <c r="K27" s="2400"/>
      <c r="L27" s="1245"/>
      <c r="M27" s="1246"/>
      <c r="N27" s="1246"/>
      <c r="O27" s="1246"/>
      <c r="P27" s="3037"/>
      <c r="Q27" s="1888" t="str">
        <f t="shared" si="11"/>
        <v>道路级别</v>
      </c>
      <c r="R27" s="749" t="s">
        <v>28</v>
      </c>
      <c r="S27" s="750">
        <f>F27</f>
        <v>100</v>
      </c>
      <c r="T27" s="749" t="s">
        <v>28</v>
      </c>
      <c r="U27" s="750">
        <f>H27</f>
        <v>100</v>
      </c>
      <c r="V27" s="749" t="s">
        <v>28</v>
      </c>
      <c r="W27" s="750">
        <f>J27</f>
        <v>100</v>
      </c>
      <c r="X27" s="751"/>
      <c r="Y27" s="3039"/>
      <c r="Z27" s="23" t="str">
        <f>Q27</f>
        <v>道路级别</v>
      </c>
      <c r="AA27" s="1904">
        <f>D27/F27</f>
        <v>1</v>
      </c>
      <c r="AB27" s="1904">
        <f>D27/H27</f>
        <v>1</v>
      </c>
      <c r="AC27" s="1904">
        <f>D27/J27</f>
        <v>1</v>
      </c>
    </row>
    <row r="28" spans="1:29" ht="15.75" thickBot="1">
      <c r="A28" s="408"/>
      <c r="B28" s="2728" t="s">
        <v>2851</v>
      </c>
      <c r="C28" s="2729" t="s">
        <v>2912</v>
      </c>
      <c r="D28" s="415">
        <v>100</v>
      </c>
      <c r="E28" s="2729" t="s">
        <v>2906</v>
      </c>
      <c r="F28" s="442">
        <f>SUMIF(92:92,E28,93:93)-SUMIF(92:92,C28,93:93)+100</f>
        <v>101</v>
      </c>
      <c r="G28" s="2729" t="s">
        <v>2905</v>
      </c>
      <c r="H28" s="415">
        <f>SUMIF(92:92,G28,93:93)-SUMIF(92:92,C28,93:93)+100</f>
        <v>101</v>
      </c>
      <c r="I28" s="2729" t="s">
        <v>2908</v>
      </c>
      <c r="J28" s="415">
        <f>SUMIF(92:92,I28,93:93)-SUMIF(92:92,C28,93:93)+100</f>
        <v>101</v>
      </c>
      <c r="K28" s="2400"/>
      <c r="L28" s="1253"/>
      <c r="M28" s="1244"/>
      <c r="N28" s="1244"/>
      <c r="O28" s="1244"/>
      <c r="P28" s="3037"/>
      <c r="Q28" s="1900" t="str">
        <f t="shared" si="11"/>
        <v>楼层</v>
      </c>
      <c r="R28" s="753" t="s">
        <v>28</v>
      </c>
      <c r="S28" s="754">
        <f t="shared" ref="S28:S46" si="12">F28</f>
        <v>101</v>
      </c>
      <c r="T28" s="753" t="s">
        <v>28</v>
      </c>
      <c r="U28" s="754">
        <f t="shared" ref="U28:U46" si="13">H28</f>
        <v>101</v>
      </c>
      <c r="V28" s="753" t="s">
        <v>28</v>
      </c>
      <c r="W28" s="754">
        <f t="shared" ref="W28:W46" si="14">J28</f>
        <v>101</v>
      </c>
      <c r="X28" s="1901"/>
      <c r="Y28" s="3039"/>
      <c r="Z28" s="1903" t="str">
        <f t="shared" ref="Z28:Z46" si="15">Q28</f>
        <v>楼层</v>
      </c>
      <c r="AA28" s="1904">
        <f t="shared" si="3"/>
        <v>0.99009900990099009</v>
      </c>
      <c r="AB28" s="1904">
        <f t="shared" si="4"/>
        <v>0.99009900990099009</v>
      </c>
      <c r="AC28" s="1904">
        <f t="shared" si="5"/>
        <v>0.99009900990099009</v>
      </c>
    </row>
    <row r="29" spans="1:29" ht="15.75" hidden="1" thickBot="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37"/>
      <c r="Q29" s="1900">
        <f t="shared" si="11"/>
        <v>111</v>
      </c>
      <c r="R29" s="753" t="s">
        <v>28</v>
      </c>
      <c r="S29" s="754">
        <f t="shared" si="12"/>
        <v>100</v>
      </c>
      <c r="T29" s="753" t="s">
        <v>28</v>
      </c>
      <c r="U29" s="754">
        <f t="shared" si="13"/>
        <v>100</v>
      </c>
      <c r="V29" s="753" t="s">
        <v>28</v>
      </c>
      <c r="W29" s="754">
        <f t="shared" si="14"/>
        <v>100</v>
      </c>
      <c r="X29" s="1901"/>
      <c r="Y29" s="3039"/>
      <c r="Z29" s="1903">
        <f t="shared" si="15"/>
        <v>111</v>
      </c>
      <c r="AA29" s="1904">
        <f t="shared" si="3"/>
        <v>1</v>
      </c>
      <c r="AB29" s="1904">
        <f t="shared" si="4"/>
        <v>1</v>
      </c>
      <c r="AC29" s="1904">
        <f t="shared" si="5"/>
        <v>1</v>
      </c>
    </row>
    <row r="30" spans="1:29" ht="15.75" hidden="1" thickBot="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37"/>
      <c r="Q30" s="1900">
        <f t="shared" si="11"/>
        <v>111</v>
      </c>
      <c r="R30" s="753" t="s">
        <v>28</v>
      </c>
      <c r="S30" s="754">
        <f t="shared" si="12"/>
        <v>100</v>
      </c>
      <c r="T30" s="753" t="s">
        <v>28</v>
      </c>
      <c r="U30" s="754">
        <f t="shared" si="13"/>
        <v>100</v>
      </c>
      <c r="V30" s="753" t="s">
        <v>28</v>
      </c>
      <c r="W30" s="754">
        <f t="shared" si="14"/>
        <v>100</v>
      </c>
      <c r="X30" s="1901"/>
      <c r="Y30" s="3039"/>
      <c r="Z30" s="1903">
        <f t="shared" si="15"/>
        <v>111</v>
      </c>
      <c r="AA30" s="1904">
        <f t="shared" si="3"/>
        <v>1</v>
      </c>
      <c r="AB30" s="1904">
        <f t="shared" si="4"/>
        <v>1</v>
      </c>
      <c r="AC30" s="1904">
        <f t="shared" si="5"/>
        <v>1</v>
      </c>
    </row>
    <row r="31" spans="1:29" ht="15.75" hidden="1" thickBot="1">
      <c r="A31" s="416"/>
      <c r="B31" s="2412">
        <v>111</v>
      </c>
      <c r="C31" s="2402"/>
      <c r="D31" s="417">
        <v>100</v>
      </c>
      <c r="E31" s="2402"/>
      <c r="F31" s="442">
        <f>SUMIF(98:98,E31,99:99)-SUMIF(98:98,C31,99:99)+100</f>
        <v>100</v>
      </c>
      <c r="G31" s="2402"/>
      <c r="H31" s="415">
        <f>SUMIF(98:98,G31,99:99)-SUMIF(98:98,C31,99:99)+100</f>
        <v>100</v>
      </c>
      <c r="I31" s="2402"/>
      <c r="J31" s="417">
        <f>SUMIF(98:98,I31,99:99)-SUMIF(98:98,C31,99:99)+100</f>
        <v>100</v>
      </c>
      <c r="K31" s="2400"/>
      <c r="L31" s="1253"/>
      <c r="M31" s="1244"/>
      <c r="N31" s="1244"/>
      <c r="O31" s="1244"/>
      <c r="P31" s="3037"/>
      <c r="Q31" s="1900">
        <f t="shared" si="11"/>
        <v>111</v>
      </c>
      <c r="R31" s="753" t="s">
        <v>28</v>
      </c>
      <c r="S31" s="754">
        <f t="shared" si="12"/>
        <v>100</v>
      </c>
      <c r="T31" s="753" t="s">
        <v>28</v>
      </c>
      <c r="U31" s="754">
        <f t="shared" si="13"/>
        <v>100</v>
      </c>
      <c r="V31" s="753" t="s">
        <v>28</v>
      </c>
      <c r="W31" s="754">
        <f t="shared" si="14"/>
        <v>100</v>
      </c>
      <c r="X31" s="1901"/>
      <c r="Y31" s="3039"/>
      <c r="Z31" s="1903">
        <f t="shared" si="15"/>
        <v>111</v>
      </c>
      <c r="AA31" s="1904">
        <f t="shared" si="3"/>
        <v>1</v>
      </c>
      <c r="AB31" s="1904">
        <f t="shared" si="4"/>
        <v>1</v>
      </c>
      <c r="AC31" s="1904">
        <f t="shared" si="5"/>
        <v>1</v>
      </c>
    </row>
    <row r="32" spans="1:29" ht="15">
      <c r="A32" s="419" t="s">
        <v>2369</v>
      </c>
      <c r="B32" s="28" t="s">
        <v>2370</v>
      </c>
      <c r="C32" s="2413" t="s">
        <v>2894</v>
      </c>
      <c r="D32" s="448">
        <v>100</v>
      </c>
      <c r="E32" s="2413" t="s">
        <v>2894</v>
      </c>
      <c r="F32" s="442">
        <f>SUMIF(100:100,E32,101:101)-SUMIF(100:100,C32,101:101)+100</f>
        <v>100</v>
      </c>
      <c r="G32" s="2413" t="s">
        <v>2894</v>
      </c>
      <c r="H32" s="415">
        <f>SUMIF(100:100,G32,101:101)-SUMIF(100:100,C32,101:101)+100</f>
        <v>100</v>
      </c>
      <c r="I32" s="2413" t="s">
        <v>2894</v>
      </c>
      <c r="J32" s="415">
        <f>SUMIF(100:100,I32,101:101)-SUMIF(100:100,C32,101:101)+100</f>
        <v>100</v>
      </c>
      <c r="K32" s="406">
        <v>1</v>
      </c>
      <c r="L32" s="1253"/>
      <c r="M32" s="1244"/>
      <c r="N32" s="1244"/>
      <c r="O32" s="1244"/>
      <c r="P32" s="3040" t="s">
        <v>2371</v>
      </c>
      <c r="Q32" s="1900" t="str">
        <f t="shared" si="11"/>
        <v>建筑类型</v>
      </c>
      <c r="R32" s="753" t="s">
        <v>28</v>
      </c>
      <c r="S32" s="754">
        <f t="shared" si="12"/>
        <v>100</v>
      </c>
      <c r="T32" s="753" t="s">
        <v>28</v>
      </c>
      <c r="U32" s="754">
        <f t="shared" si="13"/>
        <v>100</v>
      </c>
      <c r="V32" s="753" t="s">
        <v>28</v>
      </c>
      <c r="W32" s="754">
        <f t="shared" si="14"/>
        <v>100</v>
      </c>
      <c r="X32" s="1901"/>
      <c r="Y32" s="3043" t="s">
        <v>2371</v>
      </c>
      <c r="Z32" s="1903" t="str">
        <f t="shared" si="15"/>
        <v>建筑类型</v>
      </c>
      <c r="AA32" s="1904">
        <f t="shared" si="3"/>
        <v>1</v>
      </c>
      <c r="AB32" s="1904">
        <f t="shared" si="4"/>
        <v>1</v>
      </c>
      <c r="AC32" s="1904">
        <f t="shared" si="5"/>
        <v>1</v>
      </c>
    </row>
    <row r="33" spans="1:29" s="452" customFormat="1" ht="15">
      <c r="A33" s="449"/>
      <c r="B33" s="402" t="s">
        <v>2372</v>
      </c>
      <c r="C33" s="450">
        <v>137.41</v>
      </c>
      <c r="D33" s="52">
        <v>100</v>
      </c>
      <c r="E33" s="410">
        <v>163.19999999999999</v>
      </c>
      <c r="F33" s="442">
        <f>LOOKUP(E33,103:103,104:104)-LOOKUP(C33,103:103,104:104)+100</f>
        <v>97</v>
      </c>
      <c r="G33" s="410">
        <v>136.1</v>
      </c>
      <c r="H33" s="415">
        <f>LOOKUP(G33,103:103,104:104)-LOOKUP(C33,103:103,104:104)+100</f>
        <v>100</v>
      </c>
      <c r="I33" s="458">
        <v>147.58000000000001</v>
      </c>
      <c r="J33" s="52">
        <f>LOOKUP(I33,103:103,104:104)-LOOKUP(C33,103:103,104:104)+100</f>
        <v>100</v>
      </c>
      <c r="K33" s="2400"/>
      <c r="L33" s="1251"/>
      <c r="M33" s="1254"/>
      <c r="N33" s="1254"/>
      <c r="O33" s="1254"/>
      <c r="P33" s="3041"/>
      <c r="Q33" s="755" t="str">
        <f t="shared" si="11"/>
        <v>项目建筑规模</v>
      </c>
      <c r="R33" s="756" t="s">
        <v>28</v>
      </c>
      <c r="S33" s="757">
        <f t="shared" si="12"/>
        <v>97</v>
      </c>
      <c r="T33" s="756" t="s">
        <v>28</v>
      </c>
      <c r="U33" s="757">
        <f t="shared" si="13"/>
        <v>100</v>
      </c>
      <c r="V33" s="756" t="s">
        <v>28</v>
      </c>
      <c r="W33" s="757">
        <f t="shared" si="14"/>
        <v>100</v>
      </c>
      <c r="X33" s="758"/>
      <c r="Y33" s="3043"/>
      <c r="Z33" s="759" t="str">
        <f t="shared" si="15"/>
        <v>项目建筑规模</v>
      </c>
      <c r="AA33" s="1904">
        <f t="shared" si="3"/>
        <v>1.0309278350515463</v>
      </c>
      <c r="AB33" s="1904">
        <f t="shared" si="4"/>
        <v>1</v>
      </c>
      <c r="AC33" s="1904">
        <f t="shared" si="5"/>
        <v>1</v>
      </c>
    </row>
    <row r="34" spans="1:29" ht="15">
      <c r="A34" s="453"/>
      <c r="B34" s="402" t="s">
        <v>2373</v>
      </c>
      <c r="C34" s="2414" t="s">
        <v>2895</v>
      </c>
      <c r="D34" s="415">
        <v>100</v>
      </c>
      <c r="E34" s="2414" t="s">
        <v>2895</v>
      </c>
      <c r="F34" s="442">
        <f>SUMIF(105:105,E34,106:106)-SUMIF(105:105,C34,106:106)+100</f>
        <v>100</v>
      </c>
      <c r="G34" s="2414" t="s">
        <v>2895</v>
      </c>
      <c r="H34" s="415">
        <f>SUMIF(105:105,G34,106:106)-SUMIF(105:105,C34,106:106)+100</f>
        <v>100</v>
      </c>
      <c r="I34" s="2414" t="s">
        <v>2895</v>
      </c>
      <c r="J34" s="415">
        <f>SUMIF(105:105,I34,106:106)-SUMIF(105:105,C34,106:106)+100</f>
        <v>100</v>
      </c>
      <c r="K34" s="406">
        <v>1</v>
      </c>
      <c r="L34" s="1253"/>
      <c r="M34" s="1244"/>
      <c r="N34" s="1244"/>
      <c r="O34" s="1244"/>
      <c r="P34" s="3041"/>
      <c r="Q34" s="1900" t="str">
        <f t="shared" si="11"/>
        <v>建筑结构</v>
      </c>
      <c r="R34" s="753" t="s">
        <v>28</v>
      </c>
      <c r="S34" s="754">
        <f t="shared" si="12"/>
        <v>100</v>
      </c>
      <c r="T34" s="753" t="s">
        <v>28</v>
      </c>
      <c r="U34" s="754">
        <f t="shared" si="13"/>
        <v>100</v>
      </c>
      <c r="V34" s="753" t="s">
        <v>28</v>
      </c>
      <c r="W34" s="754">
        <f t="shared" si="14"/>
        <v>100</v>
      </c>
      <c r="X34" s="1901"/>
      <c r="Y34" s="3043"/>
      <c r="Z34" s="1903" t="str">
        <f t="shared" si="15"/>
        <v>建筑结构</v>
      </c>
      <c r="AA34" s="1904">
        <f t="shared" si="3"/>
        <v>1</v>
      </c>
      <c r="AB34" s="1904">
        <f t="shared" si="4"/>
        <v>1</v>
      </c>
      <c r="AC34" s="1904">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41"/>
      <c r="Q35" s="1900" t="str">
        <f t="shared" si="11"/>
        <v>建筑品质</v>
      </c>
      <c r="R35" s="753" t="s">
        <v>28</v>
      </c>
      <c r="S35" s="754">
        <f t="shared" si="12"/>
        <v>100</v>
      </c>
      <c r="T35" s="753" t="s">
        <v>28</v>
      </c>
      <c r="U35" s="754">
        <f t="shared" si="13"/>
        <v>100</v>
      </c>
      <c r="V35" s="753" t="s">
        <v>28</v>
      </c>
      <c r="W35" s="754">
        <f t="shared" si="14"/>
        <v>100</v>
      </c>
      <c r="X35" s="1901"/>
      <c r="Y35" s="3043"/>
      <c r="Z35" s="1903" t="str">
        <f t="shared" si="15"/>
        <v>建筑品质</v>
      </c>
      <c r="AA35" s="1904">
        <f t="shared" si="3"/>
        <v>1</v>
      </c>
      <c r="AB35" s="1904">
        <f t="shared" si="4"/>
        <v>1</v>
      </c>
      <c r="AC35" s="1904">
        <f t="shared" si="5"/>
        <v>1</v>
      </c>
    </row>
    <row r="36" spans="1:29" ht="15" hidden="1">
      <c r="A36" s="453"/>
      <c r="B36" s="402" t="s">
        <v>2375</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41"/>
      <c r="Q36" s="1900" t="str">
        <f t="shared" si="11"/>
        <v>公共部分装修</v>
      </c>
      <c r="R36" s="753" t="s">
        <v>28</v>
      </c>
      <c r="S36" s="754">
        <f t="shared" si="12"/>
        <v>100</v>
      </c>
      <c r="T36" s="753" t="s">
        <v>28</v>
      </c>
      <c r="U36" s="754">
        <f t="shared" si="13"/>
        <v>100</v>
      </c>
      <c r="V36" s="753" t="s">
        <v>28</v>
      </c>
      <c r="W36" s="754">
        <f t="shared" si="14"/>
        <v>100</v>
      </c>
      <c r="X36" s="1901"/>
      <c r="Y36" s="3043"/>
      <c r="Z36" s="1903" t="str">
        <f t="shared" si="15"/>
        <v>公共部分装修</v>
      </c>
      <c r="AA36" s="1904">
        <f t="shared" si="3"/>
        <v>1</v>
      </c>
      <c r="AB36" s="1904">
        <f t="shared" si="4"/>
        <v>1</v>
      </c>
      <c r="AC36" s="1904">
        <f t="shared" si="5"/>
        <v>1</v>
      </c>
    </row>
    <row r="37" spans="1:29" s="35" customFormat="1" ht="15" hidden="1">
      <c r="A37" s="454"/>
      <c r="B37" s="402" t="s">
        <v>2376</v>
      </c>
      <c r="C37" s="455">
        <v>1</v>
      </c>
      <c r="D37" s="52">
        <v>100</v>
      </c>
      <c r="E37" s="456">
        <v>1</v>
      </c>
      <c r="F37" s="405">
        <f>LOOKUP(E37,112:112,113:113)-LOOKUP(C37,112:112,113:113)+100</f>
        <v>100</v>
      </c>
      <c r="G37" s="457">
        <v>1</v>
      </c>
      <c r="H37" s="415">
        <f>LOOKUP(G37,112:112,113:113)-LOOKUP(C37,112:112,113:113)+100</f>
        <v>100</v>
      </c>
      <c r="I37" s="456">
        <v>1</v>
      </c>
      <c r="J37" s="52">
        <f>LOOKUP(I37,112:112,113:113)-LOOKUP(C37,112:112,113:113)+100</f>
        <v>100</v>
      </c>
      <c r="K37" s="406"/>
      <c r="L37" s="1245"/>
      <c r="M37" s="1246"/>
      <c r="N37" s="1246"/>
      <c r="O37" s="1246"/>
      <c r="P37" s="3041"/>
      <c r="Q37" s="1888" t="str">
        <f t="shared" si="11"/>
        <v>成新度</v>
      </c>
      <c r="R37" s="749" t="s">
        <v>28</v>
      </c>
      <c r="S37" s="750">
        <f t="shared" si="12"/>
        <v>100</v>
      </c>
      <c r="T37" s="749" t="s">
        <v>28</v>
      </c>
      <c r="U37" s="750">
        <f t="shared" si="13"/>
        <v>100</v>
      </c>
      <c r="V37" s="749" t="s">
        <v>28</v>
      </c>
      <c r="W37" s="750">
        <f t="shared" si="14"/>
        <v>100</v>
      </c>
      <c r="X37" s="751"/>
      <c r="Y37" s="3043"/>
      <c r="Z37" s="23" t="str">
        <f t="shared" si="15"/>
        <v>成新度</v>
      </c>
      <c r="AA37" s="752">
        <f t="shared" si="3"/>
        <v>1</v>
      </c>
      <c r="AB37" s="752">
        <f t="shared" si="4"/>
        <v>1</v>
      </c>
      <c r="AC37" s="752">
        <f t="shared" si="5"/>
        <v>1</v>
      </c>
    </row>
    <row r="38" spans="1:29" ht="28.5">
      <c r="A38" s="453"/>
      <c r="B38" s="402" t="s">
        <v>2377</v>
      </c>
      <c r="C38" s="2411" t="s">
        <v>2847</v>
      </c>
      <c r="D38" s="415">
        <v>100</v>
      </c>
      <c r="E38" s="2411" t="s">
        <v>2847</v>
      </c>
      <c r="F38" s="442">
        <f>SUMIF(114:114,E38,115:115)-SUMIF(114:114,C38,115:115)+100</f>
        <v>100</v>
      </c>
      <c r="G38" s="2411" t="s">
        <v>2847</v>
      </c>
      <c r="H38" s="415">
        <f>SUMIF(114:114,G38,115:115)-SUMIF(114:114,C38,115:115)+100</f>
        <v>100</v>
      </c>
      <c r="I38" s="2411" t="s">
        <v>2847</v>
      </c>
      <c r="J38" s="415">
        <f>SUMIF(114:114,I38,115:115)-SUMIF(114:114,C38,115:115)+100</f>
        <v>100</v>
      </c>
      <c r="K38" s="406"/>
      <c r="L38" s="1253"/>
      <c r="M38" s="1244"/>
      <c r="N38" s="1244"/>
      <c r="O38" s="1244"/>
      <c r="P38" s="3041" t="s">
        <v>2371</v>
      </c>
      <c r="Q38" s="1900" t="str">
        <f t="shared" si="11"/>
        <v>物业管理</v>
      </c>
      <c r="R38" s="753" t="s">
        <v>28</v>
      </c>
      <c r="S38" s="754">
        <f t="shared" si="12"/>
        <v>100</v>
      </c>
      <c r="T38" s="753" t="s">
        <v>28</v>
      </c>
      <c r="U38" s="754">
        <f t="shared" si="13"/>
        <v>100</v>
      </c>
      <c r="V38" s="753" t="s">
        <v>28</v>
      </c>
      <c r="W38" s="754">
        <f t="shared" si="14"/>
        <v>100</v>
      </c>
      <c r="X38" s="1901"/>
      <c r="Y38" s="3043" t="s">
        <v>2371</v>
      </c>
      <c r="Z38" s="1903" t="str">
        <f t="shared" si="15"/>
        <v>物业管理</v>
      </c>
      <c r="AA38" s="1904">
        <f t="shared" si="3"/>
        <v>1</v>
      </c>
      <c r="AB38" s="1904">
        <f t="shared" si="4"/>
        <v>1</v>
      </c>
      <c r="AC38" s="1904">
        <f t="shared" si="5"/>
        <v>1</v>
      </c>
    </row>
    <row r="39" spans="1:29" ht="15">
      <c r="A39" s="453"/>
      <c r="B39" s="402" t="s">
        <v>2378</v>
      </c>
      <c r="C39" s="2411" t="s">
        <v>2820</v>
      </c>
      <c r="D39" s="415">
        <v>100</v>
      </c>
      <c r="E39" s="2411" t="s">
        <v>2820</v>
      </c>
      <c r="F39" s="442">
        <f>SUMIF(116:116,E39,117:117)-SUMIF(116:116,C39,117:117)+100</f>
        <v>100</v>
      </c>
      <c r="G39" s="2411" t="s">
        <v>2820</v>
      </c>
      <c r="H39" s="415">
        <f>SUMIF(116:116,G39,117:117)-SUMIF(116:116,C39,117:117)+100</f>
        <v>100</v>
      </c>
      <c r="I39" s="2411" t="s">
        <v>2820</v>
      </c>
      <c r="J39" s="415">
        <f>SUMIF(116:116,I39,117:117)-SUMIF(116:116,C39,117:117)+100</f>
        <v>100</v>
      </c>
      <c r="K39" s="406"/>
      <c r="L39" s="1253"/>
      <c r="M39" s="1244"/>
      <c r="N39" s="1244"/>
      <c r="O39" s="1244"/>
      <c r="P39" s="3041"/>
      <c r="Q39" s="1900" t="str">
        <f t="shared" si="11"/>
        <v>市政基础设施</v>
      </c>
      <c r="R39" s="753" t="s">
        <v>28</v>
      </c>
      <c r="S39" s="754">
        <f t="shared" si="12"/>
        <v>100</v>
      </c>
      <c r="T39" s="753" t="s">
        <v>28</v>
      </c>
      <c r="U39" s="754">
        <f t="shared" si="13"/>
        <v>100</v>
      </c>
      <c r="V39" s="753" t="s">
        <v>28</v>
      </c>
      <c r="W39" s="754">
        <f t="shared" si="14"/>
        <v>100</v>
      </c>
      <c r="X39" s="1901"/>
      <c r="Y39" s="3043"/>
      <c r="Z39" s="1903" t="str">
        <f t="shared" si="15"/>
        <v>市政基础设施</v>
      </c>
      <c r="AA39" s="1904">
        <f t="shared" si="3"/>
        <v>1</v>
      </c>
      <c r="AB39" s="1904">
        <f t="shared" si="4"/>
        <v>1</v>
      </c>
      <c r="AC39" s="1904">
        <f t="shared" si="5"/>
        <v>1</v>
      </c>
    </row>
    <row r="40" spans="1:29" ht="15">
      <c r="A40" s="453"/>
      <c r="B40" s="402" t="s">
        <v>2379</v>
      </c>
      <c r="C40" s="2411" t="s">
        <v>2848</v>
      </c>
      <c r="D40" s="415">
        <v>100</v>
      </c>
      <c r="E40" s="2411" t="s">
        <v>2848</v>
      </c>
      <c r="F40" s="442">
        <f>SUMIF(118:118,E40,119:119)-SUMIF(118:118,C40,119:119)+100</f>
        <v>100</v>
      </c>
      <c r="G40" s="2411" t="s">
        <v>2848</v>
      </c>
      <c r="H40" s="415">
        <f>SUMIF(118:118,G40,119:119)-SUMIF(118:118,C40,119:119)+100</f>
        <v>100</v>
      </c>
      <c r="I40" s="2411" t="s">
        <v>2848</v>
      </c>
      <c r="J40" s="415">
        <f>SUMIF(118:118,I40,119:119)-SUMIF(118:118,C40,119:119)+100</f>
        <v>100</v>
      </c>
      <c r="K40" s="406"/>
      <c r="L40" s="1253"/>
      <c r="M40" s="1244"/>
      <c r="N40" s="1244"/>
      <c r="O40" s="1244"/>
      <c r="P40" s="3041"/>
      <c r="Q40" s="1900" t="str">
        <f t="shared" si="11"/>
        <v>房型</v>
      </c>
      <c r="R40" s="753" t="s">
        <v>28</v>
      </c>
      <c r="S40" s="754">
        <f t="shared" si="12"/>
        <v>100</v>
      </c>
      <c r="T40" s="753" t="s">
        <v>28</v>
      </c>
      <c r="U40" s="754">
        <f t="shared" si="13"/>
        <v>100</v>
      </c>
      <c r="V40" s="753" t="s">
        <v>28</v>
      </c>
      <c r="W40" s="754">
        <f t="shared" si="14"/>
        <v>100</v>
      </c>
      <c r="X40" s="1901"/>
      <c r="Y40" s="3043"/>
      <c r="Z40" s="1903" t="str">
        <f t="shared" si="15"/>
        <v>房型</v>
      </c>
      <c r="AA40" s="1904">
        <f t="shared" si="3"/>
        <v>1</v>
      </c>
      <c r="AB40" s="1904">
        <f t="shared" si="4"/>
        <v>1</v>
      </c>
      <c r="AC40" s="1904">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1"/>
      <c r="Q41" s="755" t="str">
        <f t="shared" si="11"/>
        <v>单套/主力户型建筑面积</v>
      </c>
      <c r="R41" s="756" t="s">
        <v>28</v>
      </c>
      <c r="S41" s="757">
        <f t="shared" si="12"/>
        <v>100</v>
      </c>
      <c r="T41" s="756" t="s">
        <v>28</v>
      </c>
      <c r="U41" s="757">
        <f t="shared" si="13"/>
        <v>100</v>
      </c>
      <c r="V41" s="756" t="s">
        <v>28</v>
      </c>
      <c r="W41" s="757">
        <f t="shared" si="14"/>
        <v>100</v>
      </c>
      <c r="X41" s="758"/>
      <c r="Y41" s="3043"/>
      <c r="Z41" s="759" t="str">
        <f t="shared" si="15"/>
        <v>单套/主力户型建筑面积</v>
      </c>
      <c r="AA41" s="1904">
        <f t="shared" si="3"/>
        <v>1</v>
      </c>
      <c r="AB41" s="1904">
        <f t="shared" si="4"/>
        <v>1</v>
      </c>
      <c r="AC41" s="1904">
        <f t="shared" si="5"/>
        <v>1</v>
      </c>
    </row>
    <row r="42" spans="1:29" ht="15">
      <c r="A42" s="453"/>
      <c r="B42" s="402" t="s">
        <v>2381</v>
      </c>
      <c r="C42" s="2411" t="s">
        <v>2849</v>
      </c>
      <c r="D42" s="415">
        <v>100</v>
      </c>
      <c r="E42" s="2411" t="s">
        <v>2849</v>
      </c>
      <c r="F42" s="442">
        <f>SUMIF(122:122,E42,123:123)-SUMIF(122:122,C42,123:123)+100</f>
        <v>100</v>
      </c>
      <c r="G42" s="2411" t="s">
        <v>2849</v>
      </c>
      <c r="H42" s="415">
        <f>SUMIF(122:122,G42,123:123)-SUMIF(122:122,C42,123:123)+100</f>
        <v>100</v>
      </c>
      <c r="I42" s="2411" t="s">
        <v>2849</v>
      </c>
      <c r="J42" s="415">
        <f>SUMIF(122:122,I42,123:123)-SUMIF(122:122,C42,123:123)+100</f>
        <v>100</v>
      </c>
      <c r="K42" s="406"/>
      <c r="L42" s="1253"/>
      <c r="M42" s="1244"/>
      <c r="N42" s="1244"/>
      <c r="O42" s="1244"/>
      <c r="P42" s="3041"/>
      <c r="Q42" s="1900" t="str">
        <f t="shared" si="11"/>
        <v>内部装修</v>
      </c>
      <c r="R42" s="753" t="s">
        <v>28</v>
      </c>
      <c r="S42" s="754">
        <f t="shared" si="12"/>
        <v>100</v>
      </c>
      <c r="T42" s="753" t="s">
        <v>28</v>
      </c>
      <c r="U42" s="754">
        <f t="shared" si="13"/>
        <v>100</v>
      </c>
      <c r="V42" s="753" t="s">
        <v>28</v>
      </c>
      <c r="W42" s="754">
        <f t="shared" si="14"/>
        <v>100</v>
      </c>
      <c r="X42" s="1901"/>
      <c r="Y42" s="3043"/>
      <c r="Z42" s="1903" t="str">
        <f t="shared" si="15"/>
        <v>内部装修</v>
      </c>
      <c r="AA42" s="1904">
        <f t="shared" si="3"/>
        <v>1</v>
      </c>
      <c r="AB42" s="1904">
        <f t="shared" si="4"/>
        <v>1</v>
      </c>
      <c r="AC42" s="1904">
        <f t="shared" si="5"/>
        <v>1</v>
      </c>
    </row>
    <row r="43" spans="1:29" ht="15">
      <c r="A43" s="453"/>
      <c r="B43" s="402" t="s">
        <v>2382</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41"/>
      <c r="Q43" s="1900" t="str">
        <f t="shared" si="11"/>
        <v>内部装修维护情况</v>
      </c>
      <c r="R43" s="753" t="s">
        <v>28</v>
      </c>
      <c r="S43" s="754">
        <f t="shared" si="12"/>
        <v>100</v>
      </c>
      <c r="T43" s="753" t="s">
        <v>28</v>
      </c>
      <c r="U43" s="754">
        <f t="shared" si="13"/>
        <v>100</v>
      </c>
      <c r="V43" s="753" t="s">
        <v>28</v>
      </c>
      <c r="W43" s="754">
        <f t="shared" si="14"/>
        <v>100</v>
      </c>
      <c r="X43" s="1901"/>
      <c r="Y43" s="3043"/>
      <c r="Z43" s="1903" t="str">
        <f t="shared" si="15"/>
        <v>内部装修维护情况</v>
      </c>
      <c r="AA43" s="1904">
        <f t="shared" si="3"/>
        <v>1</v>
      </c>
      <c r="AB43" s="1904">
        <f t="shared" si="4"/>
        <v>1</v>
      </c>
      <c r="AC43" s="1904">
        <f t="shared" si="5"/>
        <v>1</v>
      </c>
    </row>
    <row r="44" spans="1:29" s="35" customFormat="1" ht="15.75" thickBot="1">
      <c r="A44" s="454"/>
      <c r="B44" s="2728" t="s">
        <v>2850</v>
      </c>
      <c r="C44" s="450">
        <v>2007</v>
      </c>
      <c r="D44" s="52">
        <v>100</v>
      </c>
      <c r="E44" s="450">
        <v>2006</v>
      </c>
      <c r="F44" s="405">
        <f>SUMIF(126:126,E44,127:127)-SUMIF(126:126,C44,127:127)+100</f>
        <v>99.5</v>
      </c>
      <c r="G44" s="450">
        <v>2007</v>
      </c>
      <c r="H44" s="52">
        <f>SUMIF(126:126,G44,127:127)-SUMIF(126:126,C44,127:127)+100</f>
        <v>100</v>
      </c>
      <c r="I44" s="450">
        <v>2008</v>
      </c>
      <c r="J44" s="52">
        <f>SUMIF(126:126,I44,127:127)-SUMIF(126:126,C44,127:127)+100</f>
        <v>100.5</v>
      </c>
      <c r="K44" s="2400"/>
      <c r="L44" s="1245"/>
      <c r="M44" s="1246"/>
      <c r="N44" s="1246"/>
      <c r="O44" s="1246"/>
      <c r="P44" s="3041"/>
      <c r="Q44" s="1888" t="str">
        <f t="shared" si="11"/>
        <v>建成年代</v>
      </c>
      <c r="R44" s="749" t="s">
        <v>28</v>
      </c>
      <c r="S44" s="750">
        <f t="shared" si="12"/>
        <v>99.5</v>
      </c>
      <c r="T44" s="749" t="s">
        <v>28</v>
      </c>
      <c r="U44" s="750">
        <f t="shared" si="13"/>
        <v>100</v>
      </c>
      <c r="V44" s="749" t="s">
        <v>28</v>
      </c>
      <c r="W44" s="750">
        <f t="shared" si="14"/>
        <v>100.5</v>
      </c>
      <c r="X44" s="751"/>
      <c r="Y44" s="3043"/>
      <c r="Z44" s="23" t="str">
        <f t="shared" si="15"/>
        <v>建成年代</v>
      </c>
      <c r="AA44" s="752">
        <f t="shared" si="3"/>
        <v>1.0050251256281406</v>
      </c>
      <c r="AB44" s="752">
        <f t="shared" si="4"/>
        <v>1</v>
      </c>
      <c r="AC44" s="752">
        <f t="shared" si="5"/>
        <v>0.99502487562189057</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1"/>
      <c r="Q45" s="1900">
        <f t="shared" si="11"/>
        <v>111</v>
      </c>
      <c r="R45" s="753" t="s">
        <v>28</v>
      </c>
      <c r="S45" s="754">
        <f t="shared" si="12"/>
        <v>100</v>
      </c>
      <c r="T45" s="753" t="s">
        <v>28</v>
      </c>
      <c r="U45" s="754">
        <f t="shared" si="13"/>
        <v>100</v>
      </c>
      <c r="V45" s="753" t="s">
        <v>28</v>
      </c>
      <c r="W45" s="754">
        <f t="shared" si="14"/>
        <v>100</v>
      </c>
      <c r="X45" s="1901"/>
      <c r="Y45" s="3043"/>
      <c r="Z45" s="1903">
        <f t="shared" si="15"/>
        <v>111</v>
      </c>
      <c r="AA45" s="1904">
        <f t="shared" si="3"/>
        <v>1</v>
      </c>
      <c r="AB45" s="1904">
        <f t="shared" si="4"/>
        <v>1</v>
      </c>
      <c r="AC45" s="1904">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2"/>
      <c r="Q46" s="1900">
        <f t="shared" si="11"/>
        <v>111</v>
      </c>
      <c r="R46" s="753" t="s">
        <v>27</v>
      </c>
      <c r="S46" s="754">
        <f t="shared" si="12"/>
        <v>100</v>
      </c>
      <c r="T46" s="753" t="s">
        <v>27</v>
      </c>
      <c r="U46" s="754">
        <f t="shared" si="13"/>
        <v>100</v>
      </c>
      <c r="V46" s="753" t="s">
        <v>27</v>
      </c>
      <c r="W46" s="754">
        <f t="shared" si="14"/>
        <v>100</v>
      </c>
      <c r="X46" s="1901"/>
      <c r="Y46" s="3044"/>
      <c r="Z46" s="1903">
        <f t="shared" si="15"/>
        <v>111</v>
      </c>
      <c r="AA46" s="1904">
        <f t="shared" si="3"/>
        <v>1</v>
      </c>
      <c r="AB46" s="1904">
        <f t="shared" si="4"/>
        <v>1</v>
      </c>
      <c r="AC46" s="1904">
        <f t="shared" si="5"/>
        <v>1</v>
      </c>
    </row>
    <row r="47" spans="1:29" ht="15">
      <c r="A47" s="460" t="s">
        <v>2383</v>
      </c>
      <c r="B47" s="461"/>
      <c r="C47" s="1502" t="s">
        <v>26</v>
      </c>
      <c r="D47" s="1503"/>
      <c r="E47" s="1504">
        <v>73530</v>
      </c>
      <c r="F47" s="1505"/>
      <c r="G47" s="1506">
        <v>76782</v>
      </c>
      <c r="H47" s="1507"/>
      <c r="I47" s="1504">
        <v>74536</v>
      </c>
      <c r="J47" s="1507"/>
      <c r="K47" s="2416"/>
      <c r="L47" s="1256"/>
      <c r="M47" s="1257"/>
      <c r="N47" s="1244"/>
      <c r="O47" s="1257"/>
      <c r="P47" s="3035" t="str">
        <f>A47</f>
        <v>成交单价（元/平方米）</v>
      </c>
      <c r="Q47" s="3035"/>
      <c r="R47" s="3031">
        <f>E47</f>
        <v>73530</v>
      </c>
      <c r="S47" s="3031"/>
      <c r="T47" s="3031">
        <f>G47</f>
        <v>76782</v>
      </c>
      <c r="U47" s="3031"/>
      <c r="V47" s="3031">
        <f>I47</f>
        <v>74536</v>
      </c>
      <c r="W47" s="3031"/>
      <c r="X47" s="738"/>
      <c r="Y47" s="760"/>
      <c r="Z47" s="738"/>
      <c r="AA47" s="738"/>
      <c r="AB47" s="738"/>
      <c r="AC47" s="738"/>
    </row>
    <row r="48" spans="1:29" ht="15.75" thickBot="1">
      <c r="A48" s="467" t="s">
        <v>2384</v>
      </c>
      <c r="B48" s="468"/>
      <c r="C48" s="1508">
        <f>R49</f>
        <v>74968</v>
      </c>
      <c r="D48" s="1509"/>
      <c r="E48" s="1510">
        <f>R48</f>
        <v>74684</v>
      </c>
      <c r="F48" s="1510"/>
      <c r="G48" s="1508">
        <f>T48</f>
        <v>75269</v>
      </c>
      <c r="H48" s="1509"/>
      <c r="I48" s="1510">
        <f>V48</f>
        <v>74952</v>
      </c>
      <c r="J48" s="1509"/>
      <c r="K48" s="2417"/>
      <c r="L48" s="1256"/>
      <c r="M48" s="1257"/>
      <c r="N48" s="1257"/>
      <c r="O48" s="1257"/>
      <c r="P48" s="3035" t="str">
        <f>A48</f>
        <v>比较价值（元/平方米）</v>
      </c>
      <c r="Q48" s="3035"/>
      <c r="R48" s="3031">
        <f>IF(E1="售价",ROUND(PRODUCT(R47,AA7:AA46),0),ROUND(PRODUCT(R47,AA7:AA46),1))</f>
        <v>74684</v>
      </c>
      <c r="S48" s="3031"/>
      <c r="T48" s="3029">
        <f>IF(E1="售价",ROUND(PRODUCT(T47,AB7:AB46),0),ROUND(PRODUCT(T47,AB7:AB46),1))</f>
        <v>75269</v>
      </c>
      <c r="U48" s="3030"/>
      <c r="V48" s="3031">
        <f>IF(E1="售价",ROUND(PRODUCT(V47,AC7:AC46),0),ROUND(PRODUCT(V47,AC7:AC46),1))</f>
        <v>74952</v>
      </c>
      <c r="W48" s="3031"/>
      <c r="X48" s="738"/>
      <c r="Y48" s="738"/>
      <c r="Z48" s="738"/>
      <c r="AA48" s="738"/>
      <c r="AB48" s="738"/>
      <c r="AC48" s="738"/>
    </row>
    <row r="49" spans="1:29" ht="15.75" thickBot="1">
      <c r="A49" s="473" t="s">
        <v>2385</v>
      </c>
      <c r="B49" s="474"/>
      <c r="C49" s="1511">
        <f>R49</f>
        <v>74968</v>
      </c>
      <c r="D49" s="1512"/>
      <c r="E49" s="1512"/>
      <c r="F49" s="1512"/>
      <c r="G49" s="1512"/>
      <c r="H49" s="1512"/>
      <c r="I49" s="1512"/>
      <c r="J49" s="1512"/>
      <c r="K49" s="2418"/>
      <c r="L49" s="1256"/>
      <c r="M49" s="1257"/>
      <c r="N49" s="1257"/>
      <c r="O49" s="1257"/>
      <c r="P49" s="3032" t="str">
        <f>A49</f>
        <v>估价对象XX用房的比较价值（楼面单价，元/平方米）</v>
      </c>
      <c r="Q49" s="3033"/>
      <c r="R49" s="3034">
        <f>IF(E1="售价",ROUND(AVERAGE(R48:V48),0),ROUND(AVERAGE(R48:V48),1))</f>
        <v>74968</v>
      </c>
      <c r="S49" s="3034"/>
      <c r="T49" s="3034"/>
      <c r="U49" s="3034"/>
      <c r="V49" s="3034"/>
      <c r="W49" s="303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1.5694274445804401E-2</v>
      </c>
      <c r="F52" s="481" t="str">
        <f>IF(OR(E52&gt;=0.3,E52&lt;=-0.3),"超过30%","")</f>
        <v/>
      </c>
      <c r="G52" s="480">
        <f>IF(G47&lt;G48,G48/G47-1,G47/G48-1)</f>
        <v>2.0101236896996166E-2</v>
      </c>
      <c r="H52" s="481" t="str">
        <f>IF(OR(G52&gt;=0.3,G52&lt;=-0.3),"超过30%","")</f>
        <v/>
      </c>
      <c r="I52" s="480">
        <f>IF(I47&lt;I48,I48/I47-1,I47/I48-1)</f>
        <v>5.5811956638402993E-3</v>
      </c>
      <c r="J52" s="481" t="str">
        <f>IF(OR(I52&gt;=0.3,I52&lt;=-0.3),"超过30%","")</f>
        <v/>
      </c>
      <c r="K52" s="1262"/>
      <c r="L52" s="1258"/>
      <c r="M52" s="1257"/>
      <c r="N52" s="1257"/>
      <c r="O52" s="1257"/>
    </row>
    <row r="53" spans="1:29" ht="13.5" customHeight="1">
      <c r="A53" s="1257"/>
      <c r="B53" s="1257"/>
      <c r="C53" s="478" t="s">
        <v>2387</v>
      </c>
      <c r="D53" s="482"/>
      <c r="E53" s="480">
        <f>IF(E48&lt;G48,G48/E48-1,E48/G48-1)</f>
        <v>7.8330030528628303E-3</v>
      </c>
      <c r="F53" s="481" t="str">
        <f>IF(OR(E53&gt;=0.2,E53&lt;=-0.2),"超过20%","")</f>
        <v/>
      </c>
      <c r="G53" s="480">
        <f>IF(G48&lt;I48,I48/G48-1,G48/I48-1)</f>
        <v>4.2293734656846382E-3</v>
      </c>
      <c r="H53" s="481" t="str">
        <f>IF(OR(G53&gt;=0.2,G53&lt;=-0.2),"超过20%","")</f>
        <v/>
      </c>
      <c r="I53" s="480">
        <f>IF(I48&lt;E48,E48/I48-1,I48/E48-1)</f>
        <v>3.5884526806277961E-3</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4.4226846185230428E-2</v>
      </c>
      <c r="F54" s="481" t="str">
        <f>IF(OR(E54&gt;=0.3,E54&lt;=-0.3),"超过30%","")</f>
        <v/>
      </c>
      <c r="G54" s="480">
        <f>IF(G47&lt;I47,I47/G47-1,G47/I47-1)</f>
        <v>3.013309005044551E-2</v>
      </c>
      <c r="H54" s="481" t="str">
        <f>IF(OR(G54&gt;=0.3,G54&lt;=-0.3),"超过30%","")</f>
        <v/>
      </c>
      <c r="I54" s="480">
        <f>IF(I47&lt;E47,E47/I47-1,I47/E47-1)</f>
        <v>1.3681490548075548E-2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v>100</v>
      </c>
      <c r="E59" s="493">
        <v>100</v>
      </c>
      <c r="F59" s="493">
        <v>101</v>
      </c>
      <c r="G59" s="493">
        <v>101</v>
      </c>
      <c r="H59" s="493">
        <v>101</v>
      </c>
      <c r="I59" s="493">
        <v>101.5</v>
      </c>
      <c r="J59" s="493">
        <v>101.5</v>
      </c>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111</v>
      </c>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2722" t="s">
        <v>2822</v>
      </c>
      <c r="D88" s="2722" t="s">
        <v>2823</v>
      </c>
      <c r="E88" s="2723" t="s">
        <v>2824</v>
      </c>
      <c r="F88" s="2722" t="s">
        <v>2825</v>
      </c>
      <c r="G88" s="2722" t="s">
        <v>2826</v>
      </c>
      <c r="H88" s="2722" t="s">
        <v>2827</v>
      </c>
      <c r="I88" s="2722" t="s">
        <v>2828</v>
      </c>
      <c r="J88" s="2722" t="s">
        <v>2829</v>
      </c>
      <c r="K88" s="2722" t="s">
        <v>2830</v>
      </c>
      <c r="L88" s="537"/>
      <c r="M88" s="565"/>
      <c r="N88" s="1266"/>
      <c r="O88" s="1266"/>
      <c r="P88" s="2425"/>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8"/>
      <c r="O89" s="1268"/>
      <c r="P89" s="2425"/>
      <c r="Q89" s="485"/>
    </row>
    <row r="90" spans="1:17" s="452" customFormat="1" ht="29.25" customHeight="1" thickTop="1">
      <c r="A90" s="536"/>
      <c r="B90" s="521" t="str">
        <f>B27</f>
        <v>道路级别</v>
      </c>
      <c r="C90" s="2726" t="s">
        <v>2821</v>
      </c>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t="str">
        <f>B28</f>
        <v>楼层</v>
      </c>
      <c r="C92" s="2729" t="s">
        <v>2913</v>
      </c>
      <c r="D92" s="2751" t="s">
        <v>2907</v>
      </c>
      <c r="E92" s="2729" t="s">
        <v>2905</v>
      </c>
      <c r="F92" s="2751" t="s">
        <v>2909</v>
      </c>
      <c r="G92" s="567"/>
      <c r="H92" s="567"/>
      <c r="I92" s="567"/>
      <c r="J92" s="567"/>
      <c r="K92" s="568"/>
      <c r="L92" s="569"/>
      <c r="M92" s="570"/>
      <c r="N92" s="1267"/>
      <c r="O92" s="1267"/>
      <c r="P92" s="2425"/>
      <c r="Q92" s="485"/>
    </row>
    <row r="93" spans="1:17" ht="15.75" thickBot="1">
      <c r="A93" s="516"/>
      <c r="B93" s="526"/>
      <c r="C93" s="544">
        <v>100</v>
      </c>
      <c r="D93" s="518">
        <v>101</v>
      </c>
      <c r="E93" s="518">
        <v>101</v>
      </c>
      <c r="F93" s="518">
        <v>101</v>
      </c>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2724" t="s">
        <v>2831</v>
      </c>
      <c r="D100" s="2724" t="s">
        <v>2832</v>
      </c>
      <c r="E100" s="2724" t="s">
        <v>2833</v>
      </c>
      <c r="F100" s="2724" t="s">
        <v>2834</v>
      </c>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5"/>
      <c r="Q101" s="485"/>
    </row>
    <row r="102" spans="1:17" ht="15.75" thickTop="1">
      <c r="A102" s="516"/>
      <c r="B102" s="521" t="s">
        <v>2419</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60</v>
      </c>
      <c r="E103" s="579">
        <v>90</v>
      </c>
      <c r="F103" s="579">
        <v>120</v>
      </c>
      <c r="G103" s="579">
        <v>150</v>
      </c>
      <c r="H103" s="579">
        <v>180</v>
      </c>
      <c r="I103" s="579"/>
      <c r="J103" s="580"/>
      <c r="K103" s="580"/>
      <c r="L103" s="581"/>
      <c r="M103" s="582"/>
      <c r="N103" s="1269"/>
      <c r="O103" s="1269"/>
      <c r="P103" s="2426"/>
      <c r="Q103" s="543"/>
    </row>
    <row r="104" spans="1:17" s="452" customFormat="1" ht="15.75" thickBot="1">
      <c r="A104" s="536"/>
      <c r="B104" s="526"/>
      <c r="C104" s="544">
        <v>100</v>
      </c>
      <c r="D104" s="518">
        <v>97</v>
      </c>
      <c r="E104" s="518">
        <v>94</v>
      </c>
      <c r="F104" s="518">
        <v>91</v>
      </c>
      <c r="G104" s="518">
        <v>88</v>
      </c>
      <c r="H104" s="518">
        <v>85</v>
      </c>
      <c r="I104" s="518"/>
      <c r="J104" s="518"/>
      <c r="K104" s="518"/>
      <c r="L104" s="518"/>
      <c r="M104" s="518"/>
      <c r="N104" s="1268"/>
      <c r="O104" s="1268"/>
      <c r="P104" s="2426"/>
      <c r="Q104" s="543"/>
    </row>
    <row r="105" spans="1:17" ht="15" thickTop="1">
      <c r="A105" s="583"/>
      <c r="B105" s="521" t="s">
        <v>2420</v>
      </c>
      <c r="C105" s="2722" t="s">
        <v>2835</v>
      </c>
      <c r="D105" s="2722" t="s">
        <v>2836</v>
      </c>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2722" t="s">
        <v>2837</v>
      </c>
      <c r="D109" s="2722" t="s">
        <v>2838</v>
      </c>
      <c r="E109" s="2722" t="s">
        <v>2839</v>
      </c>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27.75" thickTop="1">
      <c r="A114" s="583"/>
      <c r="B114" s="521" t="s">
        <v>2424</v>
      </c>
      <c r="C114" s="2725" t="s">
        <v>2840</v>
      </c>
      <c r="D114" s="2722" t="s">
        <v>2841</v>
      </c>
      <c r="E114" s="2722" t="s">
        <v>2842</v>
      </c>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2722" t="s">
        <v>2843</v>
      </c>
      <c r="D116" s="2726" t="s">
        <v>2844</v>
      </c>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2727" t="s">
        <v>2845</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2722" t="s">
        <v>2837</v>
      </c>
      <c r="D122" s="2722" t="s">
        <v>2838</v>
      </c>
      <c r="E122" s="2722" t="s">
        <v>2839</v>
      </c>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2005</v>
      </c>
      <c r="D126" s="537">
        <v>2006</v>
      </c>
      <c r="E126" s="537">
        <v>2007</v>
      </c>
      <c r="F126" s="537">
        <v>2008</v>
      </c>
      <c r="G126" s="537"/>
      <c r="H126" s="538"/>
      <c r="I126" s="538"/>
      <c r="J126" s="538"/>
      <c r="K126" s="538"/>
      <c r="L126" s="539"/>
      <c r="M126" s="540"/>
      <c r="N126" s="1269"/>
      <c r="O126" s="1269"/>
      <c r="P126" s="2426"/>
      <c r="Q126" s="543"/>
    </row>
    <row r="127" spans="1:17" s="452" customFormat="1" ht="15.75" thickBot="1">
      <c r="A127" s="536"/>
      <c r="B127" s="526"/>
      <c r="C127" s="544">
        <v>100</v>
      </c>
      <c r="D127" s="518">
        <v>100.5</v>
      </c>
      <c r="E127" s="518">
        <v>101</v>
      </c>
      <c r="F127" s="518">
        <v>101.5</v>
      </c>
      <c r="G127" s="544"/>
      <c r="H127" s="546"/>
      <c r="I127" s="546"/>
      <c r="J127" s="546"/>
      <c r="K127" s="546"/>
      <c r="L127" s="546"/>
      <c r="M127" s="547"/>
      <c r="N127" s="1269"/>
      <c r="O127" s="1269"/>
      <c r="P127" s="2426"/>
      <c r="Q127" s="543"/>
    </row>
    <row r="128" spans="1:17" ht="15.75" thickTop="1" thickBot="1">
      <c r="A128" s="583"/>
      <c r="B128" s="521">
        <f>B45</f>
        <v>111</v>
      </c>
      <c r="C128" s="537"/>
      <c r="D128" s="518">
        <v>100.5</v>
      </c>
      <c r="E128" s="518">
        <v>101</v>
      </c>
      <c r="F128" s="518">
        <v>101.5</v>
      </c>
      <c r="G128" s="567"/>
      <c r="H128" s="567"/>
      <c r="I128" s="567"/>
      <c r="J128" s="567"/>
      <c r="K128" s="568"/>
      <c r="L128" s="569"/>
      <c r="M128" s="570"/>
      <c r="N128" s="1267"/>
      <c r="O128" s="1267"/>
      <c r="P128" s="2425"/>
      <c r="Q128" s="485"/>
    </row>
    <row r="129" spans="1:17" ht="16.5" thickTop="1"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2449</v>
      </c>
      <c r="C1" s="1727"/>
      <c r="D1" s="2452"/>
      <c r="E1" s="2383"/>
      <c r="F1" s="1741" t="s">
        <v>2338</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IF(D2="——",IF(C2="元",ROUND(C49*D3,0),ROUND(C49*D3/10000,0)),IF(C2="元",ROUND(C49*D3,0),ROUND(C49*D3/10000,0))-E2)</f>
        <v>#DIV/0!</v>
      </c>
      <c r="C2" s="163" t="str">
        <f>'数据-取费表'!B3</f>
        <v>元</v>
      </c>
      <c r="D2" s="2385"/>
      <c r="E2" s="2453" t="e">
        <f ca="1">SUMIF(INDIRECT("'"&amp;G2&amp;"'"&amp;"!A:A"),"承租人权益价值",INDIRECT("'"&amp;G2&amp;"'"&amp;"!c:c"))</f>
        <v>#REF!</v>
      </c>
      <c r="F2" s="2386" t="str">
        <f>C2</f>
        <v>元</v>
      </c>
      <c r="G2" s="2387"/>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137.41</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72" t="s">
        <v>2343</v>
      </c>
      <c r="AC4" s="3059" t="s">
        <v>2344</v>
      </c>
    </row>
    <row r="5" spans="1:29" ht="15">
      <c r="A5" s="383"/>
      <c r="B5" s="384"/>
      <c r="C5" s="3077" t="s">
        <v>2347</v>
      </c>
      <c r="D5" s="3048"/>
      <c r="E5" s="3075" t="s">
        <v>2348</v>
      </c>
      <c r="F5" s="3076"/>
      <c r="G5" s="3077" t="s">
        <v>2349</v>
      </c>
      <c r="H5" s="3048"/>
      <c r="I5" s="3077" t="s">
        <v>2350</v>
      </c>
      <c r="J5" s="3048"/>
      <c r="K5" s="594"/>
      <c r="L5" s="1243"/>
      <c r="M5" s="1244"/>
      <c r="N5" s="1244"/>
      <c r="O5" s="1244"/>
      <c r="P5" s="3068"/>
      <c r="Q5" s="3069"/>
      <c r="R5" s="3053"/>
      <c r="S5" s="3054"/>
      <c r="T5" s="3053"/>
      <c r="U5" s="3054"/>
      <c r="V5" s="3072"/>
      <c r="W5" s="3072"/>
      <c r="X5" s="1901"/>
      <c r="Y5" s="3053"/>
      <c r="Z5" s="3054"/>
      <c r="AA5" s="3060"/>
      <c r="AB5" s="3072"/>
      <c r="AC5" s="3060"/>
    </row>
    <row r="6" spans="1:29" ht="15.75" thickBot="1">
      <c r="A6" s="385"/>
      <c r="B6" s="386"/>
      <c r="C6" s="3078" t="s">
        <v>2351</v>
      </c>
      <c r="D6" s="3074"/>
      <c r="E6" s="3079" t="s">
        <v>2351</v>
      </c>
      <c r="F6" s="3046"/>
      <c r="G6" s="3078" t="s">
        <v>2351</v>
      </c>
      <c r="H6" s="3074"/>
      <c r="I6" s="3078" t="s">
        <v>2351</v>
      </c>
      <c r="J6" s="3074"/>
      <c r="K6" s="594" t="s">
        <v>2352</v>
      </c>
      <c r="L6" s="1243"/>
      <c r="M6" s="1244"/>
      <c r="N6" s="1244"/>
      <c r="O6" s="1244"/>
      <c r="P6" s="3070"/>
      <c r="Q6" s="3071"/>
      <c r="R6" s="3053"/>
      <c r="S6" s="3054"/>
      <c r="T6" s="3055"/>
      <c r="U6" s="3056"/>
      <c r="V6" s="3072"/>
      <c r="W6" s="3072"/>
      <c r="X6" s="1901"/>
      <c r="Y6" s="3055"/>
      <c r="Z6" s="3056"/>
      <c r="AA6" s="3061"/>
      <c r="AB6" s="3072"/>
      <c r="AC6" s="3061"/>
    </row>
    <row r="7" spans="1:29" s="35" customFormat="1" ht="15.75" thickBot="1">
      <c r="A7" s="387" t="s">
        <v>2353</v>
      </c>
      <c r="B7" s="388"/>
      <c r="C7" s="389">
        <f>'数据-取费表'!B2</f>
        <v>43083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8"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8"/>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8"/>
      <c r="Q11" s="1888"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8"/>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8"/>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8"/>
      <c r="Q14" s="1888">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71.25">
      <c r="A15" s="419" t="s">
        <v>2364</v>
      </c>
      <c r="B15" s="26" t="s">
        <v>2450</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6" t="s">
        <v>2365</v>
      </c>
      <c r="Q15" s="1900" t="str">
        <f t="shared" si="6"/>
        <v>商业繁华度</v>
      </c>
      <c r="R15" s="753" t="s">
        <v>25</v>
      </c>
      <c r="S15" s="754">
        <f t="shared" si="0"/>
        <v>100</v>
      </c>
      <c r="T15" s="753" t="s">
        <v>25</v>
      </c>
      <c r="U15" s="754">
        <f t="shared" si="1"/>
        <v>100</v>
      </c>
      <c r="V15" s="753" t="s">
        <v>25</v>
      </c>
      <c r="W15" s="754">
        <f t="shared" si="2"/>
        <v>100</v>
      </c>
      <c r="X15" s="1901"/>
      <c r="Y15" s="3038" t="s">
        <v>2365</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37"/>
      <c r="Q16" s="1900"/>
      <c r="R16" s="753"/>
      <c r="S16" s="754"/>
      <c r="T16" s="753"/>
      <c r="U16" s="754"/>
      <c r="V16" s="753"/>
      <c r="W16" s="754"/>
      <c r="X16" s="1901"/>
      <c r="Y16" s="3039"/>
      <c r="Z16" s="1903"/>
      <c r="AA16" s="1904">
        <v>1</v>
      </c>
      <c r="AB16" s="1904">
        <v>1</v>
      </c>
      <c r="AC16" s="1904">
        <v>1</v>
      </c>
    </row>
    <row r="17" spans="1:29" ht="114">
      <c r="A17" s="408"/>
      <c r="B17" s="431" t="s">
        <v>1749</v>
      </c>
      <c r="C17" s="2406" t="str">
        <f>估价对象房地状况!C6</f>
        <v>估价对象紧邻城市次干道—鲁谷路，有308路、546路、597路等10余条公交线路及地铁1号线八宝山站通过，交通便捷度较好。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7"/>
      <c r="Q17" s="1900" t="str">
        <f>B17</f>
        <v>交通便捷度</v>
      </c>
      <c r="R17" s="753" t="s">
        <v>25</v>
      </c>
      <c r="S17" s="754">
        <f>F17</f>
        <v>100</v>
      </c>
      <c r="T17" s="753" t="s">
        <v>25</v>
      </c>
      <c r="U17" s="754">
        <f>H17</f>
        <v>100</v>
      </c>
      <c r="V17" s="753" t="s">
        <v>25</v>
      </c>
      <c r="W17" s="754">
        <f>J17</f>
        <v>100</v>
      </c>
      <c r="X17" s="1901"/>
      <c r="Y17" s="303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37"/>
      <c r="Q18" s="1900"/>
      <c r="R18" s="753"/>
      <c r="S18" s="754"/>
      <c r="T18" s="753"/>
      <c r="U18" s="754"/>
      <c r="V18" s="753"/>
      <c r="W18" s="754"/>
      <c r="X18" s="1901"/>
      <c r="Y18" s="3039"/>
      <c r="Z18" s="1903"/>
      <c r="AA18" s="1904">
        <v>1</v>
      </c>
      <c r="AB18" s="1904">
        <v>1</v>
      </c>
      <c r="AC18" s="1904">
        <v>1</v>
      </c>
    </row>
    <row r="19" spans="1:29" ht="42.75">
      <c r="A19" s="408"/>
      <c r="B19" s="431" t="s">
        <v>2451</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7"/>
      <c r="Q19" s="1900" t="str">
        <f>B19</f>
        <v>公共配套设施</v>
      </c>
      <c r="R19" s="753" t="s">
        <v>25</v>
      </c>
      <c r="S19" s="754">
        <f>F19</f>
        <v>100</v>
      </c>
      <c r="T19" s="753" t="s">
        <v>25</v>
      </c>
      <c r="U19" s="754">
        <f>H19</f>
        <v>100</v>
      </c>
      <c r="V19" s="753" t="s">
        <v>25</v>
      </c>
      <c r="W19" s="754">
        <f>J19</f>
        <v>100</v>
      </c>
      <c r="X19" s="1901"/>
      <c r="Y19" s="3039"/>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37"/>
      <c r="Q20" s="1900"/>
      <c r="R20" s="753"/>
      <c r="S20" s="754"/>
      <c r="T20" s="753"/>
      <c r="U20" s="754"/>
      <c r="V20" s="753"/>
      <c r="W20" s="754"/>
      <c r="X20" s="1901"/>
      <c r="Y20" s="3039"/>
      <c r="Z20" s="1903"/>
      <c r="AA20" s="1904">
        <v>1</v>
      </c>
      <c r="AB20" s="1904">
        <v>1</v>
      </c>
      <c r="AC20" s="1904">
        <v>1</v>
      </c>
    </row>
    <row r="21" spans="1:29" ht="15">
      <c r="A21" s="408"/>
      <c r="B21" s="2408" t="s">
        <v>2452</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7"/>
      <c r="Q21" s="1900" t="str">
        <f>B21</f>
        <v>基础设施水平</v>
      </c>
      <c r="R21" s="753" t="s">
        <v>25</v>
      </c>
      <c r="S21" s="754">
        <f>F21</f>
        <v>100</v>
      </c>
      <c r="T21" s="753" t="s">
        <v>25</v>
      </c>
      <c r="U21" s="754">
        <f>H21</f>
        <v>100</v>
      </c>
      <c r="V21" s="753" t="s">
        <v>25</v>
      </c>
      <c r="W21" s="754">
        <f>J21</f>
        <v>100</v>
      </c>
      <c r="X21" s="1901"/>
      <c r="Y21" s="303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37"/>
      <c r="Q22" s="1900"/>
      <c r="R22" s="753"/>
      <c r="S22" s="754"/>
      <c r="T22" s="753"/>
      <c r="U22" s="754"/>
      <c r="V22" s="753"/>
      <c r="W22" s="754"/>
      <c r="X22" s="1901"/>
      <c r="Y22" s="3039"/>
      <c r="Z22" s="1903"/>
      <c r="AA22" s="1904">
        <v>1</v>
      </c>
      <c r="AB22" s="1904">
        <v>1</v>
      </c>
      <c r="AC22" s="1904">
        <v>1</v>
      </c>
    </row>
    <row r="23" spans="1:29" ht="114">
      <c r="A23" s="408"/>
      <c r="B23" s="431" t="s">
        <v>1754</v>
      </c>
      <c r="C23" s="2456" t="str">
        <f>估价对象房地状况!C9</f>
        <v>自然环境：北京国际雕塑公园、老山城市休闲公园、莲花河等；人文环境：中国科学院大学等；综合评价环境状况较好。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7"/>
      <c r="Q23" s="1900" t="str">
        <f>B23</f>
        <v>自然及人文环境</v>
      </c>
      <c r="R23" s="753" t="s">
        <v>25</v>
      </c>
      <c r="S23" s="754">
        <f>F23</f>
        <v>100</v>
      </c>
      <c r="T23" s="753" t="s">
        <v>25</v>
      </c>
      <c r="U23" s="754">
        <f>H23</f>
        <v>100</v>
      </c>
      <c r="V23" s="753" t="s">
        <v>25</v>
      </c>
      <c r="W23" s="754">
        <f>J23</f>
        <v>100</v>
      </c>
      <c r="X23" s="1901"/>
      <c r="Y23" s="3039"/>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37"/>
      <c r="Q24" s="1900"/>
      <c r="R24" s="753"/>
      <c r="S24" s="754"/>
      <c r="T24" s="753"/>
      <c r="U24" s="754"/>
      <c r="V24" s="753"/>
      <c r="W24" s="754"/>
      <c r="X24" s="1901"/>
      <c r="Y24" s="3039"/>
      <c r="Z24" s="1903"/>
      <c r="AA24" s="1904">
        <v>1</v>
      </c>
      <c r="AB24" s="1904">
        <v>1</v>
      </c>
      <c r="AC24" s="1904">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7"/>
      <c r="Q25" s="1900" t="str">
        <f t="shared" ref="Q25:Q46" si="11">B25</f>
        <v>临街状况</v>
      </c>
      <c r="R25" s="753" t="s">
        <v>25</v>
      </c>
      <c r="S25" s="754">
        <f>F25</f>
        <v>100</v>
      </c>
      <c r="T25" s="753" t="s">
        <v>25</v>
      </c>
      <c r="U25" s="754">
        <f>H25</f>
        <v>100</v>
      </c>
      <c r="V25" s="753" t="s">
        <v>25</v>
      </c>
      <c r="W25" s="754">
        <f>J25</f>
        <v>100</v>
      </c>
      <c r="X25" s="1901"/>
      <c r="Y25" s="3039"/>
      <c r="Z25" s="1903" t="str">
        <f>Q25</f>
        <v>临街状况</v>
      </c>
      <c r="AA25" s="1904">
        <f t="shared" si="3"/>
        <v>1</v>
      </c>
      <c r="AB25" s="1904">
        <f t="shared" si="4"/>
        <v>1</v>
      </c>
      <c r="AC25" s="1904">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7"/>
      <c r="Q26" s="1900" t="str">
        <f t="shared" si="11"/>
        <v>平面位置/可视性</v>
      </c>
      <c r="R26" s="753" t="s">
        <v>25</v>
      </c>
      <c r="S26" s="754">
        <f>F26</f>
        <v>100</v>
      </c>
      <c r="T26" s="753" t="s">
        <v>25</v>
      </c>
      <c r="U26" s="754">
        <f>H26</f>
        <v>100</v>
      </c>
      <c r="V26" s="753" t="s">
        <v>25</v>
      </c>
      <c r="W26" s="754">
        <f>J26</f>
        <v>100</v>
      </c>
      <c r="X26" s="1901"/>
      <c r="Y26" s="3039"/>
      <c r="Z26" s="1903" t="str">
        <f>Q26</f>
        <v>平面位置/可视性</v>
      </c>
      <c r="AA26" s="1904">
        <f t="shared" si="3"/>
        <v>1</v>
      </c>
      <c r="AB26" s="1904">
        <f t="shared" si="4"/>
        <v>1</v>
      </c>
      <c r="AC26" s="1904">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37"/>
      <c r="Q27" s="1888" t="str">
        <f t="shared" si="11"/>
        <v>人流量</v>
      </c>
      <c r="R27" s="749" t="s">
        <v>25</v>
      </c>
      <c r="S27" s="750">
        <f>F27</f>
        <v>100</v>
      </c>
      <c r="T27" s="749" t="s">
        <v>25</v>
      </c>
      <c r="U27" s="750">
        <f>H27</f>
        <v>100</v>
      </c>
      <c r="V27" s="749" t="s">
        <v>25</v>
      </c>
      <c r="W27" s="750">
        <f>J27</f>
        <v>100</v>
      </c>
      <c r="X27" s="751"/>
      <c r="Y27" s="3039"/>
      <c r="Z27" s="23" t="str">
        <f>Q27</f>
        <v>人流量</v>
      </c>
      <c r="AA27" s="1904">
        <f>D27/F27</f>
        <v>1</v>
      </c>
      <c r="AB27" s="1904">
        <f>D27/H27</f>
        <v>1</v>
      </c>
      <c r="AC27" s="1904">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7"/>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39"/>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7"/>
      <c r="Q29" s="1900">
        <f t="shared" si="11"/>
        <v>111</v>
      </c>
      <c r="R29" s="753" t="s">
        <v>25</v>
      </c>
      <c r="S29" s="754">
        <f t="shared" si="12"/>
        <v>100</v>
      </c>
      <c r="T29" s="753" t="s">
        <v>25</v>
      </c>
      <c r="U29" s="754">
        <f t="shared" si="13"/>
        <v>100</v>
      </c>
      <c r="V29" s="753" t="s">
        <v>25</v>
      </c>
      <c r="W29" s="754">
        <f t="shared" si="14"/>
        <v>100</v>
      </c>
      <c r="X29" s="1901"/>
      <c r="Y29" s="3039"/>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7"/>
      <c r="Q30" s="1900">
        <f t="shared" si="11"/>
        <v>111</v>
      </c>
      <c r="R30" s="753" t="s">
        <v>25</v>
      </c>
      <c r="S30" s="754">
        <f t="shared" si="12"/>
        <v>100</v>
      </c>
      <c r="T30" s="753" t="s">
        <v>25</v>
      </c>
      <c r="U30" s="754">
        <f t="shared" si="13"/>
        <v>100</v>
      </c>
      <c r="V30" s="753" t="s">
        <v>25</v>
      </c>
      <c r="W30" s="754">
        <f t="shared" si="14"/>
        <v>100</v>
      </c>
      <c r="X30" s="1901"/>
      <c r="Y30" s="3039"/>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7"/>
      <c r="Q31" s="1900">
        <f t="shared" si="11"/>
        <v>111</v>
      </c>
      <c r="R31" s="753" t="s">
        <v>25</v>
      </c>
      <c r="S31" s="754">
        <f t="shared" si="12"/>
        <v>100</v>
      </c>
      <c r="T31" s="753" t="s">
        <v>25</v>
      </c>
      <c r="U31" s="754">
        <f t="shared" si="13"/>
        <v>100</v>
      </c>
      <c r="V31" s="753" t="s">
        <v>25</v>
      </c>
      <c r="W31" s="754">
        <f t="shared" si="14"/>
        <v>100</v>
      </c>
      <c r="X31" s="1901"/>
      <c r="Y31" s="3039"/>
      <c r="Z31" s="1903">
        <f t="shared" si="15"/>
        <v>111</v>
      </c>
      <c r="AA31" s="1904">
        <f t="shared" si="3"/>
        <v>1</v>
      </c>
      <c r="AB31" s="1904">
        <f t="shared" si="4"/>
        <v>1</v>
      </c>
      <c r="AC31" s="1904">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0" t="s">
        <v>2371</v>
      </c>
      <c r="Q32" s="1900" t="str">
        <f t="shared" si="11"/>
        <v>商业类型</v>
      </c>
      <c r="R32" s="753" t="s">
        <v>25</v>
      </c>
      <c r="S32" s="754">
        <f t="shared" si="12"/>
        <v>100</v>
      </c>
      <c r="T32" s="753" t="s">
        <v>25</v>
      </c>
      <c r="U32" s="754">
        <f t="shared" si="13"/>
        <v>100</v>
      </c>
      <c r="V32" s="753" t="s">
        <v>25</v>
      </c>
      <c r="W32" s="754">
        <f t="shared" si="14"/>
        <v>100</v>
      </c>
      <c r="X32" s="1901"/>
      <c r="Y32" s="3043" t="s">
        <v>2371</v>
      </c>
      <c r="Z32" s="1903" t="str">
        <f t="shared" si="15"/>
        <v>商业类型</v>
      </c>
      <c r="AA32" s="1904">
        <f t="shared" si="3"/>
        <v>1</v>
      </c>
      <c r="AB32" s="1904">
        <f t="shared" si="4"/>
        <v>1</v>
      </c>
      <c r="AC32" s="1904">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1"/>
      <c r="Q33" s="755" t="str">
        <f t="shared" si="11"/>
        <v>项目建筑规模</v>
      </c>
      <c r="R33" s="756" t="s">
        <v>25</v>
      </c>
      <c r="S33" s="757" t="e">
        <f t="shared" si="12"/>
        <v>#N/A</v>
      </c>
      <c r="T33" s="756" t="s">
        <v>25</v>
      </c>
      <c r="U33" s="757" t="e">
        <f t="shared" si="13"/>
        <v>#N/A</v>
      </c>
      <c r="V33" s="756" t="s">
        <v>25</v>
      </c>
      <c r="W33" s="757" t="e">
        <f t="shared" si="14"/>
        <v>#N/A</v>
      </c>
      <c r="X33" s="758"/>
      <c r="Y33" s="3043"/>
      <c r="Z33" s="759" t="str">
        <f t="shared" si="15"/>
        <v>项目建筑规模</v>
      </c>
      <c r="AA33" s="1904" t="e">
        <f t="shared" si="3"/>
        <v>#N/A</v>
      </c>
      <c r="AB33" s="1904" t="e">
        <f t="shared" si="4"/>
        <v>#N/A</v>
      </c>
      <c r="AC33" s="1904"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41"/>
      <c r="Q34" s="1900" t="str">
        <f t="shared" si="11"/>
        <v>建筑结构</v>
      </c>
      <c r="R34" s="753" t="s">
        <v>25</v>
      </c>
      <c r="S34" s="754">
        <f t="shared" si="12"/>
        <v>100</v>
      </c>
      <c r="T34" s="753" t="s">
        <v>25</v>
      </c>
      <c r="U34" s="754">
        <f t="shared" si="13"/>
        <v>100</v>
      </c>
      <c r="V34" s="753" t="s">
        <v>25</v>
      </c>
      <c r="W34" s="754">
        <f t="shared" si="14"/>
        <v>100</v>
      </c>
      <c r="X34" s="1901"/>
      <c r="Y34" s="3043"/>
      <c r="Z34" s="1903" t="str">
        <f t="shared" si="15"/>
        <v>建筑结构</v>
      </c>
      <c r="AA34" s="1904">
        <f t="shared" si="3"/>
        <v>1</v>
      </c>
      <c r="AB34" s="1904">
        <f t="shared" si="4"/>
        <v>1</v>
      </c>
      <c r="AC34" s="1904">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1"/>
      <c r="Q35" s="1900" t="str">
        <f t="shared" si="11"/>
        <v>公共部分装修</v>
      </c>
      <c r="R35" s="753" t="s">
        <v>25</v>
      </c>
      <c r="S35" s="754">
        <f t="shared" si="12"/>
        <v>100</v>
      </c>
      <c r="T35" s="753" t="s">
        <v>25</v>
      </c>
      <c r="U35" s="754">
        <f t="shared" si="13"/>
        <v>100</v>
      </c>
      <c r="V35" s="753" t="s">
        <v>25</v>
      </c>
      <c r="W35" s="754">
        <f t="shared" si="14"/>
        <v>100</v>
      </c>
      <c r="X35" s="1901"/>
      <c r="Y35" s="3043"/>
      <c r="Z35" s="1903" t="str">
        <f t="shared" si="15"/>
        <v>公共部分装修</v>
      </c>
      <c r="AA35" s="1904">
        <f t="shared" si="3"/>
        <v>1</v>
      </c>
      <c r="AB35" s="1904">
        <f t="shared" si="4"/>
        <v>1</v>
      </c>
      <c r="AC35" s="1904">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1"/>
      <c r="Q36" s="1900" t="str">
        <f t="shared" si="11"/>
        <v>成新度</v>
      </c>
      <c r="R36" s="753" t="s">
        <v>25</v>
      </c>
      <c r="S36" s="754" t="e">
        <f t="shared" si="12"/>
        <v>#N/A</v>
      </c>
      <c r="T36" s="753" t="s">
        <v>25</v>
      </c>
      <c r="U36" s="754" t="e">
        <f t="shared" si="13"/>
        <v>#N/A</v>
      </c>
      <c r="V36" s="753" t="s">
        <v>25</v>
      </c>
      <c r="W36" s="754" t="e">
        <f t="shared" si="14"/>
        <v>#N/A</v>
      </c>
      <c r="X36" s="1901"/>
      <c r="Y36" s="3043"/>
      <c r="Z36" s="1903" t="str">
        <f t="shared" si="15"/>
        <v>成新度</v>
      </c>
      <c r="AA36" s="1904" t="e">
        <f t="shared" si="3"/>
        <v>#N/A</v>
      </c>
      <c r="AB36" s="1904" t="e">
        <f t="shared" si="4"/>
        <v>#N/A</v>
      </c>
      <c r="AC36" s="1904"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1"/>
      <c r="Q37" s="1888" t="str">
        <f t="shared" si="11"/>
        <v>市政基础设施</v>
      </c>
      <c r="R37" s="749" t="s">
        <v>25</v>
      </c>
      <c r="S37" s="750">
        <f t="shared" si="12"/>
        <v>100</v>
      </c>
      <c r="T37" s="749" t="s">
        <v>25</v>
      </c>
      <c r="U37" s="750">
        <f t="shared" si="13"/>
        <v>100</v>
      </c>
      <c r="V37" s="749" t="s">
        <v>25</v>
      </c>
      <c r="W37" s="750">
        <f t="shared" si="14"/>
        <v>100</v>
      </c>
      <c r="X37" s="751"/>
      <c r="Y37" s="3043"/>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1" t="s">
        <v>2371</v>
      </c>
      <c r="Q38" s="1900" t="str">
        <f t="shared" si="11"/>
        <v>业态</v>
      </c>
      <c r="R38" s="753" t="s">
        <v>25</v>
      </c>
      <c r="S38" s="754">
        <f t="shared" si="12"/>
        <v>100</v>
      </c>
      <c r="T38" s="753" t="s">
        <v>25</v>
      </c>
      <c r="U38" s="754">
        <f t="shared" si="13"/>
        <v>100</v>
      </c>
      <c r="V38" s="753" t="s">
        <v>25</v>
      </c>
      <c r="W38" s="754">
        <f t="shared" si="14"/>
        <v>100</v>
      </c>
      <c r="X38" s="1901"/>
      <c r="Y38" s="3043" t="s">
        <v>2371</v>
      </c>
      <c r="Z38" s="1903" t="str">
        <f t="shared" si="15"/>
        <v>业态</v>
      </c>
      <c r="AA38" s="1904">
        <f t="shared" si="3"/>
        <v>1</v>
      </c>
      <c r="AB38" s="1904">
        <f t="shared" si="4"/>
        <v>1</v>
      </c>
      <c r="AC38" s="1904">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1"/>
      <c r="Q39" s="1900" t="str">
        <f t="shared" si="11"/>
        <v>层高</v>
      </c>
      <c r="R39" s="753" t="s">
        <v>25</v>
      </c>
      <c r="S39" s="754">
        <f t="shared" si="12"/>
        <v>100</v>
      </c>
      <c r="T39" s="753" t="s">
        <v>25</v>
      </c>
      <c r="U39" s="754">
        <f t="shared" si="13"/>
        <v>100</v>
      </c>
      <c r="V39" s="753" t="s">
        <v>25</v>
      </c>
      <c r="W39" s="754">
        <f t="shared" si="14"/>
        <v>100</v>
      </c>
      <c r="X39" s="1901"/>
      <c r="Y39" s="3043"/>
      <c r="Z39" s="1903" t="str">
        <f t="shared" si="15"/>
        <v>层高</v>
      </c>
      <c r="AA39" s="1904">
        <f t="shared" si="3"/>
        <v>1</v>
      </c>
      <c r="AB39" s="1904">
        <f t="shared" si="4"/>
        <v>1</v>
      </c>
      <c r="AC39" s="1904">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1"/>
      <c r="Q40" s="1900" t="str">
        <f t="shared" si="11"/>
        <v>单套建筑面积</v>
      </c>
      <c r="R40" s="753" t="s">
        <v>25</v>
      </c>
      <c r="S40" s="754">
        <f t="shared" si="12"/>
        <v>100</v>
      </c>
      <c r="T40" s="753" t="s">
        <v>25</v>
      </c>
      <c r="U40" s="754">
        <f t="shared" si="13"/>
        <v>100</v>
      </c>
      <c r="V40" s="753" t="s">
        <v>25</v>
      </c>
      <c r="W40" s="754">
        <f t="shared" si="14"/>
        <v>100</v>
      </c>
      <c r="X40" s="1901"/>
      <c r="Y40" s="3043"/>
      <c r="Z40" s="1903" t="str">
        <f t="shared" si="15"/>
        <v>单套建筑面积</v>
      </c>
      <c r="AA40" s="1904">
        <f t="shared" si="3"/>
        <v>1</v>
      </c>
      <c r="AB40" s="1904">
        <f t="shared" si="4"/>
        <v>1</v>
      </c>
      <c r="AC40" s="1904">
        <f t="shared" si="5"/>
        <v>1</v>
      </c>
    </row>
    <row r="41" spans="1:29" s="452" customFormat="1" ht="15">
      <c r="A41" s="449"/>
      <c r="B41" s="1905"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1"/>
      <c r="Q41" s="755" t="str">
        <f t="shared" si="11"/>
        <v>进深比</v>
      </c>
      <c r="R41" s="756" t="s">
        <v>25</v>
      </c>
      <c r="S41" s="757">
        <f t="shared" si="12"/>
        <v>100</v>
      </c>
      <c r="T41" s="756" t="s">
        <v>25</v>
      </c>
      <c r="U41" s="757">
        <f t="shared" si="13"/>
        <v>100</v>
      </c>
      <c r="V41" s="756" t="s">
        <v>25</v>
      </c>
      <c r="W41" s="757">
        <f t="shared" si="14"/>
        <v>100</v>
      </c>
      <c r="X41" s="758"/>
      <c r="Y41" s="3043"/>
      <c r="Z41" s="759" t="str">
        <f t="shared" si="15"/>
        <v>进深比</v>
      </c>
      <c r="AA41" s="1904">
        <f t="shared" si="3"/>
        <v>1</v>
      </c>
      <c r="AB41" s="1904">
        <f t="shared" si="4"/>
        <v>1</v>
      </c>
      <c r="AC41" s="1904">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1"/>
      <c r="Q42" s="1900" t="str">
        <f t="shared" si="11"/>
        <v>内部装修</v>
      </c>
      <c r="R42" s="753" t="s">
        <v>25</v>
      </c>
      <c r="S42" s="754">
        <f t="shared" si="12"/>
        <v>100</v>
      </c>
      <c r="T42" s="753" t="s">
        <v>25</v>
      </c>
      <c r="U42" s="754">
        <f t="shared" si="13"/>
        <v>100</v>
      </c>
      <c r="V42" s="753" t="s">
        <v>25</v>
      </c>
      <c r="W42" s="754">
        <f t="shared" si="14"/>
        <v>100</v>
      </c>
      <c r="X42" s="1901"/>
      <c r="Y42" s="3043"/>
      <c r="Z42" s="1903" t="str">
        <f t="shared" si="15"/>
        <v>内部装修</v>
      </c>
      <c r="AA42" s="1904">
        <f t="shared" si="3"/>
        <v>1</v>
      </c>
      <c r="AB42" s="1904">
        <f t="shared" si="4"/>
        <v>1</v>
      </c>
      <c r="AC42" s="1904">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1"/>
      <c r="Q43" s="1900" t="str">
        <f t="shared" si="11"/>
        <v>内部装修维护情况</v>
      </c>
      <c r="R43" s="753" t="s">
        <v>25</v>
      </c>
      <c r="S43" s="754">
        <f t="shared" si="12"/>
        <v>100</v>
      </c>
      <c r="T43" s="753" t="s">
        <v>25</v>
      </c>
      <c r="U43" s="754">
        <f t="shared" si="13"/>
        <v>100</v>
      </c>
      <c r="V43" s="753" t="s">
        <v>25</v>
      </c>
      <c r="W43" s="754">
        <f t="shared" si="14"/>
        <v>100</v>
      </c>
      <c r="X43" s="1901"/>
      <c r="Y43" s="3043"/>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1"/>
      <c r="Q44" s="1888">
        <f t="shared" si="11"/>
        <v>111</v>
      </c>
      <c r="R44" s="749" t="s">
        <v>25</v>
      </c>
      <c r="S44" s="750">
        <f t="shared" si="12"/>
        <v>100</v>
      </c>
      <c r="T44" s="749" t="s">
        <v>25</v>
      </c>
      <c r="U44" s="750">
        <f t="shared" si="13"/>
        <v>100</v>
      </c>
      <c r="V44" s="749" t="s">
        <v>25</v>
      </c>
      <c r="W44" s="750">
        <f t="shared" si="14"/>
        <v>100</v>
      </c>
      <c r="X44" s="751"/>
      <c r="Y44" s="3043"/>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1"/>
      <c r="Q45" s="1900">
        <f t="shared" si="11"/>
        <v>111</v>
      </c>
      <c r="R45" s="753" t="s">
        <v>25</v>
      </c>
      <c r="S45" s="754">
        <f t="shared" si="12"/>
        <v>100</v>
      </c>
      <c r="T45" s="753" t="s">
        <v>25</v>
      </c>
      <c r="U45" s="754">
        <f t="shared" si="13"/>
        <v>100</v>
      </c>
      <c r="V45" s="753" t="s">
        <v>25</v>
      </c>
      <c r="W45" s="754">
        <f t="shared" si="14"/>
        <v>100</v>
      </c>
      <c r="X45" s="1901"/>
      <c r="Y45" s="3043"/>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2"/>
      <c r="Q46" s="1900">
        <f t="shared" si="11"/>
        <v>111</v>
      </c>
      <c r="R46" s="753" t="s">
        <v>25</v>
      </c>
      <c r="S46" s="754">
        <f t="shared" si="12"/>
        <v>100</v>
      </c>
      <c r="T46" s="753" t="s">
        <v>25</v>
      </c>
      <c r="U46" s="754">
        <f t="shared" si="13"/>
        <v>100</v>
      </c>
      <c r="V46" s="753" t="s">
        <v>25</v>
      </c>
      <c r="W46" s="754">
        <f t="shared" si="14"/>
        <v>100</v>
      </c>
      <c r="X46" s="1901"/>
      <c r="Y46" s="3044"/>
      <c r="Z46" s="1903">
        <f t="shared" si="15"/>
        <v>111</v>
      </c>
      <c r="AA46" s="1904">
        <f t="shared" si="3"/>
        <v>1</v>
      </c>
      <c r="AB46" s="1904">
        <f t="shared" si="4"/>
        <v>1</v>
      </c>
      <c r="AC46" s="1904">
        <f t="shared" si="5"/>
        <v>1</v>
      </c>
    </row>
    <row r="47" spans="1:29" ht="15">
      <c r="A47" s="460" t="s">
        <v>2383</v>
      </c>
      <c r="B47" s="461"/>
      <c r="C47" s="1502" t="s">
        <v>1</v>
      </c>
      <c r="D47" s="1503"/>
      <c r="E47" s="1504"/>
      <c r="F47" s="1505"/>
      <c r="G47" s="1506"/>
      <c r="H47" s="1507"/>
      <c r="I47" s="1504"/>
      <c r="J47" s="1507"/>
      <c r="K47" s="762"/>
      <c r="L47" s="1256"/>
      <c r="M47" s="1257"/>
      <c r="N47" s="1244"/>
      <c r="O47" s="1257"/>
      <c r="P47" s="3035" t="str">
        <f>A47</f>
        <v>成交单价（元/平方米）</v>
      </c>
      <c r="Q47" s="3035"/>
      <c r="R47" s="3031">
        <f>E47</f>
        <v>0</v>
      </c>
      <c r="S47" s="3031"/>
      <c r="T47" s="3031">
        <f>G47</f>
        <v>0</v>
      </c>
      <c r="U47" s="3031"/>
      <c r="V47" s="3031">
        <f>I47</f>
        <v>0</v>
      </c>
      <c r="W47" s="3031"/>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35" t="str">
        <f>A48</f>
        <v>比较价值（元/平方米）</v>
      </c>
      <c r="Q48" s="3035"/>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32" t="str">
        <f>A49</f>
        <v>估价对象XX用房的比较价值（楼面单价，元/平方米）</v>
      </c>
      <c r="Q49" s="3033"/>
      <c r="R49" s="3034" t="e">
        <f>IF(E1="售价",ROUND(AVERAGE(R48:V48),0),ROUND(AVERAGE(R48:V48),1))</f>
        <v>#DIV/0!</v>
      </c>
      <c r="S49" s="3034"/>
      <c r="T49" s="3034"/>
      <c r="U49" s="3034"/>
      <c r="V49" s="3034"/>
      <c r="W49" s="303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2478</v>
      </c>
      <c r="C1" s="1727"/>
      <c r="D1" s="1740"/>
      <c r="E1" s="2383"/>
      <c r="F1" s="1741" t="s">
        <v>2338</v>
      </c>
      <c r="G1" s="1740"/>
      <c r="H1" s="1740"/>
      <c r="I1" s="1740"/>
      <c r="J1" s="1740"/>
      <c r="K1" s="1742"/>
      <c r="L1" s="1734"/>
      <c r="M1" s="1735"/>
      <c r="N1" s="1735"/>
      <c r="O1" s="1735"/>
      <c r="P1" s="1735"/>
      <c r="Q1" s="1735"/>
      <c r="R1" s="1735"/>
      <c r="S1" s="1735"/>
      <c r="T1" s="1735"/>
      <c r="U1" s="1735"/>
      <c r="V1" s="1735"/>
      <c r="W1" s="1735"/>
      <c r="X1" s="1735"/>
      <c r="Y1" s="1735"/>
      <c r="Z1" s="1735"/>
      <c r="AA1" s="1735"/>
      <c r="AB1" s="2462"/>
      <c r="AC1" s="1737"/>
    </row>
    <row r="2" spans="1:29" s="377" customFormat="1" ht="28.5" customHeight="1" thickTop="1">
      <c r="A2" s="1728" t="s">
        <v>2006</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2339</v>
      </c>
      <c r="D3" s="378">
        <f>IF(C1="仅计算典型户型",'数据-取费表'!E5,'数据-取费表'!B5)</f>
        <v>137.41</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84" t="s">
        <v>2346</v>
      </c>
      <c r="Q4" s="3067"/>
      <c r="R4" s="3051" t="s">
        <v>2342</v>
      </c>
      <c r="S4" s="3052"/>
      <c r="T4" s="3051" t="s">
        <v>2343</v>
      </c>
      <c r="U4" s="3052"/>
      <c r="V4" s="3072" t="s">
        <v>2344</v>
      </c>
      <c r="W4" s="3072"/>
      <c r="X4" s="1901"/>
      <c r="Y4" s="3051" t="s">
        <v>2346</v>
      </c>
      <c r="Z4" s="3052"/>
      <c r="AA4" s="3059" t="s">
        <v>2342</v>
      </c>
      <c r="AB4" s="3059" t="s">
        <v>2343</v>
      </c>
      <c r="AC4" s="3059" t="s">
        <v>2344</v>
      </c>
    </row>
    <row r="5" spans="1:29" ht="15">
      <c r="A5" s="383"/>
      <c r="B5" s="384"/>
      <c r="C5" s="3077" t="s">
        <v>2347</v>
      </c>
      <c r="D5" s="3048"/>
      <c r="E5" s="3075" t="s">
        <v>2348</v>
      </c>
      <c r="F5" s="3076"/>
      <c r="G5" s="3077" t="s">
        <v>2349</v>
      </c>
      <c r="H5" s="3048"/>
      <c r="I5" s="3077" t="s">
        <v>2350</v>
      </c>
      <c r="J5" s="3048"/>
      <c r="K5" s="594"/>
      <c r="L5" s="1243"/>
      <c r="M5" s="1244"/>
      <c r="N5" s="1244"/>
      <c r="O5" s="1244"/>
      <c r="P5" s="3085"/>
      <c r="Q5" s="3069"/>
      <c r="R5" s="3053"/>
      <c r="S5" s="3054"/>
      <c r="T5" s="3053"/>
      <c r="U5" s="3054"/>
      <c r="V5" s="3072"/>
      <c r="W5" s="3072"/>
      <c r="X5" s="1901"/>
      <c r="Y5" s="3053"/>
      <c r="Z5" s="3054"/>
      <c r="AA5" s="3060"/>
      <c r="AB5" s="3060"/>
      <c r="AC5" s="3060"/>
    </row>
    <row r="6" spans="1:29" ht="15.75" thickBot="1">
      <c r="A6" s="385"/>
      <c r="B6" s="386"/>
      <c r="C6" s="3078" t="s">
        <v>2351</v>
      </c>
      <c r="D6" s="3074"/>
      <c r="E6" s="3079" t="s">
        <v>2351</v>
      </c>
      <c r="F6" s="3046"/>
      <c r="G6" s="3078" t="s">
        <v>2351</v>
      </c>
      <c r="H6" s="3074"/>
      <c r="I6" s="3078" t="s">
        <v>2351</v>
      </c>
      <c r="J6" s="3074"/>
      <c r="K6" s="594" t="s">
        <v>2352</v>
      </c>
      <c r="L6" s="1243"/>
      <c r="M6" s="1244"/>
      <c r="N6" s="1244"/>
      <c r="O6" s="1244"/>
      <c r="P6" s="3086"/>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7"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7" t="s">
        <v>2357</v>
      </c>
      <c r="Q8" s="3050"/>
      <c r="R8" s="749" t="s">
        <v>25</v>
      </c>
      <c r="S8" s="750">
        <f t="shared" si="0"/>
        <v>0</v>
      </c>
      <c r="T8" s="749" t="s">
        <v>25</v>
      </c>
      <c r="U8" s="750">
        <f t="shared" si="1"/>
        <v>0</v>
      </c>
      <c r="V8" s="749" t="s">
        <v>25</v>
      </c>
      <c r="W8" s="750">
        <f t="shared" si="2"/>
        <v>0</v>
      </c>
      <c r="X8" s="751"/>
      <c r="Y8" s="3049" t="s">
        <v>2357</v>
      </c>
      <c r="Z8" s="3050"/>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3"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3"/>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3"/>
      <c r="Q11" s="1888"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3"/>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3"/>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3"/>
      <c r="Q14" s="1888">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7" t="s">
        <v>2365</v>
      </c>
      <c r="Q15" s="1900" t="str">
        <f t="shared" si="6"/>
        <v>办公集聚程度</v>
      </c>
      <c r="R15" s="753" t="s">
        <v>25</v>
      </c>
      <c r="S15" s="754">
        <f t="shared" si="0"/>
        <v>100</v>
      </c>
      <c r="T15" s="753" t="s">
        <v>25</v>
      </c>
      <c r="U15" s="754">
        <f t="shared" si="1"/>
        <v>100</v>
      </c>
      <c r="V15" s="753" t="s">
        <v>25</v>
      </c>
      <c r="W15" s="754">
        <f t="shared" si="2"/>
        <v>100</v>
      </c>
      <c r="X15" s="1901"/>
      <c r="Y15" s="3038" t="s">
        <v>2365</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69"/>
      <c r="Q16" s="1900"/>
      <c r="R16" s="753"/>
      <c r="S16" s="754"/>
      <c r="T16" s="753"/>
      <c r="U16" s="754"/>
      <c r="V16" s="753"/>
      <c r="W16" s="754"/>
      <c r="X16" s="1901"/>
      <c r="Y16" s="3039"/>
      <c r="Z16" s="1903"/>
      <c r="AA16" s="1904">
        <v>1</v>
      </c>
      <c r="AB16" s="1904">
        <v>1</v>
      </c>
      <c r="AC16" s="1904">
        <v>1</v>
      </c>
    </row>
    <row r="17" spans="1:29" ht="114">
      <c r="A17" s="408"/>
      <c r="B17" s="615" t="s">
        <v>1749</v>
      </c>
      <c r="C17" s="2467" t="str">
        <f>估价对象房地状况!C6</f>
        <v>估价对象紧邻城市次干道—鲁谷路，有308路、546路、597路等10余条公交线路及地铁1号线八宝山站通过，交通便捷度较好。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9"/>
      <c r="Q17" s="1900" t="str">
        <f>B17</f>
        <v>交通便捷度</v>
      </c>
      <c r="R17" s="753" t="s">
        <v>25</v>
      </c>
      <c r="S17" s="754">
        <f>F17</f>
        <v>100</v>
      </c>
      <c r="T17" s="753" t="s">
        <v>25</v>
      </c>
      <c r="U17" s="754">
        <f>H17</f>
        <v>100</v>
      </c>
      <c r="V17" s="753" t="s">
        <v>25</v>
      </c>
      <c r="W17" s="754">
        <f>J17</f>
        <v>100</v>
      </c>
      <c r="X17" s="1901"/>
      <c r="Y17" s="3039"/>
      <c r="Z17" s="1903" t="str">
        <f>Q17</f>
        <v>交通便捷度</v>
      </c>
      <c r="AA17" s="1904">
        <f t="shared" si="3"/>
        <v>1</v>
      </c>
      <c r="AB17" s="1904">
        <f t="shared" si="4"/>
        <v>1</v>
      </c>
      <c r="AC17" s="1904">
        <f t="shared" si="5"/>
        <v>1</v>
      </c>
    </row>
    <row r="18" spans="1:29" ht="15">
      <c r="A18" s="408"/>
      <c r="B18" s="616"/>
      <c r="C18" s="2468"/>
      <c r="D18" s="430"/>
      <c r="E18" s="2407"/>
      <c r="F18" s="430"/>
      <c r="G18" s="1468"/>
      <c r="H18" s="427"/>
      <c r="I18" s="1468"/>
      <c r="J18" s="427"/>
      <c r="K18" s="599"/>
      <c r="L18" s="1253"/>
      <c r="M18" s="1244"/>
      <c r="N18" s="1244"/>
      <c r="O18" s="1244"/>
      <c r="P18" s="3069"/>
      <c r="Q18" s="1900"/>
      <c r="R18" s="753"/>
      <c r="S18" s="754"/>
      <c r="T18" s="753"/>
      <c r="U18" s="754"/>
      <c r="V18" s="753"/>
      <c r="W18" s="754"/>
      <c r="X18" s="1901"/>
      <c r="Y18" s="3039"/>
      <c r="Z18" s="1903"/>
      <c r="AA18" s="1904">
        <v>1</v>
      </c>
      <c r="AB18" s="1904">
        <v>1</v>
      </c>
      <c r="AC18" s="1904">
        <v>1</v>
      </c>
    </row>
    <row r="19" spans="1:29" ht="42.75">
      <c r="A19" s="408"/>
      <c r="B19" s="615" t="s">
        <v>2480</v>
      </c>
      <c r="C19" s="2467"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9"/>
      <c r="Q19" s="1900" t="str">
        <f>B19</f>
        <v>公共配套设施</v>
      </c>
      <c r="R19" s="753" t="s">
        <v>25</v>
      </c>
      <c r="S19" s="754">
        <f>F19</f>
        <v>100</v>
      </c>
      <c r="T19" s="753" t="s">
        <v>25</v>
      </c>
      <c r="U19" s="754">
        <f>H19</f>
        <v>100</v>
      </c>
      <c r="V19" s="753" t="s">
        <v>25</v>
      </c>
      <c r="W19" s="754">
        <f>J19</f>
        <v>100</v>
      </c>
      <c r="X19" s="1901"/>
      <c r="Y19" s="3039"/>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69"/>
      <c r="Q20" s="1900"/>
      <c r="R20" s="753"/>
      <c r="S20" s="754"/>
      <c r="T20" s="753"/>
      <c r="U20" s="754"/>
      <c r="V20" s="753"/>
      <c r="W20" s="754"/>
      <c r="X20" s="1901"/>
      <c r="Y20" s="3039"/>
      <c r="Z20" s="1903"/>
      <c r="AA20" s="1904">
        <v>1</v>
      </c>
      <c r="AB20" s="1904">
        <v>1</v>
      </c>
      <c r="AC20" s="1904">
        <v>1</v>
      </c>
    </row>
    <row r="21" spans="1:29" ht="15">
      <c r="A21" s="408"/>
      <c r="B21" s="617" t="s">
        <v>2481</v>
      </c>
      <c r="C21" s="2467"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9"/>
      <c r="Q21" s="1900" t="str">
        <f>B21</f>
        <v>基础设施水平</v>
      </c>
      <c r="R21" s="753" t="s">
        <v>25</v>
      </c>
      <c r="S21" s="754">
        <f>F21</f>
        <v>100</v>
      </c>
      <c r="T21" s="753" t="s">
        <v>25</v>
      </c>
      <c r="U21" s="754">
        <f>H21</f>
        <v>100</v>
      </c>
      <c r="V21" s="753" t="s">
        <v>25</v>
      </c>
      <c r="W21" s="754">
        <f>J21</f>
        <v>100</v>
      </c>
      <c r="X21" s="1901"/>
      <c r="Y21" s="3039"/>
      <c r="Z21" s="1903" t="str">
        <f>Q21</f>
        <v>基础设施水平</v>
      </c>
      <c r="AA21" s="1904">
        <f t="shared" ref="AA21" si="8">D21/F21</f>
        <v>1</v>
      </c>
      <c r="AB21" s="1904">
        <f t="shared" ref="AB21" si="9">D21/H21</f>
        <v>1</v>
      </c>
      <c r="AC21" s="1904">
        <f t="shared" ref="AC21" si="10">D21/J21</f>
        <v>1</v>
      </c>
    </row>
    <row r="22" spans="1:29" ht="15">
      <c r="A22" s="408"/>
      <c r="B22" s="617"/>
      <c r="C22" s="2468"/>
      <c r="D22" s="427"/>
      <c r="E22" s="426"/>
      <c r="F22" s="427"/>
      <c r="G22" s="1472"/>
      <c r="H22" s="427"/>
      <c r="I22" s="1472"/>
      <c r="J22" s="427"/>
      <c r="K22" s="1469"/>
      <c r="L22" s="1253"/>
      <c r="M22" s="1244"/>
      <c r="N22" s="1244"/>
      <c r="O22" s="1244"/>
      <c r="P22" s="3069"/>
      <c r="Q22" s="1900"/>
      <c r="R22" s="753"/>
      <c r="S22" s="754"/>
      <c r="T22" s="753"/>
      <c r="U22" s="754"/>
      <c r="V22" s="753"/>
      <c r="W22" s="754"/>
      <c r="X22" s="1901"/>
      <c r="Y22" s="3039"/>
      <c r="Z22" s="1903"/>
      <c r="AA22" s="1904">
        <v>1</v>
      </c>
      <c r="AB22" s="1904">
        <v>1</v>
      </c>
      <c r="AC22" s="1904">
        <v>1</v>
      </c>
    </row>
    <row r="23" spans="1:29" ht="114">
      <c r="A23" s="408"/>
      <c r="B23" s="615" t="s">
        <v>2482</v>
      </c>
      <c r="C23" s="2467" t="str">
        <f>估价对象房地状况!C9</f>
        <v>自然环境：北京国际雕塑公园、老山城市休闲公园、莲花河等；人文环境：中国科学院大学等；综合评价环境状况较好。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9"/>
      <c r="Q23" s="1900" t="str">
        <f>B23</f>
        <v>环境质量</v>
      </c>
      <c r="R23" s="753" t="s">
        <v>25</v>
      </c>
      <c r="S23" s="754">
        <f>F23</f>
        <v>100</v>
      </c>
      <c r="T23" s="753" t="s">
        <v>25</v>
      </c>
      <c r="U23" s="754">
        <f>H23</f>
        <v>100</v>
      </c>
      <c r="V23" s="753" t="s">
        <v>25</v>
      </c>
      <c r="W23" s="754">
        <f>J23</f>
        <v>100</v>
      </c>
      <c r="X23" s="1901"/>
      <c r="Y23" s="3039"/>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69"/>
      <c r="Q24" s="1900"/>
      <c r="R24" s="753"/>
      <c r="S24" s="754"/>
      <c r="T24" s="753"/>
      <c r="U24" s="754"/>
      <c r="V24" s="753"/>
      <c r="W24" s="754"/>
      <c r="X24" s="1901"/>
      <c r="Y24" s="3039"/>
      <c r="Z24" s="1903"/>
      <c r="AA24" s="1904">
        <v>1</v>
      </c>
      <c r="AB24" s="1904">
        <v>1</v>
      </c>
      <c r="AC24" s="1904">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69"/>
      <c r="Q25" s="1900" t="str">
        <f>B25</f>
        <v>毗邻道路的类型与等级</v>
      </c>
      <c r="R25" s="753" t="s">
        <v>25</v>
      </c>
      <c r="S25" s="754">
        <f>F25</f>
        <v>100</v>
      </c>
      <c r="T25" s="753" t="s">
        <v>25</v>
      </c>
      <c r="U25" s="754">
        <f>H25</f>
        <v>100</v>
      </c>
      <c r="V25" s="753" t="s">
        <v>25</v>
      </c>
      <c r="W25" s="754">
        <f>J25</f>
        <v>100</v>
      </c>
      <c r="X25" s="1901"/>
      <c r="Y25" s="3039"/>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69"/>
      <c r="Q26" s="1900"/>
      <c r="R26" s="753"/>
      <c r="S26" s="754"/>
      <c r="T26" s="753"/>
      <c r="U26" s="754"/>
      <c r="V26" s="753"/>
      <c r="W26" s="754"/>
      <c r="X26" s="1901"/>
      <c r="Y26" s="3039"/>
      <c r="Z26" s="1903"/>
      <c r="AA26" s="1904">
        <v>1</v>
      </c>
      <c r="AB26" s="1904">
        <v>1</v>
      </c>
      <c r="AC26" s="1904">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9"/>
      <c r="Q27" s="1900" t="str">
        <f t="shared" ref="Q27:Q47" si="11">B27</f>
        <v>楼层</v>
      </c>
      <c r="R27" s="753" t="s">
        <v>25</v>
      </c>
      <c r="S27" s="754">
        <f>F27</f>
        <v>100</v>
      </c>
      <c r="T27" s="753" t="s">
        <v>25</v>
      </c>
      <c r="U27" s="754">
        <f>H27</f>
        <v>100</v>
      </c>
      <c r="V27" s="753" t="s">
        <v>25</v>
      </c>
      <c r="W27" s="754">
        <f>J27</f>
        <v>100</v>
      </c>
      <c r="X27" s="1901"/>
      <c r="Y27" s="3039"/>
      <c r="Z27" s="1903" t="str">
        <f>Q27</f>
        <v>楼层</v>
      </c>
      <c r="AA27" s="1904">
        <f t="shared" si="3"/>
        <v>1</v>
      </c>
      <c r="AB27" s="1904">
        <f t="shared" si="4"/>
        <v>1</v>
      </c>
      <c r="AC27" s="1904">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69"/>
      <c r="Q28" s="1888" t="str">
        <f t="shared" si="11"/>
        <v>朝向</v>
      </c>
      <c r="R28" s="749" t="s">
        <v>25</v>
      </c>
      <c r="S28" s="750">
        <f>F28</f>
        <v>100</v>
      </c>
      <c r="T28" s="749" t="s">
        <v>25</v>
      </c>
      <c r="U28" s="750">
        <f>H28</f>
        <v>100</v>
      </c>
      <c r="V28" s="749" t="s">
        <v>25</v>
      </c>
      <c r="W28" s="750">
        <f>J28</f>
        <v>100</v>
      </c>
      <c r="X28" s="751"/>
      <c r="Y28" s="3039"/>
      <c r="Z28" s="23" t="str">
        <f>Q28</f>
        <v>朝向</v>
      </c>
      <c r="AA28" s="1904">
        <f>D28/F28</f>
        <v>1</v>
      </c>
      <c r="AB28" s="1904">
        <f>D28/H28</f>
        <v>1</v>
      </c>
      <c r="AC28" s="1904">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9"/>
      <c r="Q29" s="1900">
        <f t="shared" si="11"/>
        <v>111</v>
      </c>
      <c r="R29" s="753" t="s">
        <v>25</v>
      </c>
      <c r="S29" s="754">
        <f t="shared" ref="S29:S47" si="12">F29</f>
        <v>100</v>
      </c>
      <c r="T29" s="753" t="s">
        <v>25</v>
      </c>
      <c r="U29" s="754">
        <f t="shared" ref="U29:U47" si="13">H29</f>
        <v>100</v>
      </c>
      <c r="V29" s="753" t="s">
        <v>25</v>
      </c>
      <c r="W29" s="754">
        <f t="shared" ref="W29:W47" si="14">J29</f>
        <v>100</v>
      </c>
      <c r="X29" s="1901"/>
      <c r="Y29" s="3039"/>
      <c r="Z29" s="1903">
        <f t="shared" ref="Z29:Z47" si="15">Q29</f>
        <v>111</v>
      </c>
      <c r="AA29" s="1904">
        <f t="shared" si="3"/>
        <v>1</v>
      </c>
      <c r="AB29" s="1904">
        <f t="shared" si="4"/>
        <v>1</v>
      </c>
      <c r="AC29" s="1904">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9"/>
      <c r="Q30" s="1900">
        <f t="shared" si="11"/>
        <v>111</v>
      </c>
      <c r="R30" s="753" t="s">
        <v>25</v>
      </c>
      <c r="S30" s="754">
        <f t="shared" si="12"/>
        <v>100</v>
      </c>
      <c r="T30" s="753" t="s">
        <v>25</v>
      </c>
      <c r="U30" s="754">
        <f t="shared" si="13"/>
        <v>100</v>
      </c>
      <c r="V30" s="753" t="s">
        <v>25</v>
      </c>
      <c r="W30" s="754">
        <f t="shared" si="14"/>
        <v>100</v>
      </c>
      <c r="X30" s="1901"/>
      <c r="Y30" s="3039"/>
      <c r="Z30" s="1903">
        <f t="shared" si="15"/>
        <v>111</v>
      </c>
      <c r="AA30" s="1904">
        <f t="shared" si="3"/>
        <v>1</v>
      </c>
      <c r="AB30" s="1904">
        <f t="shared" si="4"/>
        <v>1</v>
      </c>
      <c r="AC30" s="1904">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9"/>
      <c r="Q31" s="1900">
        <f t="shared" si="11"/>
        <v>111</v>
      </c>
      <c r="R31" s="753" t="s">
        <v>25</v>
      </c>
      <c r="S31" s="754">
        <f t="shared" si="12"/>
        <v>100</v>
      </c>
      <c r="T31" s="753" t="s">
        <v>25</v>
      </c>
      <c r="U31" s="754">
        <f t="shared" si="13"/>
        <v>100</v>
      </c>
      <c r="V31" s="753" t="s">
        <v>25</v>
      </c>
      <c r="W31" s="754">
        <f t="shared" si="14"/>
        <v>100</v>
      </c>
      <c r="X31" s="1901"/>
      <c r="Y31" s="3039"/>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9"/>
      <c r="Q32" s="1900">
        <f t="shared" si="11"/>
        <v>111</v>
      </c>
      <c r="R32" s="753" t="s">
        <v>25</v>
      </c>
      <c r="S32" s="754">
        <f t="shared" si="12"/>
        <v>100</v>
      </c>
      <c r="T32" s="753" t="s">
        <v>25</v>
      </c>
      <c r="U32" s="754">
        <f t="shared" si="13"/>
        <v>100</v>
      </c>
      <c r="V32" s="753" t="s">
        <v>25</v>
      </c>
      <c r="W32" s="754">
        <f t="shared" si="14"/>
        <v>100</v>
      </c>
      <c r="X32" s="1901"/>
      <c r="Y32" s="3039"/>
      <c r="Z32" s="1903">
        <f t="shared" si="15"/>
        <v>111</v>
      </c>
      <c r="AA32" s="1904">
        <f t="shared" si="3"/>
        <v>1</v>
      </c>
      <c r="AB32" s="1904">
        <f t="shared" si="4"/>
        <v>1</v>
      </c>
      <c r="AC32" s="1904">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81" t="s">
        <v>2371</v>
      </c>
      <c r="Q33" s="1900" t="str">
        <f t="shared" si="11"/>
        <v>建筑类型</v>
      </c>
      <c r="R33" s="753" t="s">
        <v>25</v>
      </c>
      <c r="S33" s="754">
        <f t="shared" si="12"/>
        <v>100</v>
      </c>
      <c r="T33" s="753" t="s">
        <v>25</v>
      </c>
      <c r="U33" s="754">
        <f t="shared" si="13"/>
        <v>100</v>
      </c>
      <c r="V33" s="753" t="s">
        <v>25</v>
      </c>
      <c r="W33" s="754">
        <f t="shared" si="14"/>
        <v>100</v>
      </c>
      <c r="X33" s="1901"/>
      <c r="Y33" s="3043" t="s">
        <v>2371</v>
      </c>
      <c r="Z33" s="1903" t="str">
        <f t="shared" si="15"/>
        <v>建筑类型</v>
      </c>
      <c r="AA33" s="1904">
        <f t="shared" si="3"/>
        <v>1</v>
      </c>
      <c r="AB33" s="1904">
        <f t="shared" si="4"/>
        <v>1</v>
      </c>
      <c r="AC33" s="1904">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2"/>
      <c r="Q34" s="755" t="str">
        <f t="shared" si="11"/>
        <v>项目建筑规模</v>
      </c>
      <c r="R34" s="756" t="s">
        <v>25</v>
      </c>
      <c r="S34" s="757" t="e">
        <f t="shared" si="12"/>
        <v>#N/A</v>
      </c>
      <c r="T34" s="756" t="s">
        <v>25</v>
      </c>
      <c r="U34" s="757" t="e">
        <f t="shared" si="13"/>
        <v>#N/A</v>
      </c>
      <c r="V34" s="756" t="s">
        <v>25</v>
      </c>
      <c r="W34" s="757" t="e">
        <f t="shared" si="14"/>
        <v>#N/A</v>
      </c>
      <c r="X34" s="758"/>
      <c r="Y34" s="3043"/>
      <c r="Z34" s="759" t="str">
        <f t="shared" si="15"/>
        <v>项目建筑规模</v>
      </c>
      <c r="AA34" s="1904" t="e">
        <f t="shared" si="3"/>
        <v>#N/A</v>
      </c>
      <c r="AB34" s="1904" t="e">
        <f t="shared" si="4"/>
        <v>#N/A</v>
      </c>
      <c r="AC34" s="1904"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2"/>
      <c r="Q35" s="1900" t="str">
        <f t="shared" si="11"/>
        <v>建筑结构</v>
      </c>
      <c r="R35" s="753" t="s">
        <v>25</v>
      </c>
      <c r="S35" s="754">
        <f t="shared" si="12"/>
        <v>100</v>
      </c>
      <c r="T35" s="753" t="s">
        <v>25</v>
      </c>
      <c r="U35" s="754">
        <f t="shared" si="13"/>
        <v>100</v>
      </c>
      <c r="V35" s="753" t="s">
        <v>25</v>
      </c>
      <c r="W35" s="754">
        <f t="shared" si="14"/>
        <v>100</v>
      </c>
      <c r="X35" s="1901"/>
      <c r="Y35" s="3043"/>
      <c r="Z35" s="1903" t="str">
        <f t="shared" si="15"/>
        <v>建筑结构</v>
      </c>
      <c r="AA35" s="1904">
        <f t="shared" si="3"/>
        <v>1</v>
      </c>
      <c r="AB35" s="1904">
        <f t="shared" si="4"/>
        <v>1</v>
      </c>
      <c r="AC35" s="1904">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2"/>
      <c r="Q36" s="1900" t="str">
        <f t="shared" si="11"/>
        <v>公共部分装修</v>
      </c>
      <c r="R36" s="753" t="s">
        <v>25</v>
      </c>
      <c r="S36" s="754">
        <f t="shared" si="12"/>
        <v>100</v>
      </c>
      <c r="T36" s="753" t="s">
        <v>25</v>
      </c>
      <c r="U36" s="754">
        <f t="shared" si="13"/>
        <v>100</v>
      </c>
      <c r="V36" s="753" t="s">
        <v>25</v>
      </c>
      <c r="W36" s="754">
        <f t="shared" si="14"/>
        <v>100</v>
      </c>
      <c r="X36" s="1901"/>
      <c r="Y36" s="3043"/>
      <c r="Z36" s="1903" t="str">
        <f t="shared" si="15"/>
        <v>公共部分装修</v>
      </c>
      <c r="AA36" s="1904">
        <f t="shared" si="3"/>
        <v>1</v>
      </c>
      <c r="AB36" s="1904">
        <f t="shared" si="4"/>
        <v>1</v>
      </c>
      <c r="AC36" s="1904">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2"/>
      <c r="Q37" s="1900" t="str">
        <f t="shared" si="11"/>
        <v>成新度</v>
      </c>
      <c r="R37" s="753" t="s">
        <v>25</v>
      </c>
      <c r="S37" s="754" t="e">
        <f t="shared" si="12"/>
        <v>#N/A</v>
      </c>
      <c r="T37" s="753" t="s">
        <v>25</v>
      </c>
      <c r="U37" s="754" t="e">
        <f t="shared" si="13"/>
        <v>#N/A</v>
      </c>
      <c r="V37" s="753" t="s">
        <v>25</v>
      </c>
      <c r="W37" s="754" t="e">
        <f t="shared" si="14"/>
        <v>#N/A</v>
      </c>
      <c r="X37" s="1901"/>
      <c r="Y37" s="3043"/>
      <c r="Z37" s="1903" t="str">
        <f t="shared" si="15"/>
        <v>成新度</v>
      </c>
      <c r="AA37" s="1904" t="e">
        <f t="shared" si="3"/>
        <v>#N/A</v>
      </c>
      <c r="AB37" s="1904" t="e">
        <f t="shared" si="4"/>
        <v>#N/A</v>
      </c>
      <c r="AC37" s="1904"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2"/>
      <c r="Q38" s="1888" t="str">
        <f t="shared" si="11"/>
        <v>写字楼等级</v>
      </c>
      <c r="R38" s="749" t="s">
        <v>25</v>
      </c>
      <c r="S38" s="750">
        <f t="shared" si="12"/>
        <v>100</v>
      </c>
      <c r="T38" s="749" t="s">
        <v>25</v>
      </c>
      <c r="U38" s="750">
        <f t="shared" si="13"/>
        <v>100</v>
      </c>
      <c r="V38" s="749" t="s">
        <v>25</v>
      </c>
      <c r="W38" s="750">
        <f t="shared" si="14"/>
        <v>100</v>
      </c>
      <c r="X38" s="751"/>
      <c r="Y38" s="3043"/>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2" t="s">
        <v>2371</v>
      </c>
      <c r="Q39" s="1900" t="str">
        <f t="shared" si="11"/>
        <v>物业管理</v>
      </c>
      <c r="R39" s="753" t="s">
        <v>25</v>
      </c>
      <c r="S39" s="754">
        <f t="shared" si="12"/>
        <v>100</v>
      </c>
      <c r="T39" s="753" t="s">
        <v>25</v>
      </c>
      <c r="U39" s="754">
        <f t="shared" si="13"/>
        <v>100</v>
      </c>
      <c r="V39" s="753" t="s">
        <v>25</v>
      </c>
      <c r="W39" s="754">
        <f t="shared" si="14"/>
        <v>100</v>
      </c>
      <c r="X39" s="1901"/>
      <c r="Y39" s="3043" t="s">
        <v>2371</v>
      </c>
      <c r="Z39" s="1903" t="str">
        <f t="shared" si="15"/>
        <v>物业管理</v>
      </c>
      <c r="AA39" s="1904">
        <f t="shared" si="3"/>
        <v>1</v>
      </c>
      <c r="AB39" s="1904">
        <f t="shared" si="4"/>
        <v>1</v>
      </c>
      <c r="AC39" s="1904">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2"/>
      <c r="Q40" s="1900" t="str">
        <f t="shared" si="11"/>
        <v>市政基础设施</v>
      </c>
      <c r="R40" s="753" t="s">
        <v>25</v>
      </c>
      <c r="S40" s="754">
        <f t="shared" si="12"/>
        <v>100</v>
      </c>
      <c r="T40" s="753" t="s">
        <v>25</v>
      </c>
      <c r="U40" s="754">
        <f t="shared" si="13"/>
        <v>100</v>
      </c>
      <c r="V40" s="753" t="s">
        <v>25</v>
      </c>
      <c r="W40" s="754">
        <f t="shared" si="14"/>
        <v>100</v>
      </c>
      <c r="X40" s="1901"/>
      <c r="Y40" s="3043"/>
      <c r="Z40" s="1903" t="str">
        <f t="shared" si="15"/>
        <v>市政基础设施</v>
      </c>
      <c r="AA40" s="1904">
        <f t="shared" si="3"/>
        <v>1</v>
      </c>
      <c r="AB40" s="1904">
        <f t="shared" si="4"/>
        <v>1</v>
      </c>
      <c r="AC40" s="1904">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2"/>
      <c r="Q41" s="1900" t="str">
        <f t="shared" si="11"/>
        <v>层高</v>
      </c>
      <c r="R41" s="753" t="s">
        <v>25</v>
      </c>
      <c r="S41" s="754">
        <f t="shared" si="12"/>
        <v>100</v>
      </c>
      <c r="T41" s="753" t="s">
        <v>25</v>
      </c>
      <c r="U41" s="754">
        <f t="shared" si="13"/>
        <v>100</v>
      </c>
      <c r="V41" s="753" t="s">
        <v>25</v>
      </c>
      <c r="W41" s="754">
        <f t="shared" si="14"/>
        <v>100</v>
      </c>
      <c r="X41" s="1901"/>
      <c r="Y41" s="3043"/>
      <c r="Z41" s="1903" t="str">
        <f t="shared" si="15"/>
        <v>层高</v>
      </c>
      <c r="AA41" s="1904">
        <f t="shared" si="3"/>
        <v>1</v>
      </c>
      <c r="AB41" s="1904">
        <f t="shared" si="4"/>
        <v>1</v>
      </c>
      <c r="AC41" s="1904">
        <f t="shared" si="5"/>
        <v>1</v>
      </c>
    </row>
    <row r="42" spans="1:29" s="452" customFormat="1" ht="15">
      <c r="A42" s="449"/>
      <c r="B42" s="1905"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2"/>
      <c r="Q42" s="755" t="str">
        <f t="shared" si="11"/>
        <v>单套建筑面积</v>
      </c>
      <c r="R42" s="756" t="s">
        <v>25</v>
      </c>
      <c r="S42" s="757">
        <f t="shared" si="12"/>
        <v>100</v>
      </c>
      <c r="T42" s="756" t="s">
        <v>25</v>
      </c>
      <c r="U42" s="757">
        <f t="shared" si="13"/>
        <v>100</v>
      </c>
      <c r="V42" s="756" t="s">
        <v>25</v>
      </c>
      <c r="W42" s="757">
        <f t="shared" si="14"/>
        <v>100</v>
      </c>
      <c r="X42" s="758"/>
      <c r="Y42" s="3043"/>
      <c r="Z42" s="759" t="str">
        <f t="shared" si="15"/>
        <v>单套建筑面积</v>
      </c>
      <c r="AA42" s="1904">
        <f t="shared" si="3"/>
        <v>1</v>
      </c>
      <c r="AB42" s="1904">
        <f t="shared" si="4"/>
        <v>1</v>
      </c>
      <c r="AC42" s="1904">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2"/>
      <c r="Q43" s="1900" t="str">
        <f t="shared" si="11"/>
        <v>内部装修</v>
      </c>
      <c r="R43" s="753" t="s">
        <v>25</v>
      </c>
      <c r="S43" s="754">
        <f t="shared" si="12"/>
        <v>100</v>
      </c>
      <c r="T43" s="753" t="s">
        <v>25</v>
      </c>
      <c r="U43" s="754">
        <f t="shared" si="13"/>
        <v>100</v>
      </c>
      <c r="V43" s="753" t="s">
        <v>25</v>
      </c>
      <c r="W43" s="754">
        <f t="shared" si="14"/>
        <v>100</v>
      </c>
      <c r="X43" s="1901"/>
      <c r="Y43" s="3043"/>
      <c r="Z43" s="1903" t="str">
        <f t="shared" si="15"/>
        <v>内部装修</v>
      </c>
      <c r="AA43" s="1904">
        <f t="shared" si="3"/>
        <v>1</v>
      </c>
      <c r="AB43" s="1904">
        <f t="shared" si="4"/>
        <v>1</v>
      </c>
      <c r="AC43" s="1904">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82"/>
      <c r="Q44" s="1900" t="str">
        <f t="shared" si="11"/>
        <v>内部装修维护情况</v>
      </c>
      <c r="R44" s="753" t="s">
        <v>25</v>
      </c>
      <c r="S44" s="754">
        <f t="shared" si="12"/>
        <v>100</v>
      </c>
      <c r="T44" s="753" t="s">
        <v>25</v>
      </c>
      <c r="U44" s="754">
        <f t="shared" si="13"/>
        <v>100</v>
      </c>
      <c r="V44" s="753" t="s">
        <v>25</v>
      </c>
      <c r="W44" s="754">
        <f t="shared" si="14"/>
        <v>100</v>
      </c>
      <c r="X44" s="1901"/>
      <c r="Y44" s="3043"/>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2"/>
      <c r="Q45" s="1888">
        <f t="shared" si="11"/>
        <v>111</v>
      </c>
      <c r="R45" s="749" t="s">
        <v>25</v>
      </c>
      <c r="S45" s="750">
        <f t="shared" si="12"/>
        <v>100</v>
      </c>
      <c r="T45" s="749" t="s">
        <v>25</v>
      </c>
      <c r="U45" s="750">
        <f t="shared" si="13"/>
        <v>100</v>
      </c>
      <c r="V45" s="749" t="s">
        <v>25</v>
      </c>
      <c r="W45" s="750">
        <f t="shared" si="14"/>
        <v>100</v>
      </c>
      <c r="X45" s="751"/>
      <c r="Y45" s="3043"/>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2"/>
      <c r="Q46" s="1900">
        <f t="shared" si="11"/>
        <v>111</v>
      </c>
      <c r="R46" s="753" t="s">
        <v>25</v>
      </c>
      <c r="S46" s="754">
        <f t="shared" si="12"/>
        <v>100</v>
      </c>
      <c r="T46" s="753" t="s">
        <v>25</v>
      </c>
      <c r="U46" s="754">
        <f t="shared" si="13"/>
        <v>100</v>
      </c>
      <c r="V46" s="753" t="s">
        <v>25</v>
      </c>
      <c r="W46" s="754">
        <f t="shared" si="14"/>
        <v>100</v>
      </c>
      <c r="X46" s="1901"/>
      <c r="Y46" s="3043"/>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3"/>
      <c r="Q47" s="1900">
        <f t="shared" si="11"/>
        <v>111</v>
      </c>
      <c r="R47" s="753" t="s">
        <v>25</v>
      </c>
      <c r="S47" s="754">
        <f t="shared" si="12"/>
        <v>100</v>
      </c>
      <c r="T47" s="753" t="s">
        <v>25</v>
      </c>
      <c r="U47" s="754">
        <f t="shared" si="13"/>
        <v>100</v>
      </c>
      <c r="V47" s="753" t="s">
        <v>25</v>
      </c>
      <c r="W47" s="754">
        <f t="shared" si="14"/>
        <v>100</v>
      </c>
      <c r="X47" s="1901"/>
      <c r="Y47" s="3044"/>
      <c r="Z47" s="1903">
        <f t="shared" si="15"/>
        <v>111</v>
      </c>
      <c r="AA47" s="1904">
        <f t="shared" si="3"/>
        <v>1</v>
      </c>
      <c r="AB47" s="1904">
        <f t="shared" si="4"/>
        <v>1</v>
      </c>
      <c r="AC47" s="1904">
        <f t="shared" si="5"/>
        <v>1</v>
      </c>
    </row>
    <row r="48" spans="1:29" ht="15">
      <c r="A48" s="460" t="s">
        <v>2383</v>
      </c>
      <c r="B48" s="461"/>
      <c r="C48" s="1502" t="s">
        <v>1</v>
      </c>
      <c r="D48" s="1503"/>
      <c r="E48" s="1504"/>
      <c r="F48" s="1505"/>
      <c r="G48" s="1506"/>
      <c r="H48" s="1507"/>
      <c r="I48" s="1504"/>
      <c r="J48" s="1507"/>
      <c r="K48" s="762"/>
      <c r="L48" s="1256"/>
      <c r="M48" s="1244"/>
      <c r="N48" s="1244"/>
      <c r="O48" s="1244"/>
      <c r="P48" s="3033" t="str">
        <f>A48</f>
        <v>成交单价（元/平方米）</v>
      </c>
      <c r="Q48" s="3035"/>
      <c r="R48" s="3031">
        <f>E48</f>
        <v>0</v>
      </c>
      <c r="S48" s="3031"/>
      <c r="T48" s="3031">
        <f>G48</f>
        <v>0</v>
      </c>
      <c r="U48" s="3031"/>
      <c r="V48" s="3031">
        <f>I48</f>
        <v>0</v>
      </c>
      <c r="W48" s="3031"/>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33" t="str">
        <f>A49</f>
        <v>比较价值（元/平方米）</v>
      </c>
      <c r="Q49" s="3035"/>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0" t="str">
        <f>A50</f>
        <v>估价对象XX用房的比较价值（楼面单价，元/平方米）</v>
      </c>
      <c r="Q50" s="3033"/>
      <c r="R50" s="3034" t="e">
        <f>IF(E1="售价",ROUND(AVERAGE(R49:V49),0),ROUND(AVERAGE(R49:V49),1))</f>
        <v>#DIV/0!</v>
      </c>
      <c r="S50" s="3034"/>
      <c r="T50" s="3034"/>
      <c r="U50" s="3034"/>
      <c r="V50" s="3034"/>
      <c r="W50" s="303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9" t="str">
        <f>YEAR(C7)&amp;"-"&amp;MONTH(C7)</f>
        <v>2017-12</v>
      </c>
      <c r="D59" s="1680">
        <f>EDATE(C59,-1)</f>
        <v>43040</v>
      </c>
      <c r="E59" s="1680">
        <f t="shared" ref="E59:O59" si="16">EDATE(D59,-1)</f>
        <v>43009</v>
      </c>
      <c r="F59" s="1680">
        <f t="shared" si="16"/>
        <v>42979</v>
      </c>
      <c r="G59" s="1680">
        <f t="shared" si="16"/>
        <v>42948</v>
      </c>
      <c r="H59" s="1680">
        <f t="shared" si="16"/>
        <v>42917</v>
      </c>
      <c r="I59" s="1680">
        <f t="shared" si="16"/>
        <v>42887</v>
      </c>
      <c r="J59" s="1680">
        <f t="shared" si="16"/>
        <v>42856</v>
      </c>
      <c r="K59" s="1680">
        <f t="shared" si="16"/>
        <v>42826</v>
      </c>
      <c r="L59" s="1680">
        <f t="shared" si="16"/>
        <v>42795</v>
      </c>
      <c r="M59" s="1680">
        <f t="shared" si="16"/>
        <v>42767</v>
      </c>
      <c r="N59" s="1680">
        <f t="shared" si="16"/>
        <v>42736</v>
      </c>
      <c r="O59" s="1680">
        <f t="shared" si="16"/>
        <v>42705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2495</v>
      </c>
      <c r="C1" s="1727"/>
      <c r="D1" s="1740"/>
      <c r="E1" s="2383"/>
      <c r="F1" s="1741" t="s">
        <v>2338</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IF(D2="——",IF(C2="元",ROUND(C43*D3,0),ROUND(C43*D3/10000,0)),IF(C2="元",ROUND(C43*D3,0),ROUND(C43*D3/10000,0))-E2)</f>
        <v>#DIV/0!</v>
      </c>
      <c r="C2" s="163" t="str">
        <f>'数据-取费表'!B3</f>
        <v>元</v>
      </c>
      <c r="D2" s="2385"/>
      <c r="E2" s="2476"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137.41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60" t="s">
        <v>2343</v>
      </c>
      <c r="AC4" s="3059" t="s">
        <v>2344</v>
      </c>
    </row>
    <row r="5" spans="1:29" ht="15">
      <c r="A5" s="383"/>
      <c r="B5" s="384"/>
      <c r="C5" s="3077" t="s">
        <v>2347</v>
      </c>
      <c r="D5" s="3048"/>
      <c r="E5" s="3075" t="s">
        <v>2348</v>
      </c>
      <c r="F5" s="3076"/>
      <c r="G5" s="3077" t="s">
        <v>2349</v>
      </c>
      <c r="H5" s="3048"/>
      <c r="I5" s="3077" t="s">
        <v>2350</v>
      </c>
      <c r="J5" s="3048"/>
      <c r="K5" s="594"/>
      <c r="L5" s="1243"/>
      <c r="M5" s="1244"/>
      <c r="N5" s="1244"/>
      <c r="O5" s="1244"/>
      <c r="P5" s="3068"/>
      <c r="Q5" s="3069"/>
      <c r="R5" s="3053"/>
      <c r="S5" s="3054"/>
      <c r="T5" s="3053"/>
      <c r="U5" s="3054"/>
      <c r="V5" s="3072"/>
      <c r="W5" s="3072"/>
      <c r="X5" s="1901"/>
      <c r="Y5" s="3053"/>
      <c r="Z5" s="3054"/>
      <c r="AA5" s="3060"/>
      <c r="AB5" s="3060"/>
      <c r="AC5" s="3060"/>
    </row>
    <row r="6" spans="1:29" ht="15.75" thickBot="1">
      <c r="A6" s="385"/>
      <c r="B6" s="386"/>
      <c r="C6" s="3078" t="s">
        <v>2351</v>
      </c>
      <c r="D6" s="3074"/>
      <c r="E6" s="3079" t="s">
        <v>2351</v>
      </c>
      <c r="F6" s="3046"/>
      <c r="G6" s="3078" t="s">
        <v>2351</v>
      </c>
      <c r="H6" s="3074"/>
      <c r="I6" s="3078" t="s">
        <v>2351</v>
      </c>
      <c r="J6" s="3074"/>
      <c r="K6" s="594" t="s">
        <v>2352</v>
      </c>
      <c r="L6" s="1243"/>
      <c r="M6" s="1244"/>
      <c r="N6" s="1244"/>
      <c r="O6" s="1244"/>
      <c r="P6" s="3070"/>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9" t="s">
        <v>2357</v>
      </c>
      <c r="Q8" s="3050"/>
      <c r="R8" s="749" t="s">
        <v>25</v>
      </c>
      <c r="S8" s="750">
        <f t="shared" si="0"/>
        <v>100</v>
      </c>
      <c r="T8" s="749" t="s">
        <v>25</v>
      </c>
      <c r="U8" s="750">
        <f t="shared" si="1"/>
        <v>100</v>
      </c>
      <c r="V8" s="749" t="s">
        <v>25</v>
      </c>
      <c r="W8" s="750">
        <f t="shared" si="2"/>
        <v>100</v>
      </c>
      <c r="X8" s="751"/>
      <c r="Y8" s="3049" t="s">
        <v>2357</v>
      </c>
      <c r="Z8" s="3050"/>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5"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5"/>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5"/>
      <c r="Q11" s="1888"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35"/>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35"/>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3"/>
      <c r="M14" s="1244"/>
      <c r="N14" s="1244"/>
      <c r="O14" s="1252"/>
      <c r="P14" s="3035"/>
      <c r="Q14" s="1888">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8" t="s">
        <v>2365</v>
      </c>
      <c r="Q15" s="1900" t="str">
        <f t="shared" si="6"/>
        <v>产业集聚程度</v>
      </c>
      <c r="R15" s="753" t="s">
        <v>25</v>
      </c>
      <c r="S15" s="754">
        <f t="shared" si="0"/>
        <v>100</v>
      </c>
      <c r="T15" s="753" t="s">
        <v>25</v>
      </c>
      <c r="U15" s="754">
        <f t="shared" si="1"/>
        <v>100</v>
      </c>
      <c r="V15" s="753" t="s">
        <v>25</v>
      </c>
      <c r="W15" s="754">
        <f t="shared" si="2"/>
        <v>100</v>
      </c>
      <c r="X15" s="1901"/>
      <c r="Y15" s="3038" t="s">
        <v>2365</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39"/>
      <c r="Q16" s="1900"/>
      <c r="R16" s="753"/>
      <c r="S16" s="754"/>
      <c r="T16" s="753"/>
      <c r="U16" s="754"/>
      <c r="V16" s="753"/>
      <c r="W16" s="754"/>
      <c r="X16" s="1901"/>
      <c r="Y16" s="3039"/>
      <c r="Z16" s="1903"/>
      <c r="AA16" s="1904">
        <v>1</v>
      </c>
      <c r="AB16" s="1904">
        <v>1</v>
      </c>
      <c r="AC16" s="1904">
        <v>1</v>
      </c>
    </row>
    <row r="17" spans="1:29" ht="85.5">
      <c r="A17" s="408"/>
      <c r="B17" s="431" t="s">
        <v>1749</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9"/>
      <c r="Q17" s="1900" t="str">
        <f>B17</f>
        <v>交通便捷度</v>
      </c>
      <c r="R17" s="753" t="s">
        <v>25</v>
      </c>
      <c r="S17" s="754">
        <f>F17</f>
        <v>100</v>
      </c>
      <c r="T17" s="753" t="s">
        <v>25</v>
      </c>
      <c r="U17" s="754">
        <f>H17</f>
        <v>100</v>
      </c>
      <c r="V17" s="753" t="s">
        <v>25</v>
      </c>
      <c r="W17" s="754">
        <f>J17</f>
        <v>100</v>
      </c>
      <c r="X17" s="1901"/>
      <c r="Y17" s="303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39"/>
      <c r="Q18" s="1900"/>
      <c r="R18" s="753"/>
      <c r="S18" s="754"/>
      <c r="T18" s="753"/>
      <c r="U18" s="754"/>
      <c r="V18" s="753"/>
      <c r="W18" s="754"/>
      <c r="X18" s="1901"/>
      <c r="Y18" s="3039"/>
      <c r="Z18" s="1903"/>
      <c r="AA18" s="1904">
        <v>1</v>
      </c>
      <c r="AB18" s="1904">
        <v>1</v>
      </c>
      <c r="AC18" s="1904">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9"/>
      <c r="Q19" s="1900" t="str">
        <f>B19</f>
        <v>公共配套设施</v>
      </c>
      <c r="R19" s="753" t="s">
        <v>25</v>
      </c>
      <c r="S19" s="754">
        <f>F19</f>
        <v>100</v>
      </c>
      <c r="T19" s="753" t="s">
        <v>25</v>
      </c>
      <c r="U19" s="754">
        <f>H19</f>
        <v>100</v>
      </c>
      <c r="V19" s="753" t="s">
        <v>25</v>
      </c>
      <c r="W19" s="754">
        <f>J19</f>
        <v>100</v>
      </c>
      <c r="X19" s="1901"/>
      <c r="Y19" s="3039"/>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39"/>
      <c r="Q20" s="1900"/>
      <c r="R20" s="753"/>
      <c r="S20" s="754"/>
      <c r="T20" s="753"/>
      <c r="U20" s="754"/>
      <c r="V20" s="753"/>
      <c r="W20" s="754"/>
      <c r="X20" s="1901"/>
      <c r="Y20" s="3039"/>
      <c r="Z20" s="1903"/>
      <c r="AA20" s="1904">
        <v>1</v>
      </c>
      <c r="AB20" s="1904">
        <v>1</v>
      </c>
      <c r="AC20" s="1904">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9"/>
      <c r="Q21" s="1900" t="str">
        <f>B21</f>
        <v>基础设施水平</v>
      </c>
      <c r="R21" s="753" t="s">
        <v>25</v>
      </c>
      <c r="S21" s="754">
        <f>F21</f>
        <v>100</v>
      </c>
      <c r="T21" s="753" t="s">
        <v>25</v>
      </c>
      <c r="U21" s="754">
        <f>H21</f>
        <v>100</v>
      </c>
      <c r="V21" s="753" t="s">
        <v>25</v>
      </c>
      <c r="W21" s="754">
        <f>J21</f>
        <v>100</v>
      </c>
      <c r="X21" s="1901"/>
      <c r="Y21" s="303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39"/>
      <c r="Q22" s="1900"/>
      <c r="R22" s="753"/>
      <c r="S22" s="754"/>
      <c r="T22" s="753"/>
      <c r="U22" s="754"/>
      <c r="V22" s="753"/>
      <c r="W22" s="754"/>
      <c r="X22" s="1901"/>
      <c r="Y22" s="3039"/>
      <c r="Z22" s="1903"/>
      <c r="AA22" s="1904">
        <v>1</v>
      </c>
      <c r="AB22" s="1904">
        <v>1</v>
      </c>
      <c r="AC22" s="1904">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9"/>
      <c r="Q23" s="1900" t="str">
        <f>B23</f>
        <v>环境质量</v>
      </c>
      <c r="R23" s="753" t="s">
        <v>25</v>
      </c>
      <c r="S23" s="754">
        <f>F23</f>
        <v>100</v>
      </c>
      <c r="T23" s="753" t="s">
        <v>25</v>
      </c>
      <c r="U23" s="754">
        <f>H23</f>
        <v>100</v>
      </c>
      <c r="V23" s="753" t="s">
        <v>25</v>
      </c>
      <c r="W23" s="754">
        <f>J23</f>
        <v>100</v>
      </c>
      <c r="X23" s="1901"/>
      <c r="Y23" s="3039"/>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39"/>
      <c r="Q24" s="1900"/>
      <c r="R24" s="753"/>
      <c r="S24" s="754"/>
      <c r="T24" s="753"/>
      <c r="U24" s="754"/>
      <c r="V24" s="753"/>
      <c r="W24" s="754"/>
      <c r="X24" s="1901"/>
      <c r="Y24" s="3039"/>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9"/>
      <c r="Q25" s="1900">
        <f>B25</f>
        <v>111</v>
      </c>
      <c r="R25" s="753" t="s">
        <v>25</v>
      </c>
      <c r="S25" s="754">
        <f>F25</f>
        <v>100</v>
      </c>
      <c r="T25" s="753" t="s">
        <v>25</v>
      </c>
      <c r="U25" s="754">
        <f>H25</f>
        <v>100</v>
      </c>
      <c r="V25" s="753" t="s">
        <v>25</v>
      </c>
      <c r="W25" s="754">
        <f>J25</f>
        <v>100</v>
      </c>
      <c r="X25" s="1901"/>
      <c r="Y25" s="3039"/>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9"/>
      <c r="Q26" s="1900">
        <f t="shared" ref="Q26:Q40" si="11">B26</f>
        <v>111</v>
      </c>
      <c r="R26" s="753" t="s">
        <v>25</v>
      </c>
      <c r="S26" s="754">
        <f>F26</f>
        <v>100</v>
      </c>
      <c r="T26" s="753" t="s">
        <v>25</v>
      </c>
      <c r="U26" s="754">
        <f>H26</f>
        <v>100</v>
      </c>
      <c r="V26" s="753" t="s">
        <v>25</v>
      </c>
      <c r="W26" s="754">
        <f>J26</f>
        <v>100</v>
      </c>
      <c r="X26" s="1901"/>
      <c r="Y26" s="3039"/>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9"/>
      <c r="Q27" s="1888">
        <f t="shared" si="11"/>
        <v>111</v>
      </c>
      <c r="R27" s="749" t="s">
        <v>25</v>
      </c>
      <c r="S27" s="750">
        <f>F27</f>
        <v>100</v>
      </c>
      <c r="T27" s="749" t="s">
        <v>25</v>
      </c>
      <c r="U27" s="750">
        <f>H27</f>
        <v>100</v>
      </c>
      <c r="V27" s="749" t="s">
        <v>25</v>
      </c>
      <c r="W27" s="750">
        <f>J27</f>
        <v>100</v>
      </c>
      <c r="X27" s="751"/>
      <c r="Y27" s="3039"/>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9"/>
      <c r="Q28" s="1900">
        <f t="shared" si="11"/>
        <v>111</v>
      </c>
      <c r="R28" s="753" t="s">
        <v>25</v>
      </c>
      <c r="S28" s="754">
        <f t="shared" ref="S28:S40" si="12">F28</f>
        <v>100</v>
      </c>
      <c r="T28" s="753" t="s">
        <v>25</v>
      </c>
      <c r="U28" s="754">
        <f t="shared" ref="U28:U40" si="13">H28</f>
        <v>100</v>
      </c>
      <c r="V28" s="753" t="s">
        <v>25</v>
      </c>
      <c r="W28" s="754">
        <f t="shared" ref="W28:W40" si="14">J28</f>
        <v>100</v>
      </c>
      <c r="X28" s="1901"/>
      <c r="Y28" s="3039"/>
      <c r="Z28" s="1903">
        <f t="shared" ref="Z28:Z40" si="15">Q28</f>
        <v>111</v>
      </c>
      <c r="AA28" s="1904">
        <f t="shared" si="3"/>
        <v>1</v>
      </c>
      <c r="AB28" s="1904">
        <f t="shared" si="4"/>
        <v>1</v>
      </c>
      <c r="AC28" s="1904">
        <f t="shared" si="5"/>
        <v>1</v>
      </c>
    </row>
    <row r="29" spans="1:29" ht="1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87" t="s">
        <v>2371</v>
      </c>
      <c r="Q29" s="1900" t="str">
        <f t="shared" si="11"/>
        <v>建筑类型</v>
      </c>
      <c r="R29" s="753" t="s">
        <v>25</v>
      </c>
      <c r="S29" s="754">
        <f t="shared" si="12"/>
        <v>100</v>
      </c>
      <c r="T29" s="753" t="s">
        <v>25</v>
      </c>
      <c r="U29" s="754">
        <f t="shared" si="13"/>
        <v>100</v>
      </c>
      <c r="V29" s="753" t="s">
        <v>25</v>
      </c>
      <c r="W29" s="754">
        <f t="shared" si="14"/>
        <v>100</v>
      </c>
      <c r="X29" s="1901"/>
      <c r="Y29" s="3043" t="s">
        <v>2371</v>
      </c>
      <c r="Z29" s="1903" t="str">
        <f t="shared" si="15"/>
        <v>建筑类型</v>
      </c>
      <c r="AA29" s="1904">
        <f t="shared" si="3"/>
        <v>1</v>
      </c>
      <c r="AB29" s="1904">
        <f t="shared" si="4"/>
        <v>1</v>
      </c>
      <c r="AC29" s="1904">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3"/>
      <c r="Q30" s="755" t="str">
        <f t="shared" si="11"/>
        <v>项目建筑规模</v>
      </c>
      <c r="R30" s="756" t="s">
        <v>25</v>
      </c>
      <c r="S30" s="757" t="e">
        <f t="shared" si="12"/>
        <v>#N/A</v>
      </c>
      <c r="T30" s="756" t="s">
        <v>25</v>
      </c>
      <c r="U30" s="757" t="e">
        <f t="shared" si="13"/>
        <v>#N/A</v>
      </c>
      <c r="V30" s="756" t="s">
        <v>25</v>
      </c>
      <c r="W30" s="757" t="e">
        <f t="shared" si="14"/>
        <v>#N/A</v>
      </c>
      <c r="X30" s="758"/>
      <c r="Y30" s="3043"/>
      <c r="Z30" s="759" t="str">
        <f t="shared" si="15"/>
        <v>项目建筑规模</v>
      </c>
      <c r="AA30" s="1904" t="e">
        <f t="shared" si="3"/>
        <v>#N/A</v>
      </c>
      <c r="AB30" s="1904" t="e">
        <f t="shared" si="4"/>
        <v>#N/A</v>
      </c>
      <c r="AC30" s="1904"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3"/>
      <c r="Q31" s="1900" t="str">
        <f t="shared" si="11"/>
        <v>建筑结构</v>
      </c>
      <c r="R31" s="753" t="s">
        <v>25</v>
      </c>
      <c r="S31" s="754">
        <f t="shared" si="12"/>
        <v>100</v>
      </c>
      <c r="T31" s="753" t="s">
        <v>25</v>
      </c>
      <c r="U31" s="754">
        <f t="shared" si="13"/>
        <v>100</v>
      </c>
      <c r="V31" s="753" t="s">
        <v>25</v>
      </c>
      <c r="W31" s="754">
        <f t="shared" si="14"/>
        <v>100</v>
      </c>
      <c r="X31" s="1901"/>
      <c r="Y31" s="3043"/>
      <c r="Z31" s="1903" t="str">
        <f t="shared" si="15"/>
        <v>建筑结构</v>
      </c>
      <c r="AA31" s="1904">
        <f t="shared" si="3"/>
        <v>1</v>
      </c>
      <c r="AB31" s="1904">
        <f t="shared" si="4"/>
        <v>1</v>
      </c>
      <c r="AC31" s="1904">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3"/>
      <c r="Q32" s="1900" t="str">
        <f t="shared" si="11"/>
        <v>公共部分装修</v>
      </c>
      <c r="R32" s="753" t="s">
        <v>25</v>
      </c>
      <c r="S32" s="754">
        <f t="shared" si="12"/>
        <v>100</v>
      </c>
      <c r="T32" s="753" t="s">
        <v>25</v>
      </c>
      <c r="U32" s="754">
        <f t="shared" si="13"/>
        <v>100</v>
      </c>
      <c r="V32" s="753" t="s">
        <v>25</v>
      </c>
      <c r="W32" s="754">
        <f t="shared" si="14"/>
        <v>100</v>
      </c>
      <c r="X32" s="1901"/>
      <c r="Y32" s="3043"/>
      <c r="Z32" s="1903" t="str">
        <f t="shared" si="15"/>
        <v>公共部分装修</v>
      </c>
      <c r="AA32" s="1904">
        <f t="shared" si="3"/>
        <v>1</v>
      </c>
      <c r="AB32" s="1904">
        <f t="shared" si="4"/>
        <v>1</v>
      </c>
      <c r="AC32" s="1904">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3"/>
      <c r="Q33" s="1900" t="str">
        <f t="shared" si="11"/>
        <v>成新度</v>
      </c>
      <c r="R33" s="753" t="s">
        <v>25</v>
      </c>
      <c r="S33" s="754" t="e">
        <f t="shared" si="12"/>
        <v>#N/A</v>
      </c>
      <c r="T33" s="753" t="s">
        <v>25</v>
      </c>
      <c r="U33" s="754" t="e">
        <f t="shared" si="13"/>
        <v>#N/A</v>
      </c>
      <c r="V33" s="753" t="s">
        <v>25</v>
      </c>
      <c r="W33" s="754" t="e">
        <f t="shared" si="14"/>
        <v>#N/A</v>
      </c>
      <c r="X33" s="1901"/>
      <c r="Y33" s="3043"/>
      <c r="Z33" s="1903" t="str">
        <f t="shared" si="15"/>
        <v>成新度</v>
      </c>
      <c r="AA33" s="1904" t="e">
        <f t="shared" si="3"/>
        <v>#N/A</v>
      </c>
      <c r="AB33" s="1904" t="e">
        <f t="shared" si="4"/>
        <v>#N/A</v>
      </c>
      <c r="AC33" s="1904"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3"/>
      <c r="Q34" s="1888" t="str">
        <f t="shared" si="11"/>
        <v>物业管理</v>
      </c>
      <c r="R34" s="749" t="s">
        <v>25</v>
      </c>
      <c r="S34" s="750">
        <f t="shared" si="12"/>
        <v>100</v>
      </c>
      <c r="T34" s="749" t="s">
        <v>25</v>
      </c>
      <c r="U34" s="750">
        <f t="shared" si="13"/>
        <v>100</v>
      </c>
      <c r="V34" s="749" t="s">
        <v>25</v>
      </c>
      <c r="W34" s="750">
        <f t="shared" si="14"/>
        <v>100</v>
      </c>
      <c r="X34" s="751"/>
      <c r="Y34" s="3043"/>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3" t="s">
        <v>2371</v>
      </c>
      <c r="Q35" s="1900" t="str">
        <f t="shared" si="11"/>
        <v>市政基础设施</v>
      </c>
      <c r="R35" s="753" t="s">
        <v>25</v>
      </c>
      <c r="S35" s="754">
        <f t="shared" si="12"/>
        <v>100</v>
      </c>
      <c r="T35" s="753" t="s">
        <v>25</v>
      </c>
      <c r="U35" s="754">
        <f t="shared" si="13"/>
        <v>100</v>
      </c>
      <c r="V35" s="753" t="s">
        <v>25</v>
      </c>
      <c r="W35" s="754">
        <f t="shared" si="14"/>
        <v>100</v>
      </c>
      <c r="X35" s="1901"/>
      <c r="Y35" s="3043" t="s">
        <v>2371</v>
      </c>
      <c r="Z35" s="1903" t="str">
        <f t="shared" si="15"/>
        <v>市政基础设施</v>
      </c>
      <c r="AA35" s="1904">
        <f t="shared" si="3"/>
        <v>1</v>
      </c>
      <c r="AB35" s="1904">
        <f t="shared" si="4"/>
        <v>1</v>
      </c>
      <c r="AC35" s="1904">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3"/>
      <c r="Q36" s="1900" t="str">
        <f t="shared" si="11"/>
        <v>内部装修</v>
      </c>
      <c r="R36" s="753" t="s">
        <v>25</v>
      </c>
      <c r="S36" s="754">
        <f t="shared" si="12"/>
        <v>100</v>
      </c>
      <c r="T36" s="753" t="s">
        <v>25</v>
      </c>
      <c r="U36" s="754">
        <f t="shared" si="13"/>
        <v>100</v>
      </c>
      <c r="V36" s="753" t="s">
        <v>25</v>
      </c>
      <c r="W36" s="754">
        <f t="shared" si="14"/>
        <v>100</v>
      </c>
      <c r="X36" s="1901"/>
      <c r="Y36" s="3043"/>
      <c r="Z36" s="1903" t="str">
        <f t="shared" si="15"/>
        <v>内部装修</v>
      </c>
      <c r="AA36" s="1904">
        <f t="shared" si="3"/>
        <v>1</v>
      </c>
      <c r="AB36" s="1904">
        <f t="shared" si="4"/>
        <v>1</v>
      </c>
      <c r="AC36" s="1904">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3"/>
      <c r="Q37" s="1900" t="str">
        <f t="shared" si="11"/>
        <v>内部装修状况</v>
      </c>
      <c r="R37" s="753" t="s">
        <v>25</v>
      </c>
      <c r="S37" s="754">
        <f t="shared" si="12"/>
        <v>0</v>
      </c>
      <c r="T37" s="753" t="s">
        <v>25</v>
      </c>
      <c r="U37" s="754">
        <f t="shared" si="13"/>
        <v>0</v>
      </c>
      <c r="V37" s="753" t="s">
        <v>25</v>
      </c>
      <c r="W37" s="754">
        <f t="shared" si="14"/>
        <v>0</v>
      </c>
      <c r="X37" s="1901"/>
      <c r="Y37" s="3043"/>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3"/>
      <c r="Q38" s="755">
        <f t="shared" si="11"/>
        <v>111</v>
      </c>
      <c r="R38" s="756" t="s">
        <v>25</v>
      </c>
      <c r="S38" s="757">
        <f t="shared" si="12"/>
        <v>100</v>
      </c>
      <c r="T38" s="756" t="s">
        <v>25</v>
      </c>
      <c r="U38" s="757">
        <f t="shared" si="13"/>
        <v>100</v>
      </c>
      <c r="V38" s="756" t="s">
        <v>25</v>
      </c>
      <c r="W38" s="757">
        <f t="shared" si="14"/>
        <v>100</v>
      </c>
      <c r="X38" s="758"/>
      <c r="Y38" s="3043"/>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3"/>
      <c r="Q39" s="1900">
        <f t="shared" si="11"/>
        <v>111</v>
      </c>
      <c r="R39" s="753" t="s">
        <v>25</v>
      </c>
      <c r="S39" s="754">
        <f t="shared" si="12"/>
        <v>100</v>
      </c>
      <c r="T39" s="753" t="s">
        <v>25</v>
      </c>
      <c r="U39" s="754">
        <f t="shared" si="13"/>
        <v>100</v>
      </c>
      <c r="V39" s="753" t="s">
        <v>25</v>
      </c>
      <c r="W39" s="754">
        <f t="shared" si="14"/>
        <v>100</v>
      </c>
      <c r="X39" s="1901"/>
      <c r="Y39" s="3043"/>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4"/>
      <c r="Q40" s="1900">
        <f t="shared" si="11"/>
        <v>111</v>
      </c>
      <c r="R40" s="753" t="s">
        <v>25</v>
      </c>
      <c r="S40" s="754">
        <f t="shared" si="12"/>
        <v>100</v>
      </c>
      <c r="T40" s="753" t="s">
        <v>25</v>
      </c>
      <c r="U40" s="754">
        <f t="shared" si="13"/>
        <v>100</v>
      </c>
      <c r="V40" s="753" t="s">
        <v>25</v>
      </c>
      <c r="W40" s="754">
        <f t="shared" si="14"/>
        <v>100</v>
      </c>
      <c r="X40" s="1901"/>
      <c r="Y40" s="3044"/>
      <c r="Z40" s="1903">
        <f t="shared" si="15"/>
        <v>111</v>
      </c>
      <c r="AA40" s="1904">
        <f t="shared" si="3"/>
        <v>1</v>
      </c>
      <c r="AB40" s="1904">
        <f t="shared" si="4"/>
        <v>1</v>
      </c>
      <c r="AC40" s="1904">
        <f t="shared" si="5"/>
        <v>1</v>
      </c>
    </row>
    <row r="41" spans="1:29" ht="15">
      <c r="A41" s="460" t="s">
        <v>2383</v>
      </c>
      <c r="B41" s="461"/>
      <c r="C41" s="1502" t="s">
        <v>1</v>
      </c>
      <c r="D41" s="1503"/>
      <c r="E41" s="1504"/>
      <c r="F41" s="1505"/>
      <c r="G41" s="1506"/>
      <c r="H41" s="1507"/>
      <c r="I41" s="1504"/>
      <c r="J41" s="1507"/>
      <c r="K41" s="762"/>
      <c r="L41" s="1256"/>
      <c r="M41" s="1257"/>
      <c r="N41" s="1244"/>
      <c r="O41" s="1257"/>
      <c r="P41" s="3035" t="str">
        <f>A41</f>
        <v>成交单价（元/平方米）</v>
      </c>
      <c r="Q41" s="3035"/>
      <c r="R41" s="3031">
        <f>E41</f>
        <v>0</v>
      </c>
      <c r="S41" s="3031"/>
      <c r="T41" s="3031">
        <f>G41</f>
        <v>0</v>
      </c>
      <c r="U41" s="3031"/>
      <c r="V41" s="3031">
        <f>I41</f>
        <v>0</v>
      </c>
      <c r="W41" s="3031"/>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35" t="str">
        <f>A42</f>
        <v>比较价值（元/平方米）</v>
      </c>
      <c r="Q42" s="3035"/>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32" t="str">
        <f>A43</f>
        <v>估价对象XX用房的比较价值（楼面单价，元/平方米）</v>
      </c>
      <c r="Q43" s="3033"/>
      <c r="R43" s="3034" t="e">
        <f>IF(E1="售价",ROUND(AVERAGE(R42:V42),0),ROUND(AVERAGE(R42:V42),1))</f>
        <v>#DIV/0!</v>
      </c>
      <c r="S43" s="3034"/>
      <c r="T43" s="3034"/>
      <c r="U43" s="3034"/>
      <c r="V43" s="3034"/>
      <c r="W43" s="303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9" t="str">
        <f>YEAR(C7)&amp;"-"&amp;MONTH(C7)</f>
        <v>2017-12</v>
      </c>
      <c r="D52" s="1680">
        <f>EDATE(C52,-1)</f>
        <v>43040</v>
      </c>
      <c r="E52" s="1681">
        <f t="shared" ref="E52:O52" si="16">EDATE(D52,-1)</f>
        <v>43009</v>
      </c>
      <c r="F52" s="1681">
        <f t="shared" si="16"/>
        <v>42979</v>
      </c>
      <c r="G52" s="1681">
        <f t="shared" si="16"/>
        <v>42948</v>
      </c>
      <c r="H52" s="1681">
        <f t="shared" si="16"/>
        <v>42917</v>
      </c>
      <c r="I52" s="1681">
        <f t="shared" si="16"/>
        <v>42887</v>
      </c>
      <c r="J52" s="1681">
        <f t="shared" si="16"/>
        <v>42856</v>
      </c>
      <c r="K52" s="1681">
        <f t="shared" si="16"/>
        <v>42826</v>
      </c>
      <c r="L52" s="1681">
        <f t="shared" si="16"/>
        <v>42795</v>
      </c>
      <c r="M52" s="1681">
        <f t="shared" si="16"/>
        <v>42767</v>
      </c>
      <c r="N52" s="1681">
        <f t="shared" si="16"/>
        <v>42736</v>
      </c>
      <c r="O52" s="1681">
        <f t="shared" si="16"/>
        <v>42705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2506</v>
      </c>
      <c r="B1" s="2479"/>
      <c r="C1" s="1730"/>
      <c r="D1" s="1731"/>
      <c r="E1" s="2383"/>
      <c r="F1" s="1732" t="s">
        <v>2338</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137.41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514"/>
      <c r="M4" s="425"/>
      <c r="N4" s="425"/>
      <c r="O4" s="425"/>
      <c r="P4" s="3066" t="s">
        <v>2346</v>
      </c>
      <c r="Q4" s="3067"/>
      <c r="R4" s="3051" t="s">
        <v>2342</v>
      </c>
      <c r="S4" s="3052"/>
      <c r="T4" s="3051" t="s">
        <v>2343</v>
      </c>
      <c r="U4" s="3052"/>
      <c r="V4" s="3072" t="s">
        <v>2344</v>
      </c>
      <c r="W4" s="3072"/>
      <c r="X4" s="1901"/>
      <c r="Y4" s="3051" t="s">
        <v>2346</v>
      </c>
      <c r="Z4" s="3052"/>
      <c r="AA4" s="3059" t="s">
        <v>2342</v>
      </c>
      <c r="AB4" s="3060" t="s">
        <v>2343</v>
      </c>
      <c r="AC4" s="3059" t="s">
        <v>2344</v>
      </c>
    </row>
    <row r="5" spans="1:29" ht="15">
      <c r="A5" s="383"/>
      <c r="B5" s="384"/>
      <c r="C5" s="3077" t="s">
        <v>2347</v>
      </c>
      <c r="D5" s="3048"/>
      <c r="E5" s="3075" t="s">
        <v>2348</v>
      </c>
      <c r="F5" s="3076"/>
      <c r="G5" s="3077" t="s">
        <v>2349</v>
      </c>
      <c r="H5" s="3048"/>
      <c r="I5" s="3077" t="s">
        <v>2350</v>
      </c>
      <c r="J5" s="3048"/>
      <c r="K5" s="594"/>
      <c r="L5" s="1514"/>
      <c r="M5" s="425"/>
      <c r="N5" s="425"/>
      <c r="O5" s="425"/>
      <c r="P5" s="3068"/>
      <c r="Q5" s="3069"/>
      <c r="R5" s="3053"/>
      <c r="S5" s="3054"/>
      <c r="T5" s="3053"/>
      <c r="U5" s="3054"/>
      <c r="V5" s="3072"/>
      <c r="W5" s="3072"/>
      <c r="X5" s="1901"/>
      <c r="Y5" s="3053"/>
      <c r="Z5" s="3054"/>
      <c r="AA5" s="3060"/>
      <c r="AB5" s="3060"/>
      <c r="AC5" s="3060"/>
    </row>
    <row r="6" spans="1:29" ht="15.75" thickBot="1">
      <c r="A6" s="385"/>
      <c r="B6" s="386"/>
      <c r="C6" s="3078" t="s">
        <v>2351</v>
      </c>
      <c r="D6" s="3074"/>
      <c r="E6" s="3079" t="s">
        <v>2351</v>
      </c>
      <c r="F6" s="3046"/>
      <c r="G6" s="3078" t="s">
        <v>2351</v>
      </c>
      <c r="H6" s="3074"/>
      <c r="I6" s="3078" t="s">
        <v>2351</v>
      </c>
      <c r="J6" s="3074"/>
      <c r="K6" s="594" t="s">
        <v>2352</v>
      </c>
      <c r="L6" s="1514"/>
      <c r="M6" s="425"/>
      <c r="N6" s="425"/>
      <c r="O6" s="425"/>
      <c r="P6" s="3070"/>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9" t="s">
        <v>2354</v>
      </c>
      <c r="Q7" s="3057"/>
      <c r="R7" s="749" t="s">
        <v>25</v>
      </c>
      <c r="S7" s="750">
        <f t="shared" ref="S7:S14" si="0">F7</f>
        <v>0</v>
      </c>
      <c r="T7" s="749" t="s">
        <v>25</v>
      </c>
      <c r="U7" s="750">
        <f t="shared" ref="U7:U14" si="1">H7</f>
        <v>0</v>
      </c>
      <c r="V7" s="749" t="s">
        <v>25</v>
      </c>
      <c r="W7" s="750">
        <f t="shared" ref="W7:W14"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9" t="s">
        <v>2357</v>
      </c>
      <c r="Q8" s="3050"/>
      <c r="R8" s="749" t="s">
        <v>25</v>
      </c>
      <c r="S8" s="750">
        <f t="shared" si="0"/>
        <v>0</v>
      </c>
      <c r="T8" s="749" t="s">
        <v>25</v>
      </c>
      <c r="U8" s="750">
        <f t="shared" si="1"/>
        <v>0</v>
      </c>
      <c r="V8" s="749" t="s">
        <v>25</v>
      </c>
      <c r="W8" s="750">
        <f t="shared" si="2"/>
        <v>0</v>
      </c>
      <c r="X8" s="751"/>
      <c r="Y8" s="3049" t="s">
        <v>2357</v>
      </c>
      <c r="Z8" s="3050"/>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5" t="s">
        <v>2360</v>
      </c>
      <c r="Q9" s="1888" t="str">
        <f t="shared" ref="Q9:Q14" si="6">B9</f>
        <v>用途</v>
      </c>
      <c r="R9" s="749" t="s">
        <v>25</v>
      </c>
      <c r="S9" s="750">
        <f t="shared" si="0"/>
        <v>100</v>
      </c>
      <c r="T9" s="749" t="s">
        <v>25</v>
      </c>
      <c r="U9" s="750">
        <f t="shared" si="1"/>
        <v>100</v>
      </c>
      <c r="V9" s="749" t="s">
        <v>25</v>
      </c>
      <c r="W9" s="750">
        <f t="shared" si="2"/>
        <v>100</v>
      </c>
      <c r="X9" s="751"/>
      <c r="Y9" s="2861"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5"/>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35"/>
      <c r="Q11" s="1888">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5"/>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35"/>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14">
      <c r="A14" s="380" t="s">
        <v>2364</v>
      </c>
      <c r="B14" s="613" t="s">
        <v>2508</v>
      </c>
      <c r="C14" s="1480" t="str">
        <f>IF(B1="工业",估价对象房地状况!G4,估价对象房地状况!C6)</f>
        <v>估价对象紧邻城市次干道—鲁谷路，有308路、546路、597路等10余条公交线路及地铁1号线八宝山站通过，交通便捷度较好。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38" t="s">
        <v>2365</v>
      </c>
      <c r="Q14" s="1900" t="str">
        <f t="shared" si="6"/>
        <v>交通便捷度</v>
      </c>
      <c r="R14" s="753" t="s">
        <v>25</v>
      </c>
      <c r="S14" s="754">
        <f t="shared" si="0"/>
        <v>100</v>
      </c>
      <c r="T14" s="753" t="s">
        <v>25</v>
      </c>
      <c r="U14" s="754">
        <f t="shared" si="1"/>
        <v>100</v>
      </c>
      <c r="V14" s="753" t="s">
        <v>25</v>
      </c>
      <c r="W14" s="754">
        <f t="shared" si="2"/>
        <v>100</v>
      </c>
      <c r="X14" s="1901"/>
      <c r="Y14" s="3038" t="s">
        <v>2365</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39"/>
      <c r="Q15" s="1900"/>
      <c r="R15" s="753"/>
      <c r="S15" s="754"/>
      <c r="T15" s="753"/>
      <c r="U15" s="754"/>
      <c r="V15" s="753"/>
      <c r="W15" s="754"/>
      <c r="X15" s="1901"/>
      <c r="Y15" s="3039"/>
      <c r="Z15" s="1903"/>
      <c r="AA15" s="1904">
        <v>1</v>
      </c>
      <c r="AB15" s="1904">
        <v>1</v>
      </c>
      <c r="AC15" s="1904">
        <v>1</v>
      </c>
    </row>
    <row r="16" spans="1:29" ht="42.75">
      <c r="A16" s="383"/>
      <c r="B16" s="615" t="s">
        <v>2480</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39"/>
      <c r="Q16" s="1900" t="str">
        <f>B16</f>
        <v>公共配套设施</v>
      </c>
      <c r="R16" s="753" t="s">
        <v>25</v>
      </c>
      <c r="S16" s="754">
        <f>F16</f>
        <v>100</v>
      </c>
      <c r="T16" s="753" t="s">
        <v>25</v>
      </c>
      <c r="U16" s="754">
        <f>H16</f>
        <v>100</v>
      </c>
      <c r="V16" s="753" t="s">
        <v>25</v>
      </c>
      <c r="W16" s="754">
        <f>J16</f>
        <v>100</v>
      </c>
      <c r="X16" s="1901"/>
      <c r="Y16" s="3039"/>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39"/>
      <c r="Q17" s="1900"/>
      <c r="R17" s="753"/>
      <c r="S17" s="754"/>
      <c r="T17" s="753"/>
      <c r="U17" s="754"/>
      <c r="V17" s="753"/>
      <c r="W17" s="754"/>
      <c r="X17" s="1901"/>
      <c r="Y17" s="3039"/>
      <c r="Z17" s="1903"/>
      <c r="AA17" s="1904">
        <v>1</v>
      </c>
      <c r="AB17" s="1904">
        <v>1</v>
      </c>
      <c r="AC17" s="1904">
        <v>1</v>
      </c>
    </row>
    <row r="18" spans="1:29" ht="15">
      <c r="A18" s="383"/>
      <c r="B18" s="617" t="s">
        <v>2481</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39"/>
      <c r="Q18" s="1900" t="str">
        <f>B18</f>
        <v>基础设施水平</v>
      </c>
      <c r="R18" s="753" t="s">
        <v>25</v>
      </c>
      <c r="S18" s="754">
        <f>F18</f>
        <v>100</v>
      </c>
      <c r="T18" s="753" t="s">
        <v>25</v>
      </c>
      <c r="U18" s="754">
        <f>H18</f>
        <v>100</v>
      </c>
      <c r="V18" s="753" t="s">
        <v>25</v>
      </c>
      <c r="W18" s="754">
        <f>J18</f>
        <v>100</v>
      </c>
      <c r="X18" s="1901"/>
      <c r="Y18" s="3039"/>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39"/>
      <c r="Q19" s="1900"/>
      <c r="R19" s="753"/>
      <c r="S19" s="754"/>
      <c r="T19" s="753"/>
      <c r="U19" s="754"/>
      <c r="V19" s="753"/>
      <c r="W19" s="754"/>
      <c r="X19" s="1901"/>
      <c r="Y19" s="3039"/>
      <c r="Z19" s="1903"/>
      <c r="AA19" s="1904">
        <v>1</v>
      </c>
      <c r="AB19" s="1904">
        <v>1</v>
      </c>
      <c r="AC19" s="1904">
        <v>1</v>
      </c>
    </row>
    <row r="20" spans="1:29" ht="114">
      <c r="A20" s="383"/>
      <c r="B20" s="615" t="s">
        <v>2509</v>
      </c>
      <c r="C20" s="1482" t="str">
        <f>IF(B1="工业",估价对象房地状况!G7,估价对象房地状况!C9)</f>
        <v>自然环境：北京国际雕塑公园、老山城市休闲公园、莲花河等；人文环境：中国科学院大学等；综合评价环境状况较好。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39"/>
      <c r="Q20" s="1900" t="str">
        <f>B20</f>
        <v>自然及人文环境</v>
      </c>
      <c r="R20" s="753" t="s">
        <v>25</v>
      </c>
      <c r="S20" s="754">
        <f>F20</f>
        <v>100</v>
      </c>
      <c r="T20" s="753" t="s">
        <v>25</v>
      </c>
      <c r="U20" s="754">
        <f>H20</f>
        <v>100</v>
      </c>
      <c r="V20" s="753" t="s">
        <v>25</v>
      </c>
      <c r="W20" s="754">
        <f>J20</f>
        <v>100</v>
      </c>
      <c r="X20" s="1901"/>
      <c r="Y20" s="3039"/>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39"/>
      <c r="Q21" s="1900"/>
      <c r="R21" s="753"/>
      <c r="S21" s="754"/>
      <c r="T21" s="753"/>
      <c r="U21" s="754"/>
      <c r="V21" s="753"/>
      <c r="W21" s="754"/>
      <c r="X21" s="1901"/>
      <c r="Y21" s="3039"/>
      <c r="Z21" s="1903"/>
      <c r="AA21" s="1904">
        <v>1</v>
      </c>
      <c r="AB21" s="1904">
        <v>1</v>
      </c>
      <c r="AC21" s="1904">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39"/>
      <c r="Q22" s="1900" t="str">
        <f>B22</f>
        <v>楼层</v>
      </c>
      <c r="R22" s="753" t="s">
        <v>25</v>
      </c>
      <c r="S22" s="754">
        <f>F22</f>
        <v>100</v>
      </c>
      <c r="T22" s="753" t="s">
        <v>25</v>
      </c>
      <c r="U22" s="754">
        <f>H22</f>
        <v>100</v>
      </c>
      <c r="V22" s="753" t="s">
        <v>25</v>
      </c>
      <c r="W22" s="754">
        <f>J22</f>
        <v>100</v>
      </c>
      <c r="X22" s="1901"/>
      <c r="Y22" s="3039"/>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39"/>
      <c r="Q23" s="1900">
        <f>B23</f>
        <v>111</v>
      </c>
      <c r="R23" s="753" t="s">
        <v>25</v>
      </c>
      <c r="S23" s="754">
        <f>F23</f>
        <v>100</v>
      </c>
      <c r="T23" s="753" t="s">
        <v>25</v>
      </c>
      <c r="U23" s="754">
        <f>H23</f>
        <v>100</v>
      </c>
      <c r="V23" s="753" t="s">
        <v>25</v>
      </c>
      <c r="W23" s="754">
        <f>J23</f>
        <v>100</v>
      </c>
      <c r="X23" s="1901"/>
      <c r="Y23" s="3039"/>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39"/>
      <c r="Q24" s="1900">
        <f t="shared" ref="Q24:Q36" si="11">B24</f>
        <v>111</v>
      </c>
      <c r="R24" s="753" t="s">
        <v>25</v>
      </c>
      <c r="S24" s="754">
        <f>F24</f>
        <v>100</v>
      </c>
      <c r="T24" s="753" t="s">
        <v>25</v>
      </c>
      <c r="U24" s="754">
        <f>H24</f>
        <v>100</v>
      </c>
      <c r="V24" s="753" t="s">
        <v>25</v>
      </c>
      <c r="W24" s="754">
        <f>J24</f>
        <v>100</v>
      </c>
      <c r="X24" s="1901"/>
      <c r="Y24" s="3039"/>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9"/>
      <c r="Q25" s="1888">
        <f t="shared" si="11"/>
        <v>111</v>
      </c>
      <c r="R25" s="749" t="s">
        <v>25</v>
      </c>
      <c r="S25" s="750">
        <f>F25</f>
        <v>100</v>
      </c>
      <c r="T25" s="749" t="s">
        <v>25</v>
      </c>
      <c r="U25" s="750">
        <f>H25</f>
        <v>100</v>
      </c>
      <c r="V25" s="749" t="s">
        <v>25</v>
      </c>
      <c r="W25" s="750">
        <f>J25</f>
        <v>100</v>
      </c>
      <c r="X25" s="751"/>
      <c r="Y25" s="3039"/>
      <c r="Z25" s="23">
        <f>Q25</f>
        <v>111</v>
      </c>
      <c r="AA25" s="1904">
        <f>D25/F25</f>
        <v>1</v>
      </c>
      <c r="AB25" s="1904">
        <f>D25/H25</f>
        <v>1</v>
      </c>
      <c r="AC25" s="1904">
        <f>D25/J25</f>
        <v>1</v>
      </c>
    </row>
    <row r="26" spans="1:29" ht="1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87" t="s">
        <v>2371</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43" t="s">
        <v>2371</v>
      </c>
      <c r="Z26" s="1903" t="str">
        <f t="shared" ref="Z26:Z36" si="15">Q26</f>
        <v>配套类型</v>
      </c>
      <c r="AA26" s="1904">
        <f t="shared" si="3"/>
        <v>1</v>
      </c>
      <c r="AB26" s="1904">
        <f t="shared" si="4"/>
        <v>1</v>
      </c>
      <c r="AC26" s="1904">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3"/>
      <c r="Q27" s="755" t="str">
        <f t="shared" si="11"/>
        <v>项目停车位配比</v>
      </c>
      <c r="R27" s="756" t="s">
        <v>25</v>
      </c>
      <c r="S27" s="757">
        <f t="shared" si="12"/>
        <v>100</v>
      </c>
      <c r="T27" s="756" t="s">
        <v>25</v>
      </c>
      <c r="U27" s="757">
        <f t="shared" si="13"/>
        <v>100</v>
      </c>
      <c r="V27" s="756" t="s">
        <v>25</v>
      </c>
      <c r="W27" s="757">
        <f t="shared" si="14"/>
        <v>100</v>
      </c>
      <c r="X27" s="758"/>
      <c r="Y27" s="3043"/>
      <c r="Z27" s="759" t="str">
        <f t="shared" si="15"/>
        <v>项目停车位配比</v>
      </c>
      <c r="AA27" s="1904">
        <f t="shared" si="3"/>
        <v>1</v>
      </c>
      <c r="AB27" s="1904">
        <f t="shared" si="4"/>
        <v>1</v>
      </c>
      <c r="AC27" s="1904">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43"/>
      <c r="Q28" s="1900" t="str">
        <f t="shared" si="11"/>
        <v>公共部分装修</v>
      </c>
      <c r="R28" s="753" t="s">
        <v>25</v>
      </c>
      <c r="S28" s="754">
        <f t="shared" si="12"/>
        <v>100</v>
      </c>
      <c r="T28" s="753" t="s">
        <v>25</v>
      </c>
      <c r="U28" s="754">
        <f t="shared" si="13"/>
        <v>100</v>
      </c>
      <c r="V28" s="753" t="s">
        <v>25</v>
      </c>
      <c r="W28" s="754">
        <f t="shared" si="14"/>
        <v>100</v>
      </c>
      <c r="X28" s="1901"/>
      <c r="Y28" s="3043"/>
      <c r="Z28" s="1903" t="str">
        <f t="shared" si="15"/>
        <v>公共部分装修</v>
      </c>
      <c r="AA28" s="1904">
        <f t="shared" si="3"/>
        <v>1</v>
      </c>
      <c r="AB28" s="1904">
        <f t="shared" si="4"/>
        <v>1</v>
      </c>
      <c r="AC28" s="1904">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43"/>
      <c r="Q29" s="1900" t="str">
        <f t="shared" si="11"/>
        <v>成新率</v>
      </c>
      <c r="R29" s="753" t="s">
        <v>25</v>
      </c>
      <c r="S29" s="754" t="e">
        <f t="shared" si="12"/>
        <v>#N/A</v>
      </c>
      <c r="T29" s="753" t="s">
        <v>25</v>
      </c>
      <c r="U29" s="754" t="e">
        <f t="shared" si="13"/>
        <v>#N/A</v>
      </c>
      <c r="V29" s="753" t="s">
        <v>25</v>
      </c>
      <c r="W29" s="754" t="e">
        <f t="shared" si="14"/>
        <v>#N/A</v>
      </c>
      <c r="X29" s="1901"/>
      <c r="Y29" s="3043"/>
      <c r="Z29" s="1903" t="str">
        <f t="shared" si="15"/>
        <v>成新率</v>
      </c>
      <c r="AA29" s="1904" t="e">
        <f t="shared" si="3"/>
        <v>#N/A</v>
      </c>
      <c r="AB29" s="1904" t="e">
        <f t="shared" si="4"/>
        <v>#N/A</v>
      </c>
      <c r="AC29" s="1904"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43"/>
      <c r="Q30" s="1900" t="str">
        <f t="shared" si="11"/>
        <v>物业等级</v>
      </c>
      <c r="R30" s="753" t="s">
        <v>25</v>
      </c>
      <c r="S30" s="754">
        <f t="shared" si="12"/>
        <v>100</v>
      </c>
      <c r="T30" s="753" t="s">
        <v>25</v>
      </c>
      <c r="U30" s="754">
        <f t="shared" si="13"/>
        <v>100</v>
      </c>
      <c r="V30" s="753" t="s">
        <v>25</v>
      </c>
      <c r="W30" s="754">
        <f t="shared" si="14"/>
        <v>100</v>
      </c>
      <c r="X30" s="1901"/>
      <c r="Y30" s="3043"/>
      <c r="Z30" s="1903" t="str">
        <f t="shared" si="15"/>
        <v>物业等级</v>
      </c>
      <c r="AA30" s="1904">
        <f t="shared" si="3"/>
        <v>1</v>
      </c>
      <c r="AB30" s="1904">
        <f t="shared" si="4"/>
        <v>1</v>
      </c>
      <c r="AC30" s="1904">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3"/>
      <c r="Q31" s="1888" t="str">
        <f t="shared" si="11"/>
        <v>停车位面积</v>
      </c>
      <c r="R31" s="749" t="s">
        <v>25</v>
      </c>
      <c r="S31" s="750" t="e">
        <f t="shared" si="12"/>
        <v>#N/A</v>
      </c>
      <c r="T31" s="749" t="s">
        <v>25</v>
      </c>
      <c r="U31" s="750" t="e">
        <f t="shared" si="13"/>
        <v>#N/A</v>
      </c>
      <c r="V31" s="749" t="s">
        <v>25</v>
      </c>
      <c r="W31" s="750" t="e">
        <f t="shared" si="14"/>
        <v>#N/A</v>
      </c>
      <c r="X31" s="751"/>
      <c r="Y31" s="3043"/>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43" t="s">
        <v>2371</v>
      </c>
      <c r="Q32" s="1900" t="str">
        <f t="shared" si="11"/>
        <v>车位类型</v>
      </c>
      <c r="R32" s="753" t="s">
        <v>25</v>
      </c>
      <c r="S32" s="754">
        <f t="shared" si="12"/>
        <v>100</v>
      </c>
      <c r="T32" s="753" t="s">
        <v>25</v>
      </c>
      <c r="U32" s="754">
        <f t="shared" si="13"/>
        <v>100</v>
      </c>
      <c r="V32" s="753" t="s">
        <v>25</v>
      </c>
      <c r="W32" s="754">
        <f t="shared" si="14"/>
        <v>100</v>
      </c>
      <c r="X32" s="1901"/>
      <c r="Y32" s="3043" t="s">
        <v>2371</v>
      </c>
      <c r="Z32" s="1903" t="str">
        <f t="shared" si="15"/>
        <v>车位类型</v>
      </c>
      <c r="AA32" s="1904">
        <f t="shared" si="3"/>
        <v>1</v>
      </c>
      <c r="AB32" s="1904">
        <f t="shared" si="4"/>
        <v>1</v>
      </c>
      <c r="AC32" s="1904">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43"/>
      <c r="Q33" s="1900" t="str">
        <f t="shared" si="11"/>
        <v>是否直接入户</v>
      </c>
      <c r="R33" s="753" t="s">
        <v>25</v>
      </c>
      <c r="S33" s="754">
        <f t="shared" si="12"/>
        <v>100</v>
      </c>
      <c r="T33" s="753" t="s">
        <v>25</v>
      </c>
      <c r="U33" s="754">
        <f t="shared" si="13"/>
        <v>100</v>
      </c>
      <c r="V33" s="753" t="s">
        <v>25</v>
      </c>
      <c r="W33" s="754">
        <f t="shared" si="14"/>
        <v>100</v>
      </c>
      <c r="X33" s="1901"/>
      <c r="Y33" s="3043"/>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43"/>
      <c r="Q34" s="1900">
        <f t="shared" si="11"/>
        <v>111</v>
      </c>
      <c r="R34" s="753" t="s">
        <v>25</v>
      </c>
      <c r="S34" s="754">
        <f t="shared" si="12"/>
        <v>100</v>
      </c>
      <c r="T34" s="753" t="s">
        <v>25</v>
      </c>
      <c r="U34" s="754">
        <f t="shared" si="13"/>
        <v>100</v>
      </c>
      <c r="V34" s="753" t="s">
        <v>25</v>
      </c>
      <c r="W34" s="754">
        <f t="shared" si="14"/>
        <v>100</v>
      </c>
      <c r="X34" s="1901"/>
      <c r="Y34" s="3043"/>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3"/>
      <c r="Q35" s="755">
        <f t="shared" si="11"/>
        <v>111</v>
      </c>
      <c r="R35" s="756" t="s">
        <v>25</v>
      </c>
      <c r="S35" s="757">
        <f t="shared" si="12"/>
        <v>100</v>
      </c>
      <c r="T35" s="756" t="s">
        <v>25</v>
      </c>
      <c r="U35" s="757">
        <f t="shared" si="13"/>
        <v>100</v>
      </c>
      <c r="V35" s="756" t="s">
        <v>25</v>
      </c>
      <c r="W35" s="757">
        <f t="shared" si="14"/>
        <v>100</v>
      </c>
      <c r="X35" s="758"/>
      <c r="Y35" s="3043"/>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43"/>
      <c r="Q36" s="1900">
        <f t="shared" si="11"/>
        <v>111</v>
      </c>
      <c r="R36" s="753" t="s">
        <v>25</v>
      </c>
      <c r="S36" s="754">
        <f t="shared" si="12"/>
        <v>100</v>
      </c>
      <c r="T36" s="753" t="s">
        <v>25</v>
      </c>
      <c r="U36" s="754">
        <f t="shared" si="13"/>
        <v>100</v>
      </c>
      <c r="V36" s="753" t="s">
        <v>25</v>
      </c>
      <c r="W36" s="754">
        <f t="shared" si="14"/>
        <v>100</v>
      </c>
      <c r="X36" s="1901"/>
      <c r="Y36" s="3043"/>
      <c r="Z36" s="1903">
        <f t="shared" si="15"/>
        <v>111</v>
      </c>
      <c r="AA36" s="1904">
        <f t="shared" si="3"/>
        <v>1</v>
      </c>
      <c r="AB36" s="1904">
        <f t="shared" si="4"/>
        <v>1</v>
      </c>
      <c r="AC36" s="1904">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35" t="str">
        <f>A37</f>
        <v>成交单价</v>
      </c>
      <c r="Q37" s="3035"/>
      <c r="R37" s="3031">
        <f>E37</f>
        <v>0</v>
      </c>
      <c r="S37" s="3031"/>
      <c r="T37" s="3031">
        <f>G37</f>
        <v>0</v>
      </c>
      <c r="U37" s="3031"/>
      <c r="V37" s="3031">
        <f>I37</f>
        <v>0</v>
      </c>
      <c r="W37" s="3031"/>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5" t="str">
        <f>A38</f>
        <v>比较价值</v>
      </c>
      <c r="Q38" s="3035"/>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32" t="str">
        <f>A39</f>
        <v>估价对象XX用房的比较价值（楼面单价，元/平方米）</v>
      </c>
      <c r="Q39" s="3033"/>
      <c r="R39" s="3034" t="e">
        <f>IF(E1="售价",ROUND(AVERAGE(R38:V38),0),ROUND(AVERAGE(R38:V38),1))</f>
        <v>#DIV/0!</v>
      </c>
      <c r="S39" s="3034"/>
      <c r="T39" s="3034"/>
      <c r="U39" s="3034"/>
      <c r="V39" s="3034"/>
      <c r="W39" s="303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9" t="str">
        <f>YEAR(C7)&amp;"-"&amp;MONTH(C7)</f>
        <v>2017-12</v>
      </c>
      <c r="D48" s="1680">
        <f>EDATE(C48,-1)</f>
        <v>43040</v>
      </c>
      <c r="E48" s="1680">
        <f t="shared" ref="E48:O48" si="16">EDATE(D48,-1)</f>
        <v>43009</v>
      </c>
      <c r="F48" s="1680">
        <f t="shared" si="16"/>
        <v>42979</v>
      </c>
      <c r="G48" s="1680">
        <f t="shared" si="16"/>
        <v>42948</v>
      </c>
      <c r="H48" s="1680">
        <f t="shared" si="16"/>
        <v>42917</v>
      </c>
      <c r="I48" s="1680">
        <f t="shared" si="16"/>
        <v>42887</v>
      </c>
      <c r="J48" s="1680">
        <f t="shared" si="16"/>
        <v>42856</v>
      </c>
      <c r="K48" s="1680">
        <f t="shared" si="16"/>
        <v>42826</v>
      </c>
      <c r="L48" s="1680">
        <f t="shared" si="16"/>
        <v>42795</v>
      </c>
      <c r="M48" s="1680">
        <f t="shared" si="16"/>
        <v>42767</v>
      </c>
      <c r="N48" s="1680">
        <f t="shared" si="16"/>
        <v>42736</v>
      </c>
      <c r="O48" s="1680">
        <f t="shared" si="16"/>
        <v>42705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2506</v>
      </c>
      <c r="B1" s="2479"/>
      <c r="C1" s="1730"/>
      <c r="D1" s="1740"/>
      <c r="E1" s="2383"/>
      <c r="F1" s="1741" t="s">
        <v>2338</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137.41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60" t="s">
        <v>2343</v>
      </c>
      <c r="AC4" s="3059" t="s">
        <v>2344</v>
      </c>
    </row>
    <row r="5" spans="1:29" ht="15">
      <c r="A5" s="383"/>
      <c r="B5" s="384"/>
      <c r="C5" s="3077" t="s">
        <v>2347</v>
      </c>
      <c r="D5" s="3048"/>
      <c r="E5" s="3075" t="s">
        <v>2348</v>
      </c>
      <c r="F5" s="3076"/>
      <c r="G5" s="3077" t="s">
        <v>2349</v>
      </c>
      <c r="H5" s="3048"/>
      <c r="I5" s="3077" t="s">
        <v>2350</v>
      </c>
      <c r="J5" s="3048"/>
      <c r="K5" s="594"/>
      <c r="L5" s="1243"/>
      <c r="M5" s="1244"/>
      <c r="N5" s="1244"/>
      <c r="O5" s="1244"/>
      <c r="P5" s="3068"/>
      <c r="Q5" s="3069"/>
      <c r="R5" s="3053"/>
      <c r="S5" s="3054"/>
      <c r="T5" s="3053"/>
      <c r="U5" s="3054"/>
      <c r="V5" s="3072"/>
      <c r="W5" s="3072"/>
      <c r="X5" s="1901"/>
      <c r="Y5" s="3053"/>
      <c r="Z5" s="3054"/>
      <c r="AA5" s="3060"/>
      <c r="AB5" s="3060"/>
      <c r="AC5" s="3060"/>
    </row>
    <row r="6" spans="1:29" ht="15.75" thickBot="1">
      <c r="A6" s="385"/>
      <c r="B6" s="386"/>
      <c r="C6" s="3078" t="s">
        <v>2351</v>
      </c>
      <c r="D6" s="3074"/>
      <c r="E6" s="3079" t="s">
        <v>2351</v>
      </c>
      <c r="F6" s="3046"/>
      <c r="G6" s="3078" t="s">
        <v>2351</v>
      </c>
      <c r="H6" s="3074"/>
      <c r="I6" s="3078" t="s">
        <v>2351</v>
      </c>
      <c r="J6" s="3074"/>
      <c r="K6" s="594" t="s">
        <v>2352</v>
      </c>
      <c r="L6" s="1243"/>
      <c r="M6" s="1244"/>
      <c r="N6" s="1244"/>
      <c r="O6" s="1244"/>
      <c r="P6" s="3070"/>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9" t="s">
        <v>2354</v>
      </c>
      <c r="Q7" s="3057"/>
      <c r="R7" s="749" t="s">
        <v>25</v>
      </c>
      <c r="S7" s="750">
        <f t="shared" ref="S7:S14" si="0">F7</f>
        <v>0</v>
      </c>
      <c r="T7" s="749" t="s">
        <v>25</v>
      </c>
      <c r="U7" s="750">
        <f t="shared" ref="U7:U14" si="1">H7</f>
        <v>0</v>
      </c>
      <c r="V7" s="749" t="s">
        <v>25</v>
      </c>
      <c r="W7" s="750">
        <f t="shared" ref="W7:W14"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5" t="s">
        <v>2360</v>
      </c>
      <c r="Q9" s="1888" t="str">
        <f t="shared" ref="Q9:Q14" si="6">B9</f>
        <v>用途</v>
      </c>
      <c r="R9" s="749" t="s">
        <v>25</v>
      </c>
      <c r="S9" s="750">
        <f t="shared" si="0"/>
        <v>100</v>
      </c>
      <c r="T9" s="749" t="s">
        <v>25</v>
      </c>
      <c r="U9" s="750">
        <f t="shared" si="1"/>
        <v>100</v>
      </c>
      <c r="V9" s="749" t="s">
        <v>25</v>
      </c>
      <c r="W9" s="750">
        <f t="shared" si="2"/>
        <v>100</v>
      </c>
      <c r="X9" s="751"/>
      <c r="Y9" s="2861"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5"/>
      <c r="Q10" s="1888"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5"/>
      <c r="Q11" s="1888">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5"/>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5"/>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14">
      <c r="A14" s="419" t="s">
        <v>2364</v>
      </c>
      <c r="B14" s="26" t="s">
        <v>2508</v>
      </c>
      <c r="C14" s="2478" t="str">
        <f>IF(B1="工业",估价对象房地状况!G4,估价对象房地状况!C6)</f>
        <v>估价对象紧邻城市次干道—鲁谷路，有308路、546路、597路等10余条公交线路及地铁1号线八宝山站通过，交通便捷度较好。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8" t="s">
        <v>2365</v>
      </c>
      <c r="Q14" s="1900" t="str">
        <f t="shared" si="6"/>
        <v>交通便捷度</v>
      </c>
      <c r="R14" s="753" t="s">
        <v>25</v>
      </c>
      <c r="S14" s="754">
        <f t="shared" si="0"/>
        <v>100</v>
      </c>
      <c r="T14" s="753" t="s">
        <v>25</v>
      </c>
      <c r="U14" s="754">
        <f t="shared" si="1"/>
        <v>100</v>
      </c>
      <c r="V14" s="753" t="s">
        <v>25</v>
      </c>
      <c r="W14" s="754">
        <f t="shared" si="2"/>
        <v>100</v>
      </c>
      <c r="X14" s="1901"/>
      <c r="Y14" s="3038" t="s">
        <v>2365</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39"/>
      <c r="Q15" s="1900"/>
      <c r="R15" s="753"/>
      <c r="S15" s="754"/>
      <c r="T15" s="753"/>
      <c r="U15" s="754"/>
      <c r="V15" s="753"/>
      <c r="W15" s="754"/>
      <c r="X15" s="1901"/>
      <c r="Y15" s="3039"/>
      <c r="Z15" s="1903"/>
      <c r="AA15" s="1904">
        <v>1</v>
      </c>
      <c r="AB15" s="1904">
        <v>1</v>
      </c>
      <c r="AC15" s="1904">
        <v>1</v>
      </c>
    </row>
    <row r="16" spans="1:29" ht="42.75">
      <c r="A16" s="408"/>
      <c r="B16" s="615" t="s">
        <v>2480</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9"/>
      <c r="Q16" s="1900" t="str">
        <f>B16</f>
        <v>公共配套设施</v>
      </c>
      <c r="R16" s="753" t="s">
        <v>25</v>
      </c>
      <c r="S16" s="754">
        <f>F16</f>
        <v>100</v>
      </c>
      <c r="T16" s="753" t="s">
        <v>25</v>
      </c>
      <c r="U16" s="754">
        <f>H16</f>
        <v>100</v>
      </c>
      <c r="V16" s="753" t="s">
        <v>25</v>
      </c>
      <c r="W16" s="754">
        <f>J16</f>
        <v>100</v>
      </c>
      <c r="X16" s="1901"/>
      <c r="Y16" s="3039"/>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39"/>
      <c r="Q17" s="1900"/>
      <c r="R17" s="753"/>
      <c r="S17" s="754"/>
      <c r="T17" s="753"/>
      <c r="U17" s="754"/>
      <c r="V17" s="753"/>
      <c r="W17" s="754"/>
      <c r="X17" s="1901"/>
      <c r="Y17" s="3039"/>
      <c r="Z17" s="1903"/>
      <c r="AA17" s="1904">
        <v>1</v>
      </c>
      <c r="AB17" s="1904">
        <v>1</v>
      </c>
      <c r="AC17" s="1904">
        <v>1</v>
      </c>
    </row>
    <row r="18" spans="1:29" ht="15">
      <c r="A18" s="408"/>
      <c r="B18" s="617" t="s">
        <v>2481</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9"/>
      <c r="Q18" s="1900" t="str">
        <f>B18</f>
        <v>基础设施水平</v>
      </c>
      <c r="R18" s="753" t="s">
        <v>25</v>
      </c>
      <c r="S18" s="754">
        <f>F18</f>
        <v>100</v>
      </c>
      <c r="T18" s="753" t="s">
        <v>25</v>
      </c>
      <c r="U18" s="754">
        <f>H18</f>
        <v>100</v>
      </c>
      <c r="V18" s="753" t="s">
        <v>25</v>
      </c>
      <c r="W18" s="754">
        <f>J18</f>
        <v>100</v>
      </c>
      <c r="X18" s="1901"/>
      <c r="Y18" s="3039"/>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39"/>
      <c r="Q19" s="1900"/>
      <c r="R19" s="753"/>
      <c r="S19" s="754"/>
      <c r="T19" s="753"/>
      <c r="U19" s="754"/>
      <c r="V19" s="753"/>
      <c r="W19" s="754"/>
      <c r="X19" s="1901"/>
      <c r="Y19" s="3039"/>
      <c r="Z19" s="1903"/>
      <c r="AA19" s="1904">
        <v>1</v>
      </c>
      <c r="AB19" s="1904">
        <v>1</v>
      </c>
      <c r="AC19" s="1904">
        <v>1</v>
      </c>
    </row>
    <row r="20" spans="1:29" ht="114">
      <c r="A20" s="408"/>
      <c r="B20" s="431" t="s">
        <v>2509</v>
      </c>
      <c r="C20" s="2406" t="str">
        <f>IF(B1="工业",估价对象房地状况!G7,估价对象房地状况!C9)</f>
        <v>自然环境：北京国际雕塑公园、老山城市休闲公园、莲花河等；人文环境：中国科学院大学等；综合评价环境状况较好。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9"/>
      <c r="Q20" s="1900" t="str">
        <f>B20</f>
        <v>自然及人文环境</v>
      </c>
      <c r="R20" s="753" t="s">
        <v>25</v>
      </c>
      <c r="S20" s="754">
        <f>F20</f>
        <v>100</v>
      </c>
      <c r="T20" s="753" t="s">
        <v>25</v>
      </c>
      <c r="U20" s="754">
        <f>H20</f>
        <v>100</v>
      </c>
      <c r="V20" s="753" t="s">
        <v>25</v>
      </c>
      <c r="W20" s="754">
        <f>J20</f>
        <v>100</v>
      </c>
      <c r="X20" s="1901"/>
      <c r="Y20" s="3039"/>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39"/>
      <c r="Q21" s="1900"/>
      <c r="R21" s="753"/>
      <c r="S21" s="754"/>
      <c r="T21" s="753"/>
      <c r="U21" s="754"/>
      <c r="V21" s="753"/>
      <c r="W21" s="754"/>
      <c r="X21" s="1901"/>
      <c r="Y21" s="3039"/>
      <c r="Z21" s="1903"/>
      <c r="AA21" s="1904">
        <v>1</v>
      </c>
      <c r="AB21" s="1904">
        <v>1</v>
      </c>
      <c r="AC21" s="1904">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9"/>
      <c r="Q22" s="1900" t="str">
        <f>B22</f>
        <v>楼层</v>
      </c>
      <c r="R22" s="753" t="s">
        <v>25</v>
      </c>
      <c r="S22" s="754">
        <f>F22</f>
        <v>100</v>
      </c>
      <c r="T22" s="753" t="s">
        <v>25</v>
      </c>
      <c r="U22" s="754">
        <f>H22</f>
        <v>100</v>
      </c>
      <c r="V22" s="753" t="s">
        <v>25</v>
      </c>
      <c r="W22" s="754">
        <f>J22</f>
        <v>100</v>
      </c>
      <c r="X22" s="1901"/>
      <c r="Y22" s="3039"/>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9"/>
      <c r="Q23" s="1900">
        <f>B23</f>
        <v>111</v>
      </c>
      <c r="R23" s="753" t="s">
        <v>25</v>
      </c>
      <c r="S23" s="754">
        <f>F23</f>
        <v>100</v>
      </c>
      <c r="T23" s="753" t="s">
        <v>25</v>
      </c>
      <c r="U23" s="754">
        <f>H23</f>
        <v>100</v>
      </c>
      <c r="V23" s="753" t="s">
        <v>25</v>
      </c>
      <c r="W23" s="754">
        <f>J23</f>
        <v>100</v>
      </c>
      <c r="X23" s="1901"/>
      <c r="Y23" s="3039"/>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9"/>
      <c r="Q24" s="1900">
        <f t="shared" ref="Q24:Q34" si="11">B24</f>
        <v>111</v>
      </c>
      <c r="R24" s="753" t="s">
        <v>25</v>
      </c>
      <c r="S24" s="754">
        <f>F24</f>
        <v>100</v>
      </c>
      <c r="T24" s="753" t="s">
        <v>25</v>
      </c>
      <c r="U24" s="754">
        <f>H24</f>
        <v>100</v>
      </c>
      <c r="V24" s="753" t="s">
        <v>25</v>
      </c>
      <c r="W24" s="754">
        <f>J24</f>
        <v>100</v>
      </c>
      <c r="X24" s="1901"/>
      <c r="Y24" s="3039"/>
      <c r="Z24" s="1903">
        <f>Q24</f>
        <v>111</v>
      </c>
      <c r="AA24" s="1904">
        <f t="shared" si="3"/>
        <v>1</v>
      </c>
      <c r="AB24" s="1904">
        <f t="shared" si="4"/>
        <v>1</v>
      </c>
      <c r="AC24" s="1904">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39"/>
      <c r="Q25" s="1888">
        <f t="shared" si="11"/>
        <v>111</v>
      </c>
      <c r="R25" s="749" t="s">
        <v>25</v>
      </c>
      <c r="S25" s="750">
        <f>F25</f>
        <v>100</v>
      </c>
      <c r="T25" s="749" t="s">
        <v>25</v>
      </c>
      <c r="U25" s="750">
        <f>H25</f>
        <v>100</v>
      </c>
      <c r="V25" s="749" t="s">
        <v>25</v>
      </c>
      <c r="W25" s="750">
        <f>J25</f>
        <v>100</v>
      </c>
      <c r="X25" s="751"/>
      <c r="Y25" s="3039"/>
      <c r="Z25" s="23">
        <f>Q25</f>
        <v>111</v>
      </c>
      <c r="AA25" s="1904">
        <f>D25/F25</f>
        <v>1</v>
      </c>
      <c r="AB25" s="1904">
        <f>D25/H25</f>
        <v>1</v>
      </c>
      <c r="AC25" s="1904">
        <f>D25/J25</f>
        <v>1</v>
      </c>
    </row>
    <row r="26" spans="1:29" ht="1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87" t="s">
        <v>2371</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43" t="s">
        <v>2371</v>
      </c>
      <c r="Z26" s="1903" t="str">
        <f t="shared" ref="Z26:Z34" si="15">Q26</f>
        <v>公共部分装修</v>
      </c>
      <c r="AA26" s="1904">
        <f t="shared" si="3"/>
        <v>1</v>
      </c>
      <c r="AB26" s="1904">
        <f t="shared" si="4"/>
        <v>1</v>
      </c>
      <c r="AC26" s="1904">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3"/>
      <c r="Q27" s="755" t="str">
        <f t="shared" si="11"/>
        <v>成新率</v>
      </c>
      <c r="R27" s="756" t="s">
        <v>25</v>
      </c>
      <c r="S27" s="757" t="e">
        <f t="shared" si="12"/>
        <v>#N/A</v>
      </c>
      <c r="T27" s="756" t="s">
        <v>25</v>
      </c>
      <c r="U27" s="757" t="e">
        <f t="shared" si="13"/>
        <v>#N/A</v>
      </c>
      <c r="V27" s="756" t="s">
        <v>25</v>
      </c>
      <c r="W27" s="757" t="e">
        <f t="shared" si="14"/>
        <v>#N/A</v>
      </c>
      <c r="X27" s="758"/>
      <c r="Y27" s="3043"/>
      <c r="Z27" s="759" t="str">
        <f t="shared" si="15"/>
        <v>成新率</v>
      </c>
      <c r="AA27" s="1904" t="e">
        <f t="shared" si="3"/>
        <v>#N/A</v>
      </c>
      <c r="AB27" s="1904" t="e">
        <f t="shared" si="4"/>
        <v>#N/A</v>
      </c>
      <c r="AC27" s="1904"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3"/>
      <c r="Q28" s="1900" t="str">
        <f t="shared" si="11"/>
        <v>物业等级</v>
      </c>
      <c r="R28" s="753" t="s">
        <v>25</v>
      </c>
      <c r="S28" s="754">
        <f t="shared" si="12"/>
        <v>100</v>
      </c>
      <c r="T28" s="753" t="s">
        <v>25</v>
      </c>
      <c r="U28" s="754">
        <f t="shared" si="13"/>
        <v>100</v>
      </c>
      <c r="V28" s="753" t="s">
        <v>25</v>
      </c>
      <c r="W28" s="754">
        <f t="shared" si="14"/>
        <v>100</v>
      </c>
      <c r="X28" s="1901"/>
      <c r="Y28" s="3043"/>
      <c r="Z28" s="1903" t="str">
        <f t="shared" si="15"/>
        <v>物业等级</v>
      </c>
      <c r="AA28" s="1904">
        <f t="shared" si="3"/>
        <v>1</v>
      </c>
      <c r="AB28" s="1904">
        <f t="shared" si="4"/>
        <v>1</v>
      </c>
      <c r="AC28" s="1904">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3"/>
      <c r="Q29" s="1900" t="str">
        <f t="shared" si="11"/>
        <v>有无电梯</v>
      </c>
      <c r="R29" s="753" t="s">
        <v>25</v>
      </c>
      <c r="S29" s="754">
        <f t="shared" si="12"/>
        <v>100</v>
      </c>
      <c r="T29" s="753" t="s">
        <v>25</v>
      </c>
      <c r="U29" s="754">
        <f t="shared" si="13"/>
        <v>100</v>
      </c>
      <c r="V29" s="753" t="s">
        <v>25</v>
      </c>
      <c r="W29" s="754">
        <f t="shared" si="14"/>
        <v>100</v>
      </c>
      <c r="X29" s="1901"/>
      <c r="Y29" s="3043"/>
      <c r="Z29" s="1903" t="str">
        <f t="shared" si="15"/>
        <v>有无电梯</v>
      </c>
      <c r="AA29" s="1904">
        <f t="shared" si="3"/>
        <v>1</v>
      </c>
      <c r="AB29" s="1904">
        <f t="shared" si="4"/>
        <v>1</v>
      </c>
      <c r="AC29" s="1904">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3"/>
      <c r="Q30" s="1900" t="str">
        <f t="shared" si="11"/>
        <v>建筑面积</v>
      </c>
      <c r="R30" s="753" t="s">
        <v>25</v>
      </c>
      <c r="S30" s="754" t="e">
        <f t="shared" si="12"/>
        <v>#N/A</v>
      </c>
      <c r="T30" s="753" t="s">
        <v>25</v>
      </c>
      <c r="U30" s="754" t="e">
        <f t="shared" si="13"/>
        <v>#N/A</v>
      </c>
      <c r="V30" s="753" t="s">
        <v>25</v>
      </c>
      <c r="W30" s="754" t="e">
        <f t="shared" si="14"/>
        <v>#N/A</v>
      </c>
      <c r="X30" s="1901"/>
      <c r="Y30" s="3043"/>
      <c r="Z30" s="1903" t="str">
        <f t="shared" si="15"/>
        <v>建筑面积</v>
      </c>
      <c r="AA30" s="1904" t="e">
        <f t="shared" si="3"/>
        <v>#N/A</v>
      </c>
      <c r="AB30" s="1904" t="e">
        <f t="shared" si="4"/>
        <v>#N/A</v>
      </c>
      <c r="AC30" s="1904"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3"/>
      <c r="Q31" s="1888" t="str">
        <f t="shared" si="11"/>
        <v>是否封闭</v>
      </c>
      <c r="R31" s="749" t="s">
        <v>25</v>
      </c>
      <c r="S31" s="750">
        <f t="shared" si="12"/>
        <v>100</v>
      </c>
      <c r="T31" s="749" t="s">
        <v>25</v>
      </c>
      <c r="U31" s="750">
        <f t="shared" si="13"/>
        <v>100</v>
      </c>
      <c r="V31" s="749" t="s">
        <v>25</v>
      </c>
      <c r="W31" s="750">
        <f t="shared" si="14"/>
        <v>100</v>
      </c>
      <c r="X31" s="751"/>
      <c r="Y31" s="3043"/>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3" t="s">
        <v>2371</v>
      </c>
      <c r="Q32" s="1900">
        <f t="shared" si="11"/>
        <v>111</v>
      </c>
      <c r="R32" s="753" t="s">
        <v>25</v>
      </c>
      <c r="S32" s="754">
        <f t="shared" si="12"/>
        <v>100</v>
      </c>
      <c r="T32" s="753" t="s">
        <v>25</v>
      </c>
      <c r="U32" s="754">
        <f t="shared" si="13"/>
        <v>100</v>
      </c>
      <c r="V32" s="753" t="s">
        <v>25</v>
      </c>
      <c r="W32" s="754">
        <f t="shared" si="14"/>
        <v>100</v>
      </c>
      <c r="X32" s="1901"/>
      <c r="Y32" s="3043" t="s">
        <v>2371</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3"/>
      <c r="Q33" s="1900">
        <f t="shared" si="11"/>
        <v>111</v>
      </c>
      <c r="R33" s="753" t="s">
        <v>25</v>
      </c>
      <c r="S33" s="754">
        <f t="shared" si="12"/>
        <v>100</v>
      </c>
      <c r="T33" s="753" t="s">
        <v>25</v>
      </c>
      <c r="U33" s="754">
        <f t="shared" si="13"/>
        <v>100</v>
      </c>
      <c r="V33" s="753" t="s">
        <v>25</v>
      </c>
      <c r="W33" s="754">
        <f t="shared" si="14"/>
        <v>100</v>
      </c>
      <c r="X33" s="1901"/>
      <c r="Y33" s="3043"/>
      <c r="Z33" s="1903">
        <f t="shared" si="15"/>
        <v>111</v>
      </c>
      <c r="AA33" s="1904">
        <f t="shared" si="3"/>
        <v>1</v>
      </c>
      <c r="AB33" s="1904">
        <f t="shared" si="4"/>
        <v>1</v>
      </c>
      <c r="AC33" s="1904">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3"/>
      <c r="Q34" s="1900">
        <f t="shared" si="11"/>
        <v>111</v>
      </c>
      <c r="R34" s="753" t="s">
        <v>25</v>
      </c>
      <c r="S34" s="754">
        <f t="shared" si="12"/>
        <v>100</v>
      </c>
      <c r="T34" s="753" t="s">
        <v>25</v>
      </c>
      <c r="U34" s="754">
        <f t="shared" si="13"/>
        <v>100</v>
      </c>
      <c r="V34" s="753" t="s">
        <v>25</v>
      </c>
      <c r="W34" s="754">
        <f t="shared" si="14"/>
        <v>100</v>
      </c>
      <c r="X34" s="1901"/>
      <c r="Y34" s="3043"/>
      <c r="Z34" s="1903">
        <f t="shared" si="15"/>
        <v>111</v>
      </c>
      <c r="AA34" s="1904">
        <f t="shared" si="3"/>
        <v>1</v>
      </c>
      <c r="AB34" s="1904">
        <f t="shared" si="4"/>
        <v>1</v>
      </c>
      <c r="AC34" s="1904">
        <f t="shared" si="5"/>
        <v>1</v>
      </c>
    </row>
    <row r="35" spans="1:29" ht="15">
      <c r="A35" s="460" t="s">
        <v>2383</v>
      </c>
      <c r="B35" s="461"/>
      <c r="C35" s="1502" t="s">
        <v>1</v>
      </c>
      <c r="D35" s="1503"/>
      <c r="E35" s="1504"/>
      <c r="F35" s="1505"/>
      <c r="G35" s="1506"/>
      <c r="H35" s="1507"/>
      <c r="I35" s="1504"/>
      <c r="J35" s="1507"/>
      <c r="K35" s="762"/>
      <c r="L35" s="1256"/>
      <c r="M35" s="1257"/>
      <c r="N35" s="1244"/>
      <c r="O35" s="1257"/>
      <c r="P35" s="3035" t="str">
        <f>A35</f>
        <v>成交单价（元/平方米）</v>
      </c>
      <c r="Q35" s="3035"/>
      <c r="R35" s="3031">
        <f>E35</f>
        <v>0</v>
      </c>
      <c r="S35" s="3031"/>
      <c r="T35" s="3031">
        <f>G35</f>
        <v>0</v>
      </c>
      <c r="U35" s="3031"/>
      <c r="V35" s="3031">
        <f>I35</f>
        <v>0</v>
      </c>
      <c r="W35" s="3031"/>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35" t="str">
        <f>A36</f>
        <v>比较价值（元/平方米）</v>
      </c>
      <c r="Q36" s="3035"/>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32" t="str">
        <f>A37</f>
        <v>估价对象XX用房的比较价值（楼面单价，元/平方米）</v>
      </c>
      <c r="Q37" s="3033"/>
      <c r="R37" s="3034" t="e">
        <f>IF(E1="售价",ROUND(AVERAGE(R36:V36),0),ROUND(AVERAGE(R36:V36),1))</f>
        <v>#DIV/0!</v>
      </c>
      <c r="S37" s="3034"/>
      <c r="T37" s="3034"/>
      <c r="U37" s="3034"/>
      <c r="V37" s="3034"/>
      <c r="W37" s="303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9" t="str">
        <f>YEAR(C7)&amp;"-"&amp;MONTH(C7)</f>
        <v>2017-12</v>
      </c>
      <c r="D46" s="1680">
        <f>EDATE(C46,-1)</f>
        <v>43040</v>
      </c>
      <c r="E46" s="1680">
        <f t="shared" ref="E46:O46" si="16">EDATE(D46,-1)</f>
        <v>43009</v>
      </c>
      <c r="F46" s="1680">
        <f t="shared" si="16"/>
        <v>42979</v>
      </c>
      <c r="G46" s="1680">
        <f t="shared" si="16"/>
        <v>42948</v>
      </c>
      <c r="H46" s="1680">
        <f t="shared" si="16"/>
        <v>42917</v>
      </c>
      <c r="I46" s="1680">
        <f t="shared" si="16"/>
        <v>42887</v>
      </c>
      <c r="J46" s="1680">
        <f t="shared" si="16"/>
        <v>42856</v>
      </c>
      <c r="K46" s="1680">
        <f t="shared" si="16"/>
        <v>42826</v>
      </c>
      <c r="L46" s="1680">
        <f t="shared" si="16"/>
        <v>42795</v>
      </c>
      <c r="M46" s="1680">
        <f t="shared" si="16"/>
        <v>42767</v>
      </c>
      <c r="N46" s="1680">
        <f t="shared" si="16"/>
        <v>42736</v>
      </c>
      <c r="O46" s="1680">
        <f t="shared" si="16"/>
        <v>42705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60" t="s">
        <v>2343</v>
      </c>
      <c r="AC4" s="3059" t="s">
        <v>2344</v>
      </c>
    </row>
    <row r="5" spans="1:30" ht="15">
      <c r="A5" s="383"/>
      <c r="B5" s="384"/>
      <c r="C5" s="3077" t="s">
        <v>2347</v>
      </c>
      <c r="D5" s="3048"/>
      <c r="E5" s="3075" t="s">
        <v>2348</v>
      </c>
      <c r="F5" s="3076"/>
      <c r="G5" s="3077" t="s">
        <v>2349</v>
      </c>
      <c r="H5" s="3048"/>
      <c r="I5" s="3077" t="s">
        <v>2350</v>
      </c>
      <c r="J5" s="3048"/>
      <c r="K5" s="594"/>
      <c r="L5" s="1243"/>
      <c r="M5" s="1244"/>
      <c r="N5" s="1244"/>
      <c r="O5" s="1244"/>
      <c r="P5" s="3068"/>
      <c r="Q5" s="3069"/>
      <c r="R5" s="3053"/>
      <c r="S5" s="3054"/>
      <c r="T5" s="3053"/>
      <c r="U5" s="3054"/>
      <c r="V5" s="3072"/>
      <c r="W5" s="3072"/>
      <c r="X5" s="1901"/>
      <c r="Y5" s="3053"/>
      <c r="Z5" s="3054"/>
      <c r="AA5" s="3060"/>
      <c r="AB5" s="3060"/>
      <c r="AC5" s="3060"/>
    </row>
    <row r="6" spans="1:30" ht="15.75" thickBot="1">
      <c r="A6" s="385"/>
      <c r="B6" s="386"/>
      <c r="C6" s="3078" t="s">
        <v>2351</v>
      </c>
      <c r="D6" s="3074"/>
      <c r="E6" s="3079" t="s">
        <v>2351</v>
      </c>
      <c r="F6" s="3046"/>
      <c r="G6" s="3078" t="s">
        <v>2351</v>
      </c>
      <c r="H6" s="3074"/>
      <c r="I6" s="3078" t="s">
        <v>2351</v>
      </c>
      <c r="J6" s="3074"/>
      <c r="K6" s="594" t="s">
        <v>2352</v>
      </c>
      <c r="L6" s="1243"/>
      <c r="M6" s="1244"/>
      <c r="N6" s="1244"/>
      <c r="O6" s="1244"/>
      <c r="P6" s="3070"/>
      <c r="Q6" s="3071"/>
      <c r="R6" s="3053"/>
      <c r="S6" s="3054"/>
      <c r="T6" s="3055"/>
      <c r="U6" s="3056"/>
      <c r="V6" s="3072"/>
      <c r="W6" s="3072"/>
      <c r="X6" s="1901"/>
      <c r="Y6" s="3055"/>
      <c r="Z6" s="3056"/>
      <c r="AA6" s="3061"/>
      <c r="AB6" s="3061"/>
      <c r="AC6" s="3061"/>
    </row>
    <row r="7" spans="1:30" s="35" customFormat="1" ht="15.75" thickBot="1">
      <c r="A7" s="387" t="s">
        <v>2353</v>
      </c>
      <c r="B7" s="388"/>
      <c r="C7" s="389">
        <f>'数据-取费表'!B2</f>
        <v>43083</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5" si="3">D8/F8</f>
        <v>#DIV/0!</v>
      </c>
      <c r="AB8" s="752" t="e">
        <f t="shared" ref="AB8:AB45" si="4">D8/H8</f>
        <v>#DIV/0!</v>
      </c>
      <c r="AC8" s="752" t="e">
        <f t="shared" ref="AC8:AC45" si="5">D8/J8</f>
        <v>#DIV/0!</v>
      </c>
    </row>
    <row r="9" spans="1:30" s="35" customFormat="1">
      <c r="A9" s="395" t="s">
        <v>2358</v>
      </c>
      <c r="B9" s="28" t="s">
        <v>2359</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35"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35"/>
      <c r="Q10" s="1888" t="str">
        <f t="shared" si="6"/>
        <v>土地使用年限（年）</v>
      </c>
      <c r="R10" s="749" t="s">
        <v>25</v>
      </c>
      <c r="S10" s="750">
        <f t="shared" si="0"/>
        <v>104</v>
      </c>
      <c r="T10" s="749" t="s">
        <v>25</v>
      </c>
      <c r="U10" s="750">
        <f t="shared" si="1"/>
        <v>104</v>
      </c>
      <c r="V10" s="749" t="s">
        <v>25</v>
      </c>
      <c r="W10" s="750">
        <f t="shared" si="2"/>
        <v>104</v>
      </c>
      <c r="X10" s="751"/>
      <c r="Y10" s="2861"/>
      <c r="Z10" s="23" t="str">
        <f t="shared" si="7"/>
        <v>土地使用年限（年）</v>
      </c>
      <c r="AA10" s="752">
        <f t="shared" si="3"/>
        <v>0.96153846153846156</v>
      </c>
      <c r="AB10" s="752">
        <f t="shared" si="4"/>
        <v>0.96153846153846156</v>
      </c>
      <c r="AC10" s="752">
        <f t="shared" si="5"/>
        <v>0.96153846153846156</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5"/>
      <c r="Q11" s="1888"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5"/>
      <c r="Q12" s="1888" t="str">
        <f t="shared" si="6"/>
        <v>配建</v>
      </c>
      <c r="R12" s="749" t="s">
        <v>25</v>
      </c>
      <c r="S12" s="750">
        <f t="shared" si="0"/>
        <v>100</v>
      </c>
      <c r="T12" s="749" t="s">
        <v>25</v>
      </c>
      <c r="U12" s="750">
        <f t="shared" si="1"/>
        <v>100</v>
      </c>
      <c r="V12" s="749" t="s">
        <v>25</v>
      </c>
      <c r="W12" s="750">
        <f t="shared" si="2"/>
        <v>100</v>
      </c>
      <c r="X12" s="751"/>
      <c r="Y12" s="2861"/>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5"/>
      <c r="Q13" s="1888">
        <f t="shared" si="6"/>
        <v>111</v>
      </c>
      <c r="R13" s="749" t="s">
        <v>25</v>
      </c>
      <c r="S13" s="750">
        <f t="shared" si="0"/>
        <v>100</v>
      </c>
      <c r="T13" s="749" t="s">
        <v>25</v>
      </c>
      <c r="U13" s="750">
        <f t="shared" si="1"/>
        <v>100</v>
      </c>
      <c r="V13" s="749" t="s">
        <v>25</v>
      </c>
      <c r="W13" s="750">
        <f t="shared" si="2"/>
        <v>100</v>
      </c>
      <c r="X13" s="751"/>
      <c r="Y13" s="2861"/>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5"/>
      <c r="Q14" s="1888">
        <f t="shared" si="6"/>
        <v>111</v>
      </c>
      <c r="R14" s="749" t="s">
        <v>25</v>
      </c>
      <c r="S14" s="750">
        <f t="shared" si="0"/>
        <v>100</v>
      </c>
      <c r="T14" s="749" t="s">
        <v>25</v>
      </c>
      <c r="U14" s="750">
        <f t="shared" si="1"/>
        <v>100</v>
      </c>
      <c r="V14" s="749" t="s">
        <v>25</v>
      </c>
      <c r="W14" s="750">
        <f t="shared" si="2"/>
        <v>100</v>
      </c>
      <c r="X14" s="751"/>
      <c r="Y14" s="2861"/>
      <c r="Z14" s="23">
        <f t="shared" si="7"/>
        <v>111</v>
      </c>
      <c r="AA14" s="752">
        <f>D14/F14</f>
        <v>1</v>
      </c>
      <c r="AB14" s="752">
        <f>D14/H14</f>
        <v>1</v>
      </c>
      <c r="AC14" s="752">
        <f>D14/J14</f>
        <v>1</v>
      </c>
    </row>
    <row r="15" spans="1:30" ht="99.75">
      <c r="A15" s="380" t="s">
        <v>2364</v>
      </c>
      <c r="B15" s="1487" t="s">
        <v>1740</v>
      </c>
      <c r="C15" s="2466" t="str">
        <f>估价对象房地状况!C15</f>
        <v>周边有玉泉路16号院、莲玉嘉园、重聚园、依翠园、诗景长安等居住社区，综合评价居住社区成熟度较好。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8" t="s">
        <v>2365</v>
      </c>
      <c r="Q15" s="1900" t="str">
        <f t="shared" si="6"/>
        <v>居住社区成熟度</v>
      </c>
      <c r="R15" s="753" t="s">
        <v>25</v>
      </c>
      <c r="S15" s="754">
        <f t="shared" si="0"/>
        <v>100</v>
      </c>
      <c r="T15" s="753" t="s">
        <v>25</v>
      </c>
      <c r="U15" s="754">
        <f t="shared" si="1"/>
        <v>100</v>
      </c>
      <c r="V15" s="753" t="s">
        <v>25</v>
      </c>
      <c r="W15" s="754">
        <f t="shared" si="2"/>
        <v>100</v>
      </c>
      <c r="X15" s="1901"/>
      <c r="Y15" s="3038" t="s">
        <v>2365</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39"/>
      <c r="Q16" s="1900"/>
      <c r="R16" s="753"/>
      <c r="S16" s="754"/>
      <c r="T16" s="753"/>
      <c r="U16" s="754"/>
      <c r="V16" s="753"/>
      <c r="W16" s="754"/>
      <c r="X16" s="1901"/>
      <c r="Y16" s="3039"/>
      <c r="Z16" s="1903"/>
      <c r="AA16" s="1904">
        <v>1</v>
      </c>
      <c r="AB16" s="1904">
        <v>1</v>
      </c>
      <c r="AC16" s="1904">
        <v>1</v>
      </c>
    </row>
    <row r="17" spans="1:29" ht="71.25">
      <c r="A17" s="383"/>
      <c r="B17" s="1489" t="s">
        <v>2450</v>
      </c>
      <c r="C17" s="2484"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9"/>
      <c r="Q17" s="1900" t="str">
        <f>B17</f>
        <v>商业繁华度</v>
      </c>
      <c r="R17" s="753" t="s">
        <v>25</v>
      </c>
      <c r="S17" s="754">
        <f>F17</f>
        <v>100</v>
      </c>
      <c r="T17" s="753" t="s">
        <v>25</v>
      </c>
      <c r="U17" s="754">
        <f>H17</f>
        <v>100</v>
      </c>
      <c r="V17" s="753" t="s">
        <v>25</v>
      </c>
      <c r="W17" s="754">
        <f>J17</f>
        <v>100</v>
      </c>
      <c r="X17" s="1901"/>
      <c r="Y17" s="3039"/>
      <c r="Z17" s="1903" t="str">
        <f>Q17</f>
        <v>商业繁华度</v>
      </c>
      <c r="AA17" s="1904">
        <f t="shared" si="3"/>
        <v>1</v>
      </c>
      <c r="AB17" s="1904">
        <f t="shared" si="4"/>
        <v>1</v>
      </c>
      <c r="AC17" s="1904">
        <f t="shared" si="5"/>
        <v>1</v>
      </c>
    </row>
    <row r="18" spans="1:29" ht="15">
      <c r="A18" s="383"/>
      <c r="B18" s="1490"/>
      <c r="C18" s="2468"/>
      <c r="D18" s="430"/>
      <c r="E18" s="1468"/>
      <c r="F18" s="430"/>
      <c r="G18" s="1468"/>
      <c r="H18" s="427"/>
      <c r="I18" s="2407"/>
      <c r="J18" s="427"/>
      <c r="K18" s="655"/>
      <c r="L18" s="1253"/>
      <c r="M18" s="1244"/>
      <c r="N18" s="1244"/>
      <c r="O18" s="1252"/>
      <c r="P18" s="3039"/>
      <c r="Q18" s="1900"/>
      <c r="R18" s="753"/>
      <c r="S18" s="754"/>
      <c r="T18" s="753"/>
      <c r="U18" s="754"/>
      <c r="V18" s="753"/>
      <c r="W18" s="754"/>
      <c r="X18" s="1901"/>
      <c r="Y18" s="3039"/>
      <c r="Z18" s="1903"/>
      <c r="AA18" s="1904">
        <v>1</v>
      </c>
      <c r="AB18" s="1904">
        <v>1</v>
      </c>
      <c r="AC18" s="1904">
        <v>1</v>
      </c>
    </row>
    <row r="19" spans="1:29" ht="71.25">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9"/>
      <c r="Q19" s="1900" t="str">
        <f>B19</f>
        <v>办公集聚程度</v>
      </c>
      <c r="R19" s="753" t="s">
        <v>25</v>
      </c>
      <c r="S19" s="754">
        <f>F19</f>
        <v>100</v>
      </c>
      <c r="T19" s="753" t="s">
        <v>25</v>
      </c>
      <c r="U19" s="754">
        <f>H19</f>
        <v>100</v>
      </c>
      <c r="V19" s="753" t="s">
        <v>25</v>
      </c>
      <c r="W19" s="754">
        <f>J19</f>
        <v>100</v>
      </c>
      <c r="X19" s="1901"/>
      <c r="Y19" s="3039"/>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39"/>
      <c r="Q20" s="1900"/>
      <c r="R20" s="753"/>
      <c r="S20" s="754"/>
      <c r="T20" s="753"/>
      <c r="U20" s="754"/>
      <c r="V20" s="753"/>
      <c r="W20" s="754"/>
      <c r="X20" s="1901"/>
      <c r="Y20" s="3039"/>
      <c r="Z20" s="1903"/>
      <c r="AA20" s="1904">
        <v>1</v>
      </c>
      <c r="AB20" s="1904">
        <v>1</v>
      </c>
      <c r="AC20" s="1904">
        <v>1</v>
      </c>
    </row>
    <row r="21" spans="1:29" ht="114">
      <c r="A21" s="383"/>
      <c r="B21" s="1489" t="s">
        <v>2508</v>
      </c>
      <c r="C21" s="2467" t="str">
        <f>估价对象房地状况!C18</f>
        <v>估价对象紧邻城市次干道—鲁谷路，有308路、546路、597路等10余条公交线路及地铁1号线八宝山站通过，交通便捷度较好。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9"/>
      <c r="Q21" s="1900" t="str">
        <f>B21</f>
        <v>交通便捷度</v>
      </c>
      <c r="R21" s="753" t="s">
        <v>25</v>
      </c>
      <c r="S21" s="754">
        <f>F21</f>
        <v>100</v>
      </c>
      <c r="T21" s="753" t="s">
        <v>25</v>
      </c>
      <c r="U21" s="754">
        <f>H21</f>
        <v>100</v>
      </c>
      <c r="V21" s="753" t="s">
        <v>25</v>
      </c>
      <c r="W21" s="754">
        <f>J21</f>
        <v>100</v>
      </c>
      <c r="X21" s="1901"/>
      <c r="Y21" s="3039"/>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39"/>
      <c r="Q22" s="1900"/>
      <c r="R22" s="753"/>
      <c r="S22" s="754"/>
      <c r="T22" s="753"/>
      <c r="U22" s="754"/>
      <c r="V22" s="753"/>
      <c r="W22" s="754"/>
      <c r="X22" s="1901"/>
      <c r="Y22" s="3039"/>
      <c r="Z22" s="1903"/>
      <c r="AA22" s="1904">
        <v>1</v>
      </c>
      <c r="AB22" s="1904">
        <v>1</v>
      </c>
      <c r="AC22" s="1904">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9"/>
      <c r="Q23" s="1900" t="str">
        <f t="shared" ref="Q23:Q37" si="8">B23</f>
        <v>区域土地利用方向</v>
      </c>
      <c r="R23" s="753" t="s">
        <v>25</v>
      </c>
      <c r="S23" s="754">
        <f>F23</f>
        <v>100</v>
      </c>
      <c r="T23" s="753" t="s">
        <v>25</v>
      </c>
      <c r="U23" s="754">
        <f>H23</f>
        <v>100</v>
      </c>
      <c r="V23" s="753" t="s">
        <v>25</v>
      </c>
      <c r="W23" s="754">
        <f>J23</f>
        <v>100</v>
      </c>
      <c r="X23" s="1901"/>
      <c r="Y23" s="3039"/>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39"/>
      <c r="Q24" s="1900"/>
      <c r="R24" s="753"/>
      <c r="S24" s="754"/>
      <c r="T24" s="753"/>
      <c r="U24" s="754"/>
      <c r="V24" s="753"/>
      <c r="W24" s="754"/>
      <c r="X24" s="1901"/>
      <c r="Y24" s="3039"/>
      <c r="Z24" s="1903"/>
      <c r="AA24" s="1904"/>
      <c r="AB24" s="1904"/>
      <c r="AC24" s="1904"/>
    </row>
    <row r="25" spans="1:29" ht="114">
      <c r="A25" s="383"/>
      <c r="B25" s="1491" t="s">
        <v>2549</v>
      </c>
      <c r="C25" s="2484" t="str">
        <f>估价对象房地状况!C20</f>
        <v>自然环境：北京国际雕塑公园、老山城市休闲公园、莲花河等；人文环境：中国科学院大学等；综合评价环境状况较好。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9"/>
      <c r="Q25" s="1900" t="str">
        <f t="shared" si="8"/>
        <v>自然及人文环境状况</v>
      </c>
      <c r="R25" s="753" t="s">
        <v>25</v>
      </c>
      <c r="S25" s="754">
        <f>F25</f>
        <v>100</v>
      </c>
      <c r="T25" s="753" t="s">
        <v>25</v>
      </c>
      <c r="U25" s="754">
        <f>H25</f>
        <v>100</v>
      </c>
      <c r="V25" s="753" t="s">
        <v>25</v>
      </c>
      <c r="W25" s="754">
        <f>J25</f>
        <v>100</v>
      </c>
      <c r="X25" s="1901"/>
      <c r="Y25" s="3039"/>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39"/>
      <c r="Q26" s="1900"/>
      <c r="R26" s="753"/>
      <c r="S26" s="754"/>
      <c r="T26" s="753"/>
      <c r="U26" s="754"/>
      <c r="V26" s="753"/>
      <c r="W26" s="754"/>
      <c r="X26" s="1901"/>
      <c r="Y26" s="3039"/>
      <c r="Z26" s="1903"/>
      <c r="AA26" s="1904">
        <v>1</v>
      </c>
      <c r="AB26" s="1904">
        <v>1</v>
      </c>
      <c r="AC26" s="1904">
        <v>1</v>
      </c>
    </row>
    <row r="27" spans="1:29" ht="42.75">
      <c r="A27" s="383"/>
      <c r="B27" s="1491" t="s">
        <v>2451</v>
      </c>
      <c r="C27" s="2467"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9"/>
      <c r="Q27" s="1888" t="str">
        <f t="shared" ref="Q27" si="9">B27</f>
        <v>公共配套设施</v>
      </c>
      <c r="R27" s="749" t="s">
        <v>25</v>
      </c>
      <c r="S27" s="750">
        <f>F27</f>
        <v>100</v>
      </c>
      <c r="T27" s="749" t="s">
        <v>25</v>
      </c>
      <c r="U27" s="750">
        <f>H27</f>
        <v>100</v>
      </c>
      <c r="V27" s="749" t="s">
        <v>25</v>
      </c>
      <c r="W27" s="750">
        <f>J27</f>
        <v>100</v>
      </c>
      <c r="X27" s="1901"/>
      <c r="Y27" s="3039"/>
      <c r="Z27" s="23" t="str">
        <f>Q27</f>
        <v>公共配套设施</v>
      </c>
      <c r="AA27" s="1904">
        <f>D27/F27</f>
        <v>1</v>
      </c>
      <c r="AB27" s="1904">
        <f>D27/H27</f>
        <v>1</v>
      </c>
      <c r="AC27" s="1904">
        <f>D27/J27</f>
        <v>1</v>
      </c>
    </row>
    <row r="28" spans="1:29" ht="15">
      <c r="A28" s="383"/>
      <c r="B28" s="1490"/>
      <c r="C28" s="2486"/>
      <c r="D28" s="427"/>
      <c r="E28" s="2486"/>
      <c r="F28" s="427"/>
      <c r="G28" s="2486"/>
      <c r="H28" s="427"/>
      <c r="I28" s="2486"/>
      <c r="J28" s="427"/>
      <c r="K28" s="655"/>
      <c r="L28" s="1253"/>
      <c r="M28" s="1244"/>
      <c r="N28" s="1244"/>
      <c r="O28" s="1252"/>
      <c r="P28" s="3039"/>
      <c r="Q28" s="1900"/>
      <c r="R28" s="753"/>
      <c r="S28" s="754"/>
      <c r="T28" s="753"/>
      <c r="U28" s="754"/>
      <c r="V28" s="753"/>
      <c r="W28" s="754"/>
      <c r="X28" s="1901"/>
      <c r="Y28" s="3039"/>
      <c r="Z28" s="23"/>
      <c r="AA28" s="1904">
        <v>1</v>
      </c>
      <c r="AB28" s="1904">
        <v>1</v>
      </c>
      <c r="AC28" s="1904">
        <v>1</v>
      </c>
    </row>
    <row r="29" spans="1:29" s="35" customFormat="1" ht="15">
      <c r="A29" s="633"/>
      <c r="B29" s="1491" t="s">
        <v>2452</v>
      </c>
      <c r="C29" s="2487"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9"/>
      <c r="Q29" s="1888" t="str">
        <f t="shared" si="8"/>
        <v>基础设施水平</v>
      </c>
      <c r="R29" s="749" t="s">
        <v>25</v>
      </c>
      <c r="S29" s="750">
        <f>F29</f>
        <v>100</v>
      </c>
      <c r="T29" s="749" t="s">
        <v>25</v>
      </c>
      <c r="U29" s="750">
        <f>H29</f>
        <v>100</v>
      </c>
      <c r="V29" s="749" t="s">
        <v>25</v>
      </c>
      <c r="W29" s="750">
        <f>J29</f>
        <v>100</v>
      </c>
      <c r="X29" s="751"/>
      <c r="Y29" s="3039"/>
      <c r="Z29" s="23" t="str">
        <f>Q29</f>
        <v>基础设施水平</v>
      </c>
      <c r="AA29" s="1904">
        <f>D29/F29</f>
        <v>1</v>
      </c>
      <c r="AB29" s="1904">
        <f>D29/H29</f>
        <v>1</v>
      </c>
      <c r="AC29" s="1904">
        <f>D29/J29</f>
        <v>1</v>
      </c>
    </row>
    <row r="30" spans="1:29" s="35" customFormat="1" ht="15">
      <c r="A30" s="633"/>
      <c r="B30" s="1490"/>
      <c r="C30" s="2486"/>
      <c r="D30" s="427"/>
      <c r="E30" s="2486"/>
      <c r="F30" s="427"/>
      <c r="G30" s="2486"/>
      <c r="H30" s="427"/>
      <c r="I30" s="2486"/>
      <c r="J30" s="427"/>
      <c r="K30" s="655"/>
      <c r="L30" s="1245"/>
      <c r="M30" s="1246"/>
      <c r="N30" s="1246"/>
      <c r="O30" s="1247"/>
      <c r="P30" s="3039"/>
      <c r="Q30" s="1888"/>
      <c r="R30" s="749"/>
      <c r="S30" s="750"/>
      <c r="T30" s="749"/>
      <c r="U30" s="750"/>
      <c r="V30" s="749"/>
      <c r="W30" s="750"/>
      <c r="X30" s="751"/>
      <c r="Y30" s="3039"/>
      <c r="Z30" s="23"/>
      <c r="AA30" s="1904">
        <v>1</v>
      </c>
      <c r="AB30" s="1904">
        <v>1</v>
      </c>
      <c r="AC30" s="1904">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9"/>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39"/>
      <c r="Z31" s="1903" t="str">
        <f t="shared" ref="Z31:Z45" si="13">Q31</f>
        <v>临街状况</v>
      </c>
      <c r="AA31" s="1904">
        <f t="shared" si="3"/>
        <v>1</v>
      </c>
      <c r="AB31" s="1904">
        <f t="shared" si="4"/>
        <v>1</v>
      </c>
      <c r="AC31" s="1904">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9"/>
      <c r="Q32" s="1900" t="str">
        <f t="shared" si="8"/>
        <v>毗邻道路的类型与等级</v>
      </c>
      <c r="R32" s="753" t="s">
        <v>25</v>
      </c>
      <c r="S32" s="754">
        <f t="shared" si="10"/>
        <v>100</v>
      </c>
      <c r="T32" s="753" t="s">
        <v>25</v>
      </c>
      <c r="U32" s="754">
        <f t="shared" si="11"/>
        <v>100</v>
      </c>
      <c r="V32" s="753" t="s">
        <v>25</v>
      </c>
      <c r="W32" s="754">
        <f t="shared" si="12"/>
        <v>100</v>
      </c>
      <c r="X32" s="1901"/>
      <c r="Y32" s="3039"/>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39"/>
      <c r="Q33" s="1900"/>
      <c r="R33" s="753"/>
      <c r="S33" s="754"/>
      <c r="T33" s="753"/>
      <c r="U33" s="754"/>
      <c r="V33" s="753"/>
      <c r="W33" s="754"/>
      <c r="X33" s="1901"/>
      <c r="Y33" s="3039"/>
      <c r="Z33" s="1903"/>
      <c r="AA33" s="1904">
        <v>1</v>
      </c>
      <c r="AB33" s="1904">
        <v>1</v>
      </c>
      <c r="AC33" s="1904">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9"/>
      <c r="Q34" s="1900" t="str">
        <f t="shared" si="8"/>
        <v>土地级别</v>
      </c>
      <c r="R34" s="753" t="s">
        <v>25</v>
      </c>
      <c r="S34" s="754">
        <f t="shared" si="10"/>
        <v>100</v>
      </c>
      <c r="T34" s="753" t="s">
        <v>25</v>
      </c>
      <c r="U34" s="754">
        <f t="shared" si="11"/>
        <v>100</v>
      </c>
      <c r="V34" s="753" t="s">
        <v>25</v>
      </c>
      <c r="W34" s="754">
        <f t="shared" si="12"/>
        <v>100</v>
      </c>
      <c r="X34" s="1901"/>
      <c r="Y34" s="3039"/>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9"/>
      <c r="Q35" s="1900">
        <f t="shared" si="8"/>
        <v>111</v>
      </c>
      <c r="R35" s="753" t="s">
        <v>25</v>
      </c>
      <c r="S35" s="754">
        <f t="shared" si="10"/>
        <v>100</v>
      </c>
      <c r="T35" s="753" t="s">
        <v>25</v>
      </c>
      <c r="U35" s="754">
        <f t="shared" si="11"/>
        <v>100</v>
      </c>
      <c r="V35" s="753" t="s">
        <v>25</v>
      </c>
      <c r="W35" s="754">
        <f t="shared" si="12"/>
        <v>100</v>
      </c>
      <c r="X35" s="1901"/>
      <c r="Y35" s="3039"/>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7" t="s">
        <v>2371</v>
      </c>
      <c r="Q36" s="1900">
        <f t="shared" si="8"/>
        <v>111</v>
      </c>
      <c r="R36" s="753" t="s">
        <v>25</v>
      </c>
      <c r="S36" s="754">
        <f t="shared" si="10"/>
        <v>100</v>
      </c>
      <c r="T36" s="753" t="s">
        <v>25</v>
      </c>
      <c r="U36" s="754">
        <f t="shared" si="11"/>
        <v>100</v>
      </c>
      <c r="V36" s="753" t="s">
        <v>25</v>
      </c>
      <c r="W36" s="754">
        <f t="shared" si="12"/>
        <v>100</v>
      </c>
      <c r="X36" s="1901"/>
      <c r="Y36" s="3043" t="s">
        <v>2371</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3"/>
      <c r="Q37" s="1900">
        <f t="shared" si="8"/>
        <v>111</v>
      </c>
      <c r="R37" s="756" t="s">
        <v>25</v>
      </c>
      <c r="S37" s="757">
        <f t="shared" si="10"/>
        <v>100</v>
      </c>
      <c r="T37" s="756" t="s">
        <v>25</v>
      </c>
      <c r="U37" s="757">
        <f t="shared" si="11"/>
        <v>100</v>
      </c>
      <c r="V37" s="756" t="s">
        <v>25</v>
      </c>
      <c r="W37" s="757">
        <f t="shared" si="12"/>
        <v>100</v>
      </c>
      <c r="X37" s="758"/>
      <c r="Y37" s="3043"/>
      <c r="Z37" s="759">
        <f t="shared" si="13"/>
        <v>111</v>
      </c>
      <c r="AA37" s="1904">
        <f t="shared" si="3"/>
        <v>1</v>
      </c>
      <c r="AB37" s="1904">
        <f t="shared" si="4"/>
        <v>1</v>
      </c>
      <c r="AC37" s="1904">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3"/>
      <c r="Q38" s="1900" t="str">
        <f>B38</f>
        <v>宗地面积</v>
      </c>
      <c r="R38" s="753" t="s">
        <v>25</v>
      </c>
      <c r="S38" s="754" t="e">
        <f t="shared" si="10"/>
        <v>#N/A</v>
      </c>
      <c r="T38" s="753" t="s">
        <v>25</v>
      </c>
      <c r="U38" s="754" t="e">
        <f t="shared" si="11"/>
        <v>#N/A</v>
      </c>
      <c r="V38" s="753" t="s">
        <v>25</v>
      </c>
      <c r="W38" s="754" t="e">
        <f t="shared" si="12"/>
        <v>#N/A</v>
      </c>
      <c r="X38" s="1901"/>
      <c r="Y38" s="3043"/>
      <c r="Z38" s="1903" t="str">
        <f t="shared" si="13"/>
        <v>宗地面积</v>
      </c>
      <c r="AA38" s="1904" t="e">
        <f t="shared" si="3"/>
        <v>#N/A</v>
      </c>
      <c r="AB38" s="1904" t="e">
        <f t="shared" si="4"/>
        <v>#N/A</v>
      </c>
      <c r="AC38" s="1904"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3"/>
      <c r="Q39" s="1900" t="str">
        <f t="shared" ref="Q39:Q45" si="14">B39</f>
        <v>宗地形状</v>
      </c>
      <c r="R39" s="753" t="s">
        <v>25</v>
      </c>
      <c r="S39" s="754">
        <f t="shared" si="10"/>
        <v>100</v>
      </c>
      <c r="T39" s="753" t="s">
        <v>25</v>
      </c>
      <c r="U39" s="754">
        <f t="shared" si="11"/>
        <v>100</v>
      </c>
      <c r="V39" s="753" t="s">
        <v>25</v>
      </c>
      <c r="W39" s="754">
        <f t="shared" si="12"/>
        <v>100</v>
      </c>
      <c r="X39" s="1901"/>
      <c r="Y39" s="3043"/>
      <c r="Z39" s="1903" t="str">
        <f t="shared" si="13"/>
        <v>宗地形状</v>
      </c>
      <c r="AA39" s="1904">
        <f t="shared" si="3"/>
        <v>1</v>
      </c>
      <c r="AB39" s="1904">
        <f t="shared" si="4"/>
        <v>1</v>
      </c>
      <c r="AC39" s="1904">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3"/>
      <c r="Q40" s="1900" t="str">
        <f t="shared" si="14"/>
        <v>临街宽度及深度</v>
      </c>
      <c r="R40" s="753" t="s">
        <v>25</v>
      </c>
      <c r="S40" s="754">
        <f t="shared" si="10"/>
        <v>100</v>
      </c>
      <c r="T40" s="753" t="s">
        <v>25</v>
      </c>
      <c r="U40" s="754">
        <f t="shared" si="11"/>
        <v>100</v>
      </c>
      <c r="V40" s="753" t="s">
        <v>25</v>
      </c>
      <c r="W40" s="754">
        <f t="shared" si="12"/>
        <v>100</v>
      </c>
      <c r="X40" s="1901"/>
      <c r="Y40" s="3043"/>
      <c r="Z40" s="1903" t="str">
        <f t="shared" si="13"/>
        <v>临街宽度及深度</v>
      </c>
      <c r="AA40" s="1904">
        <f t="shared" si="3"/>
        <v>1</v>
      </c>
      <c r="AB40" s="1904">
        <f t="shared" si="4"/>
        <v>1</v>
      </c>
      <c r="AC40" s="1904">
        <f t="shared" si="5"/>
        <v>1</v>
      </c>
    </row>
    <row r="41" spans="1:29" s="35" customFormat="1" ht="15">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3"/>
      <c r="Q41" s="1900" t="str">
        <f t="shared" si="14"/>
        <v>宗地开发程度</v>
      </c>
      <c r="R41" s="749" t="s">
        <v>25</v>
      </c>
      <c r="S41" s="750">
        <f t="shared" si="10"/>
        <v>100</v>
      </c>
      <c r="T41" s="749" t="s">
        <v>25</v>
      </c>
      <c r="U41" s="750">
        <f t="shared" si="11"/>
        <v>100</v>
      </c>
      <c r="V41" s="749" t="s">
        <v>25</v>
      </c>
      <c r="W41" s="750">
        <f t="shared" si="12"/>
        <v>100</v>
      </c>
      <c r="X41" s="751"/>
      <c r="Y41" s="3043"/>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3" t="s">
        <v>2371</v>
      </c>
      <c r="Q42" s="1900" t="str">
        <f t="shared" si="14"/>
        <v>工程地质条件</v>
      </c>
      <c r="R42" s="753" t="s">
        <v>25</v>
      </c>
      <c r="S42" s="754">
        <f t="shared" si="10"/>
        <v>100</v>
      </c>
      <c r="T42" s="753" t="s">
        <v>25</v>
      </c>
      <c r="U42" s="754">
        <f t="shared" si="11"/>
        <v>100</v>
      </c>
      <c r="V42" s="753" t="s">
        <v>25</v>
      </c>
      <c r="W42" s="754">
        <f t="shared" si="12"/>
        <v>100</v>
      </c>
      <c r="X42" s="1901"/>
      <c r="Y42" s="3043" t="s">
        <v>2371</v>
      </c>
      <c r="Z42" s="1903" t="str">
        <f t="shared" si="13"/>
        <v>工程地质条件</v>
      </c>
      <c r="AA42" s="1904">
        <f t="shared" si="3"/>
        <v>1</v>
      </c>
      <c r="AB42" s="1904">
        <f t="shared" si="4"/>
        <v>1</v>
      </c>
      <c r="AC42" s="1904">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3"/>
      <c r="Q43" s="1900">
        <f t="shared" si="14"/>
        <v>111</v>
      </c>
      <c r="R43" s="753" t="s">
        <v>25</v>
      </c>
      <c r="S43" s="754">
        <f t="shared" si="10"/>
        <v>100</v>
      </c>
      <c r="T43" s="753" t="s">
        <v>25</v>
      </c>
      <c r="U43" s="754">
        <f t="shared" si="11"/>
        <v>100</v>
      </c>
      <c r="V43" s="753" t="s">
        <v>25</v>
      </c>
      <c r="W43" s="754">
        <f t="shared" si="12"/>
        <v>100</v>
      </c>
      <c r="X43" s="1901"/>
      <c r="Y43" s="3043"/>
      <c r="Z43" s="1903">
        <f t="shared" si="13"/>
        <v>111</v>
      </c>
      <c r="AA43" s="1904">
        <f t="shared" si="3"/>
        <v>1</v>
      </c>
      <c r="AB43" s="1904">
        <f t="shared" si="4"/>
        <v>1</v>
      </c>
      <c r="AC43" s="1904">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3"/>
      <c r="Q44" s="1900">
        <f t="shared" si="14"/>
        <v>111</v>
      </c>
      <c r="R44" s="753" t="s">
        <v>25</v>
      </c>
      <c r="S44" s="754">
        <f t="shared" si="10"/>
        <v>100</v>
      </c>
      <c r="T44" s="753" t="s">
        <v>25</v>
      </c>
      <c r="U44" s="754">
        <f t="shared" si="11"/>
        <v>100</v>
      </c>
      <c r="V44" s="753" t="s">
        <v>25</v>
      </c>
      <c r="W44" s="754">
        <f t="shared" si="12"/>
        <v>100</v>
      </c>
      <c r="X44" s="1901"/>
      <c r="Y44" s="3043"/>
      <c r="Z44" s="1903">
        <f t="shared" si="13"/>
        <v>111</v>
      </c>
      <c r="AA44" s="1904">
        <f t="shared" si="3"/>
        <v>1</v>
      </c>
      <c r="AB44" s="1904">
        <f t="shared" si="4"/>
        <v>1</v>
      </c>
      <c r="AC44" s="1904">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3"/>
      <c r="Q45" s="1900">
        <f t="shared" si="14"/>
        <v>111</v>
      </c>
      <c r="R45" s="756" t="s">
        <v>25</v>
      </c>
      <c r="S45" s="757">
        <f t="shared" si="10"/>
        <v>100</v>
      </c>
      <c r="T45" s="756" t="s">
        <v>25</v>
      </c>
      <c r="U45" s="757">
        <f t="shared" si="11"/>
        <v>100</v>
      </c>
      <c r="V45" s="756" t="s">
        <v>25</v>
      </c>
      <c r="W45" s="757">
        <f t="shared" si="12"/>
        <v>100</v>
      </c>
      <c r="X45" s="758"/>
      <c r="Y45" s="3043"/>
      <c r="Z45" s="759">
        <f t="shared" si="13"/>
        <v>111</v>
      </c>
      <c r="AA45" s="1904">
        <f t="shared" si="3"/>
        <v>1</v>
      </c>
      <c r="AB45" s="1904">
        <f t="shared" si="4"/>
        <v>1</v>
      </c>
      <c r="AC45" s="1904">
        <f t="shared" si="5"/>
        <v>1</v>
      </c>
    </row>
    <row r="46" spans="1:29" ht="15">
      <c r="A46" s="460" t="s">
        <v>2519</v>
      </c>
      <c r="B46" s="2491" t="s">
        <v>2556</v>
      </c>
      <c r="C46" s="665" t="s">
        <v>1</v>
      </c>
      <c r="D46" s="462"/>
      <c r="E46" s="463"/>
      <c r="F46" s="464"/>
      <c r="G46" s="465"/>
      <c r="H46" s="466"/>
      <c r="I46" s="463"/>
      <c r="J46" s="466"/>
      <c r="K46" s="762"/>
      <c r="L46" s="1256"/>
      <c r="M46" s="1257"/>
      <c r="N46" s="1244"/>
      <c r="O46" s="1257"/>
      <c r="P46" s="3035" t="str">
        <f>A46</f>
        <v>成交单价</v>
      </c>
      <c r="Q46" s="3035"/>
      <c r="R46" s="3072">
        <f>E46</f>
        <v>0</v>
      </c>
      <c r="S46" s="3072"/>
      <c r="T46" s="3072">
        <f>G46</f>
        <v>0</v>
      </c>
      <c r="U46" s="3072"/>
      <c r="V46" s="3072">
        <f>I46</f>
        <v>0</v>
      </c>
      <c r="W46" s="3072"/>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35" t="str">
        <f>A47</f>
        <v>比较价值（元/平方米）</v>
      </c>
      <c r="Q47" s="3035"/>
      <c r="R47" s="3088" t="e">
        <f>ROUND(PRODUCT(R46,AA7:AA45),0)</f>
        <v>#DIV/0!</v>
      </c>
      <c r="S47" s="3088"/>
      <c r="T47" s="3088" t="e">
        <f>ROUND(PRODUCT(T46,AB7:AB45),0)</f>
        <v>#DIV/0!</v>
      </c>
      <c r="U47" s="3088"/>
      <c r="V47" s="3088" t="e">
        <f>ROUND(PRODUCT(V46,AC7:AC45),0)</f>
        <v>#DIV/0!</v>
      </c>
      <c r="W47" s="3088"/>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32" t="str">
        <f>A48</f>
        <v>估价对象XX用房的比较价值（楼面单价，元/平方米）</v>
      </c>
      <c r="Q48" s="3033"/>
      <c r="R48" s="3089" t="e">
        <f>ROUND(AVERAGE(R47:V47),0)</f>
        <v>#DIV/0!</v>
      </c>
      <c r="S48" s="3089"/>
      <c r="T48" s="3089"/>
      <c r="U48" s="3089"/>
      <c r="V48" s="3089"/>
      <c r="W48" s="308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2" t="s">
        <v>2559</v>
      </c>
      <c r="D55" s="2493" t="s">
        <v>2560</v>
      </c>
      <c r="E55" s="669" t="s">
        <v>2561</v>
      </c>
      <c r="F55" s="670" t="s">
        <v>2562</v>
      </c>
      <c r="G55" s="62" t="s">
        <v>2563</v>
      </c>
      <c r="H55" s="62">
        <f>项目基本情况!G8</f>
        <v>0</v>
      </c>
      <c r="I55" s="2494"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2568</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2569</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2570</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2571</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2572</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2573</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2574</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2017-12-1</v>
      </c>
      <c r="D68" s="1671">
        <f>EDATE(C68,-3)</f>
        <v>42979</v>
      </c>
      <c r="E68" s="1671">
        <f t="shared" ref="E68:O68" si="18">EDATE(D68,-3)</f>
        <v>42887</v>
      </c>
      <c r="F68" s="1671">
        <f t="shared" si="18"/>
        <v>42795</v>
      </c>
      <c r="G68" s="1671">
        <f t="shared" si="18"/>
        <v>42705</v>
      </c>
      <c r="H68" s="1671">
        <f t="shared" si="18"/>
        <v>42614</v>
      </c>
      <c r="I68" s="1671">
        <f t="shared" si="18"/>
        <v>42522</v>
      </c>
      <c r="J68" s="1671">
        <f t="shared" si="18"/>
        <v>42430</v>
      </c>
      <c r="K68" s="1671">
        <f t="shared" si="18"/>
        <v>42339</v>
      </c>
      <c r="L68" s="1671">
        <f t="shared" si="18"/>
        <v>42248</v>
      </c>
      <c r="M68" s="1671">
        <f t="shared" si="18"/>
        <v>42156</v>
      </c>
      <c r="N68" s="1671">
        <f t="shared" si="18"/>
        <v>42064</v>
      </c>
      <c r="O68" s="1671">
        <f t="shared" si="18"/>
        <v>41974</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5" customFormat="1" ht="15">
      <c r="A70" s="2495" t="s">
        <v>2576</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6" t="s">
        <v>2577</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2391</v>
      </c>
      <c r="B72" s="497"/>
      <c r="C72" s="498"/>
      <c r="D72" s="499"/>
      <c r="E72" s="499"/>
      <c r="F72" s="499"/>
      <c r="G72" s="499"/>
      <c r="H72" s="499"/>
      <c r="I72" s="499"/>
      <c r="J72" s="499"/>
      <c r="K72" s="499"/>
      <c r="L72" s="499"/>
      <c r="M72" s="500"/>
      <c r="N72" s="499"/>
      <c r="O72" s="1677"/>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1"/>
      <c r="Y4" s="3051" t="s">
        <v>2346</v>
      </c>
      <c r="Z4" s="3052"/>
      <c r="AA4" s="3059" t="s">
        <v>2342</v>
      </c>
      <c r="AB4" s="3060" t="s">
        <v>2343</v>
      </c>
      <c r="AC4" s="3059" t="s">
        <v>2344</v>
      </c>
    </row>
    <row r="5" spans="1:29" ht="15">
      <c r="A5" s="383"/>
      <c r="B5" s="384"/>
      <c r="C5" s="3077" t="s">
        <v>2347</v>
      </c>
      <c r="D5" s="3048"/>
      <c r="E5" s="3075" t="s">
        <v>2348</v>
      </c>
      <c r="F5" s="3076"/>
      <c r="G5" s="3077" t="s">
        <v>2349</v>
      </c>
      <c r="H5" s="3048"/>
      <c r="I5" s="3077" t="s">
        <v>2350</v>
      </c>
      <c r="J5" s="3048"/>
      <c r="K5" s="594"/>
      <c r="L5" s="1243"/>
      <c r="M5" s="1244"/>
      <c r="N5" s="1244"/>
      <c r="O5" s="1244"/>
      <c r="P5" s="3068"/>
      <c r="Q5" s="3069"/>
      <c r="R5" s="3053"/>
      <c r="S5" s="3054"/>
      <c r="T5" s="3053"/>
      <c r="U5" s="3054"/>
      <c r="V5" s="3072"/>
      <c r="W5" s="3072"/>
      <c r="X5" s="1901"/>
      <c r="Y5" s="3053"/>
      <c r="Z5" s="3054"/>
      <c r="AA5" s="3060"/>
      <c r="AB5" s="3060"/>
      <c r="AC5" s="3060"/>
    </row>
    <row r="6" spans="1:29" ht="15.75" thickBot="1">
      <c r="A6" s="385"/>
      <c r="B6" s="386"/>
      <c r="C6" s="3078" t="s">
        <v>2351</v>
      </c>
      <c r="D6" s="3074"/>
      <c r="E6" s="3079" t="s">
        <v>2351</v>
      </c>
      <c r="F6" s="3046"/>
      <c r="G6" s="3078" t="s">
        <v>2351</v>
      </c>
      <c r="H6" s="3074"/>
      <c r="I6" s="3078" t="s">
        <v>2351</v>
      </c>
      <c r="J6" s="3074"/>
      <c r="K6" s="594" t="s">
        <v>2352</v>
      </c>
      <c r="L6" s="1243"/>
      <c r="M6" s="1244"/>
      <c r="N6" s="1244"/>
      <c r="O6" s="1244"/>
      <c r="P6" s="3070"/>
      <c r="Q6" s="3071"/>
      <c r="R6" s="3053"/>
      <c r="S6" s="3054"/>
      <c r="T6" s="3055"/>
      <c r="U6" s="3056"/>
      <c r="V6" s="3072"/>
      <c r="W6" s="3072"/>
      <c r="X6" s="1901"/>
      <c r="Y6" s="3055"/>
      <c r="Z6" s="3056"/>
      <c r="AA6" s="3061"/>
      <c r="AB6" s="3061"/>
      <c r="AC6" s="3061"/>
    </row>
    <row r="7" spans="1:29" s="35" customFormat="1" ht="15.75" thickBot="1">
      <c r="A7" s="387" t="s">
        <v>2353</v>
      </c>
      <c r="B7" s="388"/>
      <c r="C7" s="389">
        <f>'数据-取费表'!B2</f>
        <v>43083</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0" si="3">D8/F8</f>
        <v>#DIV/0!</v>
      </c>
      <c r="AB8" s="752" t="e">
        <f t="shared" ref="AB8:AB40" si="4">D8/H8</f>
        <v>#DIV/0!</v>
      </c>
      <c r="AC8" s="752" t="e">
        <f t="shared" ref="AC8:AC40" si="5">D8/J8</f>
        <v>#DIV/0!</v>
      </c>
    </row>
    <row r="9" spans="1:29" s="35" customFormat="1">
      <c r="A9" s="395" t="s">
        <v>2358</v>
      </c>
      <c r="B9" s="28" t="s">
        <v>2359</v>
      </c>
      <c r="C9" s="2483" t="s">
        <v>2591</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35" t="s">
        <v>2360</v>
      </c>
      <c r="Q9" s="1888"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35"/>
      <c r="Q10" s="1888" t="str">
        <f t="shared" si="6"/>
        <v>土地使用年限（年）</v>
      </c>
      <c r="R10" s="749" t="s">
        <v>25</v>
      </c>
      <c r="S10" s="750">
        <f t="shared" si="0"/>
        <v>104</v>
      </c>
      <c r="T10" s="749" t="s">
        <v>25</v>
      </c>
      <c r="U10" s="750">
        <f t="shared" si="1"/>
        <v>104</v>
      </c>
      <c r="V10" s="749" t="s">
        <v>25</v>
      </c>
      <c r="W10" s="750">
        <f t="shared" si="2"/>
        <v>104</v>
      </c>
      <c r="X10" s="751"/>
      <c r="Y10" s="2861"/>
      <c r="Z10" s="23" t="str">
        <f t="shared" si="7"/>
        <v>土地使用年限（年）</v>
      </c>
      <c r="AA10" s="752">
        <f t="shared" si="3"/>
        <v>0.96153846153846156</v>
      </c>
      <c r="AB10" s="752">
        <f t="shared" si="4"/>
        <v>0.96153846153846156</v>
      </c>
      <c r="AC10" s="752">
        <f t="shared" si="5"/>
        <v>0.96153846153846156</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5"/>
      <c r="Q11" s="1888"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5"/>
      <c r="Q12" s="1888">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5"/>
      <c r="Q13" s="1888">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5"/>
      <c r="Q14" s="1888">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2364</v>
      </c>
      <c r="B15" s="613" t="s">
        <v>2592</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8" t="s">
        <v>2365</v>
      </c>
      <c r="Q15" s="1900" t="str">
        <f t="shared" si="6"/>
        <v>产业集聚程度</v>
      </c>
      <c r="R15" s="753" t="s">
        <v>25</v>
      </c>
      <c r="S15" s="754">
        <f t="shared" si="0"/>
        <v>100</v>
      </c>
      <c r="T15" s="753" t="s">
        <v>25</v>
      </c>
      <c r="U15" s="754">
        <f t="shared" si="1"/>
        <v>100</v>
      </c>
      <c r="V15" s="753" t="s">
        <v>25</v>
      </c>
      <c r="W15" s="754">
        <f t="shared" si="2"/>
        <v>100</v>
      </c>
      <c r="X15" s="1901"/>
      <c r="Y15" s="3038" t="s">
        <v>2365</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39"/>
      <c r="Q16" s="1900"/>
      <c r="R16" s="753"/>
      <c r="S16" s="754"/>
      <c r="T16" s="753"/>
      <c r="U16" s="754"/>
      <c r="V16" s="753"/>
      <c r="W16" s="754"/>
      <c r="X16" s="1901"/>
      <c r="Y16" s="3039"/>
      <c r="Z16" s="1903"/>
      <c r="AA16" s="1904">
        <v>1</v>
      </c>
      <c r="AB16" s="1904">
        <v>1</v>
      </c>
      <c r="AC16" s="1904">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9"/>
      <c r="Q17" s="1900" t="str">
        <f>B17</f>
        <v>交通便捷度</v>
      </c>
      <c r="R17" s="753" t="s">
        <v>25</v>
      </c>
      <c r="S17" s="754">
        <f>F17</f>
        <v>100</v>
      </c>
      <c r="T17" s="753" t="s">
        <v>25</v>
      </c>
      <c r="U17" s="754">
        <f>H17</f>
        <v>100</v>
      </c>
      <c r="V17" s="753" t="s">
        <v>25</v>
      </c>
      <c r="W17" s="754">
        <f>J17</f>
        <v>100</v>
      </c>
      <c r="X17" s="1901"/>
      <c r="Y17" s="3039"/>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39"/>
      <c r="Q18" s="1900"/>
      <c r="R18" s="753"/>
      <c r="S18" s="754"/>
      <c r="T18" s="753"/>
      <c r="U18" s="754"/>
      <c r="V18" s="753"/>
      <c r="W18" s="754"/>
      <c r="X18" s="1901"/>
      <c r="Y18" s="3039"/>
      <c r="Z18" s="1903"/>
      <c r="AA18" s="1904">
        <v>1</v>
      </c>
      <c r="AB18" s="1904">
        <v>1</v>
      </c>
      <c r="AC18" s="1904">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9"/>
      <c r="Q19" s="1900" t="str">
        <f t="shared" ref="Q19:Q33" si="8">B19</f>
        <v>区域土地利用方向</v>
      </c>
      <c r="R19" s="753" t="s">
        <v>25</v>
      </c>
      <c r="S19" s="754">
        <f>F19</f>
        <v>100</v>
      </c>
      <c r="T19" s="753" t="s">
        <v>25</v>
      </c>
      <c r="U19" s="754">
        <f>H19</f>
        <v>100</v>
      </c>
      <c r="V19" s="753" t="s">
        <v>25</v>
      </c>
      <c r="W19" s="754">
        <f>J19</f>
        <v>100</v>
      </c>
      <c r="X19" s="1901"/>
      <c r="Y19" s="3039"/>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39"/>
      <c r="Q20" s="1900"/>
      <c r="R20" s="753"/>
      <c r="S20" s="754"/>
      <c r="T20" s="753"/>
      <c r="U20" s="754"/>
      <c r="V20" s="753"/>
      <c r="W20" s="754"/>
      <c r="X20" s="1901"/>
      <c r="Y20" s="3039"/>
      <c r="Z20" s="1903"/>
      <c r="AA20" s="1904"/>
      <c r="AB20" s="1904"/>
      <c r="AC20" s="1904"/>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9"/>
      <c r="Q21" s="1900" t="str">
        <f t="shared" si="8"/>
        <v>环境状况</v>
      </c>
      <c r="R21" s="753" t="s">
        <v>25</v>
      </c>
      <c r="S21" s="754">
        <f>F21</f>
        <v>100</v>
      </c>
      <c r="T21" s="753" t="s">
        <v>25</v>
      </c>
      <c r="U21" s="754">
        <f>H21</f>
        <v>100</v>
      </c>
      <c r="V21" s="753" t="s">
        <v>25</v>
      </c>
      <c r="W21" s="754">
        <f>J21</f>
        <v>100</v>
      </c>
      <c r="X21" s="1901"/>
      <c r="Y21" s="3039"/>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39"/>
      <c r="Q22" s="1900"/>
      <c r="R22" s="753"/>
      <c r="S22" s="754"/>
      <c r="T22" s="753"/>
      <c r="U22" s="754"/>
      <c r="V22" s="753"/>
      <c r="W22" s="754"/>
      <c r="X22" s="1901"/>
      <c r="Y22" s="3039"/>
      <c r="Z22" s="1903"/>
      <c r="AA22" s="1904">
        <v>1</v>
      </c>
      <c r="AB22" s="1904">
        <v>1</v>
      </c>
      <c r="AC22" s="1904">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9"/>
      <c r="Q23" s="1888" t="str">
        <f t="shared" si="8"/>
        <v>公共配套设施</v>
      </c>
      <c r="R23" s="749" t="s">
        <v>25</v>
      </c>
      <c r="S23" s="750">
        <f>F23</f>
        <v>100</v>
      </c>
      <c r="T23" s="749" t="s">
        <v>25</v>
      </c>
      <c r="U23" s="750">
        <f>H23</f>
        <v>100</v>
      </c>
      <c r="V23" s="749" t="s">
        <v>25</v>
      </c>
      <c r="W23" s="750">
        <f>J23</f>
        <v>100</v>
      </c>
      <c r="X23" s="751"/>
      <c r="Y23" s="3039"/>
      <c r="Z23" s="23" t="str">
        <f>Q23</f>
        <v>公共配套设施</v>
      </c>
      <c r="AA23" s="1904">
        <f>D23/F23</f>
        <v>1</v>
      </c>
      <c r="AB23" s="1904">
        <f>D23/H23</f>
        <v>1</v>
      </c>
      <c r="AC23" s="1904">
        <f>D23/J23</f>
        <v>1</v>
      </c>
    </row>
    <row r="24" spans="1:29" s="35" customFormat="1" ht="15">
      <c r="A24" s="633"/>
      <c r="B24" s="616"/>
      <c r="C24" s="2497"/>
      <c r="D24" s="427"/>
      <c r="E24" s="1472"/>
      <c r="F24" s="427"/>
      <c r="G24" s="1472"/>
      <c r="H24" s="427"/>
      <c r="I24" s="426"/>
      <c r="J24" s="427"/>
      <c r="K24" s="655"/>
      <c r="L24" s="1245"/>
      <c r="M24" s="1246"/>
      <c r="N24" s="1246"/>
      <c r="O24" s="1247"/>
      <c r="P24" s="3039"/>
      <c r="Q24" s="1888"/>
      <c r="R24" s="749"/>
      <c r="S24" s="750"/>
      <c r="T24" s="749"/>
      <c r="U24" s="750"/>
      <c r="V24" s="749"/>
      <c r="W24" s="750"/>
      <c r="X24" s="751"/>
      <c r="Y24" s="3039"/>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9"/>
      <c r="Q25" s="1888" t="str">
        <f t="shared" ref="Q25" si="9">B25</f>
        <v>基础设施水平</v>
      </c>
      <c r="R25" s="749" t="s">
        <v>25</v>
      </c>
      <c r="S25" s="750">
        <f>F25</f>
        <v>100</v>
      </c>
      <c r="T25" s="749" t="s">
        <v>25</v>
      </c>
      <c r="U25" s="750">
        <f>H25</f>
        <v>100</v>
      </c>
      <c r="V25" s="749" t="s">
        <v>25</v>
      </c>
      <c r="W25" s="750">
        <f>J25</f>
        <v>100</v>
      </c>
      <c r="X25" s="751"/>
      <c r="Y25" s="3039"/>
      <c r="Z25" s="23" t="str">
        <f>Q25</f>
        <v>基础设施水平</v>
      </c>
      <c r="AA25" s="1904">
        <f>D25/F25</f>
        <v>1</v>
      </c>
      <c r="AB25" s="1904">
        <f>D25/H25</f>
        <v>1</v>
      </c>
      <c r="AC25" s="1904">
        <f>D25/J25</f>
        <v>1</v>
      </c>
    </row>
    <row r="26" spans="1:29" s="35" customFormat="1" ht="15">
      <c r="A26" s="633"/>
      <c r="B26" s="616"/>
      <c r="C26" s="2497"/>
      <c r="D26" s="427"/>
      <c r="E26" s="2486"/>
      <c r="F26" s="427"/>
      <c r="G26" s="2486"/>
      <c r="H26" s="427"/>
      <c r="I26" s="2486"/>
      <c r="J26" s="427"/>
      <c r="K26" s="655"/>
      <c r="L26" s="1245"/>
      <c r="M26" s="1246"/>
      <c r="N26" s="1246"/>
      <c r="O26" s="1247"/>
      <c r="P26" s="3039"/>
      <c r="Q26" s="1888"/>
      <c r="R26" s="749"/>
      <c r="S26" s="750"/>
      <c r="T26" s="749"/>
      <c r="U26" s="750"/>
      <c r="V26" s="749"/>
      <c r="W26" s="750"/>
      <c r="X26" s="751"/>
      <c r="Y26" s="3039"/>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9"/>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39"/>
      <c r="Z27" s="1903" t="str">
        <f t="shared" ref="Z27:Z40" si="13">Q27</f>
        <v>临街状况</v>
      </c>
      <c r="AA27" s="1904">
        <f t="shared" si="3"/>
        <v>1</v>
      </c>
      <c r="AB27" s="1904">
        <f t="shared" si="4"/>
        <v>1</v>
      </c>
      <c r="AC27" s="1904">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9"/>
      <c r="Q28" s="1900" t="str">
        <f t="shared" si="8"/>
        <v>毗邻道路的类型与等级</v>
      </c>
      <c r="R28" s="753" t="s">
        <v>25</v>
      </c>
      <c r="S28" s="754">
        <f t="shared" si="10"/>
        <v>100</v>
      </c>
      <c r="T28" s="753" t="s">
        <v>25</v>
      </c>
      <c r="U28" s="754">
        <f t="shared" si="11"/>
        <v>100</v>
      </c>
      <c r="V28" s="753" t="s">
        <v>25</v>
      </c>
      <c r="W28" s="754">
        <f t="shared" si="12"/>
        <v>100</v>
      </c>
      <c r="X28" s="1901"/>
      <c r="Y28" s="3039"/>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39"/>
      <c r="Q29" s="1900"/>
      <c r="R29" s="753"/>
      <c r="S29" s="754"/>
      <c r="T29" s="753"/>
      <c r="U29" s="754"/>
      <c r="V29" s="753"/>
      <c r="W29" s="754"/>
      <c r="X29" s="1901"/>
      <c r="Y29" s="3039"/>
      <c r="Z29" s="1903"/>
      <c r="AA29" s="1904">
        <v>1</v>
      </c>
      <c r="AB29" s="1904">
        <v>1</v>
      </c>
      <c r="AC29" s="1904">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9"/>
      <c r="Q30" s="1900" t="str">
        <f t="shared" si="8"/>
        <v>土地级别</v>
      </c>
      <c r="R30" s="753" t="s">
        <v>25</v>
      </c>
      <c r="S30" s="754">
        <f t="shared" si="10"/>
        <v>100</v>
      </c>
      <c r="T30" s="753" t="s">
        <v>25</v>
      </c>
      <c r="U30" s="754">
        <f t="shared" si="11"/>
        <v>100</v>
      </c>
      <c r="V30" s="753" t="s">
        <v>25</v>
      </c>
      <c r="W30" s="754">
        <f t="shared" si="12"/>
        <v>100</v>
      </c>
      <c r="X30" s="1901"/>
      <c r="Y30" s="3039"/>
      <c r="Z30" s="1903" t="str">
        <f t="shared" si="13"/>
        <v>土地级别</v>
      </c>
      <c r="AA30" s="1904">
        <f t="shared" si="3"/>
        <v>1</v>
      </c>
      <c r="AB30" s="1904">
        <f t="shared" si="4"/>
        <v>1</v>
      </c>
      <c r="AC30" s="1904">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9"/>
      <c r="Q31" s="1900">
        <f t="shared" si="8"/>
        <v>111</v>
      </c>
      <c r="R31" s="753" t="s">
        <v>25</v>
      </c>
      <c r="S31" s="754">
        <f t="shared" si="10"/>
        <v>100</v>
      </c>
      <c r="T31" s="753" t="s">
        <v>25</v>
      </c>
      <c r="U31" s="754">
        <f t="shared" si="11"/>
        <v>100</v>
      </c>
      <c r="V31" s="753" t="s">
        <v>25</v>
      </c>
      <c r="W31" s="754">
        <f t="shared" si="12"/>
        <v>100</v>
      </c>
      <c r="X31" s="1901"/>
      <c r="Y31" s="3039"/>
      <c r="Z31" s="1903">
        <f t="shared" si="13"/>
        <v>111</v>
      </c>
      <c r="AA31" s="1904">
        <f t="shared" si="3"/>
        <v>1</v>
      </c>
      <c r="AB31" s="1904">
        <f t="shared" si="4"/>
        <v>1</v>
      </c>
      <c r="AC31" s="1904">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7" t="s">
        <v>2371</v>
      </c>
      <c r="Q32" s="1900">
        <f t="shared" si="8"/>
        <v>111</v>
      </c>
      <c r="R32" s="753" t="s">
        <v>25</v>
      </c>
      <c r="S32" s="754">
        <f t="shared" si="10"/>
        <v>100</v>
      </c>
      <c r="T32" s="753" t="s">
        <v>25</v>
      </c>
      <c r="U32" s="754">
        <f t="shared" si="11"/>
        <v>100</v>
      </c>
      <c r="V32" s="753" t="s">
        <v>25</v>
      </c>
      <c r="W32" s="754">
        <f t="shared" si="12"/>
        <v>100</v>
      </c>
      <c r="X32" s="1901"/>
      <c r="Y32" s="3043" t="s">
        <v>2371</v>
      </c>
      <c r="Z32" s="1903">
        <f t="shared" si="13"/>
        <v>111</v>
      </c>
      <c r="AA32" s="1904">
        <f t="shared" si="3"/>
        <v>1</v>
      </c>
      <c r="AB32" s="1904">
        <f t="shared" si="4"/>
        <v>1</v>
      </c>
      <c r="AC32" s="1904">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3"/>
      <c r="Q33" s="1900">
        <f t="shared" si="8"/>
        <v>111</v>
      </c>
      <c r="R33" s="756" t="s">
        <v>25</v>
      </c>
      <c r="S33" s="757">
        <f t="shared" si="10"/>
        <v>100</v>
      </c>
      <c r="T33" s="756" t="s">
        <v>25</v>
      </c>
      <c r="U33" s="757">
        <f t="shared" si="11"/>
        <v>100</v>
      </c>
      <c r="V33" s="756" t="s">
        <v>25</v>
      </c>
      <c r="W33" s="757">
        <f t="shared" si="12"/>
        <v>100</v>
      </c>
      <c r="X33" s="758"/>
      <c r="Y33" s="3043"/>
      <c r="Z33" s="759">
        <f t="shared" si="13"/>
        <v>111</v>
      </c>
      <c r="AA33" s="1904">
        <f t="shared" si="3"/>
        <v>1</v>
      </c>
      <c r="AB33" s="1904">
        <f t="shared" si="4"/>
        <v>1</v>
      </c>
      <c r="AC33" s="1904">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3"/>
      <c r="Q34" s="1900" t="str">
        <f>B34</f>
        <v>宗地面积</v>
      </c>
      <c r="R34" s="753" t="s">
        <v>25</v>
      </c>
      <c r="S34" s="754" t="e">
        <f t="shared" si="10"/>
        <v>#N/A</v>
      </c>
      <c r="T34" s="753" t="s">
        <v>25</v>
      </c>
      <c r="U34" s="754" t="e">
        <f t="shared" si="11"/>
        <v>#N/A</v>
      </c>
      <c r="V34" s="753" t="s">
        <v>25</v>
      </c>
      <c r="W34" s="754" t="e">
        <f t="shared" si="12"/>
        <v>#N/A</v>
      </c>
      <c r="X34" s="1901"/>
      <c r="Y34" s="3043"/>
      <c r="Z34" s="1903" t="str">
        <f t="shared" si="13"/>
        <v>宗地面积</v>
      </c>
      <c r="AA34" s="1904" t="e">
        <f t="shared" si="3"/>
        <v>#N/A</v>
      </c>
      <c r="AB34" s="1904" t="e">
        <f t="shared" si="4"/>
        <v>#N/A</v>
      </c>
      <c r="AC34" s="1904"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3"/>
      <c r="Q35" s="1900" t="str">
        <f t="shared" ref="Q35:Q40" si="14">B35</f>
        <v>宗地形状</v>
      </c>
      <c r="R35" s="753" t="s">
        <v>25</v>
      </c>
      <c r="S35" s="754">
        <f t="shared" si="10"/>
        <v>100</v>
      </c>
      <c r="T35" s="753" t="s">
        <v>25</v>
      </c>
      <c r="U35" s="754">
        <f t="shared" si="11"/>
        <v>100</v>
      </c>
      <c r="V35" s="753" t="s">
        <v>25</v>
      </c>
      <c r="W35" s="754">
        <f t="shared" si="12"/>
        <v>100</v>
      </c>
      <c r="X35" s="1901"/>
      <c r="Y35" s="3043"/>
      <c r="Z35" s="1903" t="str">
        <f t="shared" si="13"/>
        <v>宗地形状</v>
      </c>
      <c r="AA35" s="1904">
        <f t="shared" si="3"/>
        <v>1</v>
      </c>
      <c r="AB35" s="1904">
        <f t="shared" si="4"/>
        <v>1</v>
      </c>
      <c r="AC35" s="1904">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3"/>
      <c r="Q36" s="1900" t="str">
        <f t="shared" si="14"/>
        <v>宗地开发程度</v>
      </c>
      <c r="R36" s="749" t="s">
        <v>25</v>
      </c>
      <c r="S36" s="750">
        <f t="shared" si="10"/>
        <v>100</v>
      </c>
      <c r="T36" s="749" t="s">
        <v>25</v>
      </c>
      <c r="U36" s="750">
        <f t="shared" si="11"/>
        <v>100</v>
      </c>
      <c r="V36" s="749" t="s">
        <v>25</v>
      </c>
      <c r="W36" s="750">
        <f t="shared" si="12"/>
        <v>100</v>
      </c>
      <c r="X36" s="751"/>
      <c r="Y36" s="3043"/>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3" t="s">
        <v>2371</v>
      </c>
      <c r="Q37" s="1900" t="str">
        <f t="shared" si="14"/>
        <v>工程地质条件</v>
      </c>
      <c r="R37" s="753" t="s">
        <v>25</v>
      </c>
      <c r="S37" s="754">
        <f t="shared" si="10"/>
        <v>100</v>
      </c>
      <c r="T37" s="753" t="s">
        <v>25</v>
      </c>
      <c r="U37" s="754">
        <f t="shared" si="11"/>
        <v>100</v>
      </c>
      <c r="V37" s="753" t="s">
        <v>25</v>
      </c>
      <c r="W37" s="754">
        <f t="shared" si="12"/>
        <v>100</v>
      </c>
      <c r="X37" s="1901"/>
      <c r="Y37" s="3043" t="s">
        <v>2371</v>
      </c>
      <c r="Z37" s="1903" t="str">
        <f t="shared" si="13"/>
        <v>工程地质条件</v>
      </c>
      <c r="AA37" s="1904">
        <f t="shared" si="3"/>
        <v>1</v>
      </c>
      <c r="AB37" s="1904">
        <f t="shared" si="4"/>
        <v>1</v>
      </c>
      <c r="AC37" s="1904">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3"/>
      <c r="Q38" s="1900">
        <f t="shared" si="14"/>
        <v>111</v>
      </c>
      <c r="R38" s="753" t="s">
        <v>25</v>
      </c>
      <c r="S38" s="754">
        <f t="shared" si="10"/>
        <v>100</v>
      </c>
      <c r="T38" s="753" t="s">
        <v>25</v>
      </c>
      <c r="U38" s="754">
        <f t="shared" si="11"/>
        <v>100</v>
      </c>
      <c r="V38" s="753" t="s">
        <v>25</v>
      </c>
      <c r="W38" s="754">
        <f t="shared" si="12"/>
        <v>100</v>
      </c>
      <c r="X38" s="1901"/>
      <c r="Y38" s="3043"/>
      <c r="Z38" s="1903">
        <f t="shared" si="13"/>
        <v>111</v>
      </c>
      <c r="AA38" s="1904">
        <f t="shared" si="3"/>
        <v>1</v>
      </c>
      <c r="AB38" s="1904">
        <f t="shared" si="4"/>
        <v>1</v>
      </c>
      <c r="AC38" s="1904">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3"/>
      <c r="Q39" s="1900">
        <f t="shared" si="14"/>
        <v>111</v>
      </c>
      <c r="R39" s="753" t="s">
        <v>25</v>
      </c>
      <c r="S39" s="754">
        <f t="shared" si="10"/>
        <v>100</v>
      </c>
      <c r="T39" s="753" t="s">
        <v>25</v>
      </c>
      <c r="U39" s="754">
        <f t="shared" si="11"/>
        <v>100</v>
      </c>
      <c r="V39" s="753" t="s">
        <v>25</v>
      </c>
      <c r="W39" s="754">
        <f t="shared" si="12"/>
        <v>100</v>
      </c>
      <c r="X39" s="1901"/>
      <c r="Y39" s="3043"/>
      <c r="Z39" s="1903">
        <f t="shared" si="13"/>
        <v>111</v>
      </c>
      <c r="AA39" s="1904">
        <f t="shared" si="3"/>
        <v>1</v>
      </c>
      <c r="AB39" s="1904">
        <f t="shared" si="4"/>
        <v>1</v>
      </c>
      <c r="AC39" s="1904">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3"/>
      <c r="Q40" s="1900">
        <f t="shared" si="14"/>
        <v>111</v>
      </c>
      <c r="R40" s="756" t="s">
        <v>25</v>
      </c>
      <c r="S40" s="757">
        <f t="shared" si="10"/>
        <v>100</v>
      </c>
      <c r="T40" s="756" t="s">
        <v>25</v>
      </c>
      <c r="U40" s="757">
        <f t="shared" si="11"/>
        <v>100</v>
      </c>
      <c r="V40" s="756" t="s">
        <v>25</v>
      </c>
      <c r="W40" s="757">
        <f t="shared" si="12"/>
        <v>100</v>
      </c>
      <c r="X40" s="758"/>
      <c r="Y40" s="3043"/>
      <c r="Z40" s="759">
        <f t="shared" si="13"/>
        <v>111</v>
      </c>
      <c r="AA40" s="1904">
        <f t="shared" si="3"/>
        <v>1</v>
      </c>
      <c r="AB40" s="1904">
        <f t="shared" si="4"/>
        <v>1</v>
      </c>
      <c r="AC40" s="1904">
        <f t="shared" si="5"/>
        <v>1</v>
      </c>
    </row>
    <row r="41" spans="1:29" ht="15">
      <c r="A41" s="460" t="s">
        <v>2519</v>
      </c>
      <c r="B41" s="2491" t="s">
        <v>2594</v>
      </c>
      <c r="C41" s="665" t="s">
        <v>1</v>
      </c>
      <c r="D41" s="462"/>
      <c r="E41" s="463"/>
      <c r="F41" s="464"/>
      <c r="G41" s="465"/>
      <c r="H41" s="466"/>
      <c r="I41" s="463"/>
      <c r="J41" s="466"/>
      <c r="K41" s="762"/>
      <c r="L41" s="1256"/>
      <c r="M41" s="1244"/>
      <c r="N41" s="1244"/>
      <c r="O41" s="1257"/>
      <c r="P41" s="3035" t="str">
        <f>A41</f>
        <v>成交单价</v>
      </c>
      <c r="Q41" s="3035"/>
      <c r="R41" s="3072">
        <f>E41</f>
        <v>0</v>
      </c>
      <c r="S41" s="3072"/>
      <c r="T41" s="3072">
        <f>G41</f>
        <v>0</v>
      </c>
      <c r="U41" s="3072"/>
      <c r="V41" s="3072">
        <f>I41</f>
        <v>0</v>
      </c>
      <c r="W41" s="3072"/>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35" t="str">
        <f>A42</f>
        <v>比较价值（元/平方米）</v>
      </c>
      <c r="Q42" s="3035"/>
      <c r="R42" s="3088" t="e">
        <f>ROUND(PRODUCT(R41,AA7:AA40),0)</f>
        <v>#DIV/0!</v>
      </c>
      <c r="S42" s="3088"/>
      <c r="T42" s="3088" t="e">
        <f>ROUND(PRODUCT(T41,AB7:AB40),0)</f>
        <v>#DIV/0!</v>
      </c>
      <c r="U42" s="3088"/>
      <c r="V42" s="3088" t="e">
        <f>ROUND(PRODUCT(V41,AC7:AC40),0)</f>
        <v>#DIV/0!</v>
      </c>
      <c r="W42" s="3088"/>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32" t="str">
        <f>A43</f>
        <v>估价对象XX用房的比较价值（楼面单价，元/平方米）</v>
      </c>
      <c r="Q43" s="3033"/>
      <c r="R43" s="3089" t="e">
        <f>ROUND(AVERAGE(R42:V42),0)</f>
        <v>#DIV/0!</v>
      </c>
      <c r="S43" s="3089"/>
      <c r="T43" s="3089"/>
      <c r="U43" s="3089"/>
      <c r="V43" s="3089"/>
      <c r="W43" s="308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2" t="s">
        <v>2559</v>
      </c>
      <c r="D50" s="2493" t="s">
        <v>2560</v>
      </c>
      <c r="E50" s="669" t="s">
        <v>2561</v>
      </c>
      <c r="F50" s="670" t="s">
        <v>2562</v>
      </c>
      <c r="G50" s="1903" t="s">
        <v>2595</v>
      </c>
      <c r="H50" s="1903">
        <f>项目基本情况!G8</f>
        <v>0</v>
      </c>
      <c r="I50" s="1850"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2568</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2569</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2570</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2571</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2572</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2573</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2574</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2017-12-1</v>
      </c>
      <c r="D63" s="1671">
        <f>EDATE(C63,-3)</f>
        <v>42979</v>
      </c>
      <c r="E63" s="1671">
        <f t="shared" ref="E63:O63" si="18">EDATE(D63,-3)</f>
        <v>42887</v>
      </c>
      <c r="F63" s="1671">
        <f t="shared" si="18"/>
        <v>42795</v>
      </c>
      <c r="G63" s="1671">
        <f t="shared" si="18"/>
        <v>42705</v>
      </c>
      <c r="H63" s="1671">
        <f t="shared" si="18"/>
        <v>42614</v>
      </c>
      <c r="I63" s="1671">
        <f t="shared" si="18"/>
        <v>42522</v>
      </c>
      <c r="J63" s="1671">
        <f t="shared" si="18"/>
        <v>42430</v>
      </c>
      <c r="K63" s="1671">
        <f t="shared" si="18"/>
        <v>42339</v>
      </c>
      <c r="L63" s="1671">
        <f t="shared" si="18"/>
        <v>42248</v>
      </c>
      <c r="M63" s="1671">
        <f t="shared" si="18"/>
        <v>42156</v>
      </c>
      <c r="N63" s="1671">
        <f t="shared" si="18"/>
        <v>42064</v>
      </c>
      <c r="O63" s="1671">
        <f t="shared" si="18"/>
        <v>41974</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2576</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1" t="s">
        <v>2596</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2391</v>
      </c>
      <c r="B67" s="497"/>
      <c r="C67" s="498"/>
      <c r="D67" s="499"/>
      <c r="E67" s="499"/>
      <c r="F67" s="499"/>
      <c r="G67" s="499"/>
      <c r="H67" s="499"/>
      <c r="I67" s="499"/>
      <c r="J67" s="499"/>
      <c r="K67" s="499"/>
      <c r="L67" s="499"/>
      <c r="M67" s="500"/>
      <c r="N67" s="499"/>
      <c r="O67" s="1677"/>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4" zoomScale="90" zoomScaleNormal="90" zoomScaleSheetLayoutView="90" workbookViewId="0">
      <selection activeCell="G23" sqref="G23"/>
    </sheetView>
  </sheetViews>
  <sheetFormatPr defaultRowHeight="12.75"/>
  <cols>
    <col min="1" max="1" width="9.75" style="2583" customWidth="1"/>
    <col min="2" max="2" width="19.25" style="2695"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2597</v>
      </c>
      <c r="B1" s="2503"/>
      <c r="C1" s="162" t="s">
        <v>2598</v>
      </c>
      <c r="D1" s="2504">
        <f>SUM(D29:D30,D33:D39)</f>
        <v>55.86</v>
      </c>
      <c r="E1" s="2504"/>
      <c r="F1" s="2504"/>
      <c r="G1" s="2504"/>
      <c r="H1" s="2504"/>
      <c r="I1" s="2504"/>
      <c r="J1" s="2504"/>
      <c r="L1" s="2505" t="s">
        <v>2599</v>
      </c>
      <c r="M1" s="1119">
        <f>SUMPRODUCT((区片价!B5:B9=I2)*(区片价!C3:F3=E2)*(区片价!C5:F9))</f>
        <v>0</v>
      </c>
      <c r="N1" s="1122">
        <f>SUMPRODUCT((因素修正幅度!B5:B9=I2)*(因素修正幅度!C3:F3=E2)*(因素修正幅度!C5:F9))</f>
        <v>0</v>
      </c>
      <c r="O1" s="1462"/>
      <c r="P1" s="1462"/>
      <c r="Q1" s="1462"/>
      <c r="R1" s="1710" t="s">
        <v>2600</v>
      </c>
      <c r="S1" s="1710" t="s">
        <v>2601</v>
      </c>
      <c r="T1" s="1710" t="s">
        <v>2602</v>
      </c>
      <c r="U1" s="1710" t="s">
        <v>2603</v>
      </c>
      <c r="V1" s="1710" t="s">
        <v>2604</v>
      </c>
      <c r="W1" s="1714"/>
      <c r="X1" s="1714"/>
      <c r="Y1" s="1714"/>
      <c r="Z1" s="1714"/>
      <c r="AA1" s="1714"/>
      <c r="AB1" s="1714"/>
      <c r="AC1" s="1715"/>
      <c r="AD1" s="1716"/>
      <c r="AE1" s="1716"/>
      <c r="AF1" s="1716"/>
      <c r="AG1" s="1716"/>
      <c r="AH1" s="1716"/>
      <c r="AI1" s="1716"/>
      <c r="AJ1" s="1717"/>
    </row>
    <row r="2" spans="1:36" ht="24.75">
      <c r="A2" s="165" t="s">
        <v>2605</v>
      </c>
      <c r="B2" s="168">
        <f ca="1">C26</f>
        <v>0</v>
      </c>
      <c r="C2" s="2507" t="s">
        <v>2606</v>
      </c>
      <c r="D2" s="2508" t="s">
        <v>2607</v>
      </c>
      <c r="E2" s="2509" t="s">
        <v>2813</v>
      </c>
      <c r="F2" s="2508" t="s">
        <v>2608</v>
      </c>
      <c r="G2" s="2510" t="str">
        <f>项目基本情况!F9</f>
        <v>五级</v>
      </c>
      <c r="H2" s="2511" t="s">
        <v>2609</v>
      </c>
      <c r="I2" s="2510" t="str">
        <f>项目基本情况!F10</f>
        <v>Ⅴ-09</v>
      </c>
      <c r="J2" s="2512"/>
      <c r="L2" s="2513" t="s">
        <v>2610</v>
      </c>
      <c r="M2" s="1120">
        <f>SUMPRODUCT((区片价!B10:B28=I2)*(区片价!C3:F3=E2)*(区片价!C10:F28))</f>
        <v>0</v>
      </c>
      <c r="N2" s="1123">
        <f>SUMPRODUCT((因素修正幅度!B10:B28=I2)*(因素修正幅度!C3:F3=E2)*(因素修正幅度!C10:F28))</f>
        <v>0</v>
      </c>
      <c r="O2" s="1462"/>
      <c r="P2" s="1462"/>
      <c r="Q2" s="1462"/>
      <c r="R2" s="1710">
        <v>1</v>
      </c>
      <c r="S2" s="1710" t="e">
        <f>ROUND(IF(G3&gt;1,IF(R2&lt;7,SUMPRODUCT((B93:B98=R2)*(C92:N92=G2)*(C93:N98)),SUMIF(C92:N92,G2,C100:N100)),IF(R2&lt;7,SUMPRODUCT((B102:B107=R2)*(C92:N92=G2)*(C102:N107)),SUMIF(C92:N92,G2,C109:N109))),4)</f>
        <v>#DIV/0!</v>
      </c>
      <c r="T2" s="1710" t="e">
        <f ca="1">ROUND($C$5*$C$18*$C$19*$C$20*S2*$C$24,0)</f>
        <v>#DIV/0!</v>
      </c>
      <c r="U2" s="1711"/>
      <c r="V2" s="1710" t="e">
        <f ca="1">ROUND(T2*U2/10000,0)</f>
        <v>#DIV/0!</v>
      </c>
      <c r="W2" s="1714"/>
      <c r="X2" s="1714"/>
      <c r="Y2" s="1714"/>
      <c r="Z2" s="1714"/>
      <c r="AA2" s="1714"/>
      <c r="AB2" s="1714"/>
      <c r="AC2" s="1715"/>
      <c r="AD2" s="1716"/>
      <c r="AE2" s="1716"/>
      <c r="AF2" s="1716"/>
      <c r="AG2" s="1716"/>
      <c r="AH2" s="1716"/>
      <c r="AI2" s="1716"/>
      <c r="AJ2" s="1717"/>
    </row>
    <row r="3" spans="1:36" ht="25.5">
      <c r="A3" s="167" t="s">
        <v>2611</v>
      </c>
      <c r="B3" s="168">
        <f ca="1">ROUND(B2/D1,0)</f>
        <v>0</v>
      </c>
      <c r="C3" s="2507" t="s">
        <v>2612</v>
      </c>
      <c r="D3" s="2508" t="s">
        <v>2613</v>
      </c>
      <c r="E3" s="2514" t="s">
        <v>2877</v>
      </c>
      <c r="F3" s="2515" t="s">
        <v>2614</v>
      </c>
      <c r="G3" s="941">
        <f>项目基本情况!C15</f>
        <v>0</v>
      </c>
      <c r="H3" s="115" t="s">
        <v>2615</v>
      </c>
      <c r="I3" s="974">
        <v>7</v>
      </c>
      <c r="J3" s="2512" t="s">
        <v>2616</v>
      </c>
      <c r="L3" s="2513" t="s">
        <v>2617</v>
      </c>
      <c r="M3" s="1120">
        <f>SUMPRODUCT((区片价!B29:B48=I2)*(区片价!C3:F3=E2)*(区片价!C29:F48))</f>
        <v>0</v>
      </c>
      <c r="N3" s="1123">
        <f>SUMPRODUCT((因素修正幅度!B29:B48=I2)*(因素修正幅度!C3:F3=E2)*(因素修正幅度!C29:F48))</f>
        <v>0</v>
      </c>
      <c r="O3" s="1462"/>
      <c r="P3" s="1462"/>
      <c r="Q3" s="1462"/>
      <c r="R3" s="1710">
        <v>2</v>
      </c>
      <c r="S3" s="1710" t="e">
        <f>ROUND(IF(G3&gt;1,IF(R3&lt;7,SUMPRODUCT((B93:B98=R3)*(C92:N92=G2)*(C93:N98)),SUMIF(C92:N92,G2,C100:N100)),IF(R3&lt;7,SUMPRODUCT((B102:B107=R3)*(C92:N92=G2)*(C102:N107)),SUMIF(C92:N92,G2,C109:N109))),4)</f>
        <v>#DIV/0!</v>
      </c>
      <c r="T3" s="1710" t="e">
        <f t="shared" ref="T3:T16" ca="1" si="0">ROUND($C$5*$C$18*$C$19*$C$20*S3*$C$24,0)</f>
        <v>#DIV/0!</v>
      </c>
      <c r="U3" s="1711"/>
      <c r="V3" s="1710" t="e">
        <f t="shared" ref="V3:V16" ca="1" si="1">ROUND(T3*U3/10000,0)</f>
        <v>#DIV/0!</v>
      </c>
      <c r="W3" s="1714"/>
      <c r="X3" s="1714"/>
      <c r="Y3" s="1714"/>
      <c r="Z3" s="1714"/>
      <c r="AA3" s="1714"/>
      <c r="AB3" s="1714"/>
      <c r="AC3" s="1715"/>
      <c r="AD3" s="1716"/>
      <c r="AE3" s="1716"/>
      <c r="AF3" s="1716"/>
      <c r="AG3" s="1716"/>
      <c r="AH3" s="1716"/>
      <c r="AI3" s="1716"/>
      <c r="AJ3" s="1717"/>
    </row>
    <row r="4" spans="1:36" ht="15.75">
      <c r="A4" s="3093"/>
      <c r="B4" s="3094"/>
      <c r="C4" s="3094"/>
      <c r="D4" s="3095"/>
      <c r="E4" s="3095"/>
      <c r="F4" s="3095"/>
      <c r="G4" s="3095"/>
      <c r="H4" s="3095"/>
      <c r="I4" s="3095"/>
      <c r="J4" s="3096"/>
      <c r="L4" s="2513" t="s">
        <v>2618</v>
      </c>
      <c r="M4" s="1120">
        <f>SUMPRODUCT((区片价!B49:B75=I2)*(区片价!C3:F3=E2)*(区片价!C49:F75))</f>
        <v>0</v>
      </c>
      <c r="N4" s="1123">
        <f>SUMPRODUCT((因素修正幅度!B49:B75=I2)*(因素修正幅度!C3:F3=E2)*(因素修正幅度!C49:F75))</f>
        <v>0</v>
      </c>
      <c r="O4" s="1462"/>
      <c r="P4" s="1462"/>
      <c r="Q4" s="1462"/>
      <c r="R4" s="1710">
        <v>3</v>
      </c>
      <c r="S4" s="1710" t="e">
        <f>ROUND(IF(G3&gt;1,IF(R4&lt;7,SUMPRODUCT((B93:B98=R4)*(C92:N92=G2)*(C93:N98)),SUMIF(C92:N92,G2,C100:N100)),IF(R4&lt;7,SUMPRODUCT((B102:B107=R4)*(C92:N92=G2)*(C102:N107)),SUMIF(C92:N92,G2,C109:N109))),4)</f>
        <v>#DIV/0!</v>
      </c>
      <c r="T4" s="1710" t="e">
        <f t="shared" ca="1" si="0"/>
        <v>#DIV/0!</v>
      </c>
      <c r="U4" s="1711"/>
      <c r="V4" s="1710" t="e">
        <f t="shared" ca="1" si="1"/>
        <v>#DIV/0!</v>
      </c>
      <c r="W4" s="1714"/>
      <c r="X4" s="1714"/>
      <c r="Y4" s="1714"/>
      <c r="Z4" s="1714"/>
      <c r="AA4" s="1714"/>
      <c r="AB4" s="1714"/>
      <c r="AC4" s="1715"/>
      <c r="AD4" s="1716"/>
      <c r="AE4" s="1716"/>
      <c r="AF4" s="1716"/>
      <c r="AG4" s="1716"/>
      <c r="AH4" s="1716"/>
      <c r="AI4" s="1716"/>
      <c r="AJ4" s="1717"/>
    </row>
    <row r="5" spans="1:36" s="2525" customFormat="1" ht="15.75" thickBot="1">
      <c r="A5" s="2516" t="s">
        <v>2619</v>
      </c>
      <c r="B5" s="2517" t="s">
        <v>2620</v>
      </c>
      <c r="C5" s="942">
        <f>ROUND(IF(E2="商业",IF(F16="增加",C6*C7+C16,C6*C7-C16),IF(E2="住宅",IF(F16="增加",C6*C12+C16,C6*C12-C16),IF(F16="增加",C6+C16,C6-C16))),0)</f>
        <v>15214</v>
      </c>
      <c r="D5" s="1878">
        <f>ROUND(IF(E2="商业",IF(F16="增加",C6+C16,C6-C16)),0)</f>
        <v>0</v>
      </c>
      <c r="E5" s="2518"/>
      <c r="F5" s="2518"/>
      <c r="G5" s="2519"/>
      <c r="H5" s="2519"/>
      <c r="I5" s="2519"/>
      <c r="J5" s="2520"/>
      <c r="K5" s="2521"/>
      <c r="L5" s="2513" t="s">
        <v>2621</v>
      </c>
      <c r="M5" s="1120">
        <f>SUMPRODUCT((区片价!B76:B109=I2)*(区片价!C3:F3=E2)*(区片价!C76:F109))</f>
        <v>12590</v>
      </c>
      <c r="N5" s="1123">
        <f>SUMPRODUCT((因素修正幅度!B76:B109=I2)*(因素修正幅度!C3:F3=E2)*(因素修正幅度!C76:F109))</f>
        <v>9.9000000000000005E-2</v>
      </c>
      <c r="O5" s="1462"/>
      <c r="P5" s="1462"/>
      <c r="Q5" s="1462"/>
      <c r="R5" s="1710">
        <v>4</v>
      </c>
      <c r="S5" s="1710" t="e">
        <f>ROUND(IF(G3&gt;1,IF(R5&lt;7,SUMPRODUCT((B93:B98=R5)*(C92:N92=G2)*(C93:N98)),SUMIF(C92:N92,G2,C100:N100)),IF(R5&lt;7,SUMPRODUCT((B102:B107=R5)*(C92:N92=G2)*(C102:N107)),SUMIF(C92:N92,G2,C109:N109))),4)</f>
        <v>#DIV/0!</v>
      </c>
      <c r="T5" s="1710" t="e">
        <f t="shared" ca="1" si="0"/>
        <v>#DIV/0!</v>
      </c>
      <c r="U5" s="1711"/>
      <c r="V5" s="1710" t="e">
        <f t="shared" ca="1" si="1"/>
        <v>#DIV/0!</v>
      </c>
      <c r="W5" s="1714"/>
      <c r="X5" s="1714"/>
      <c r="Y5" s="1714"/>
      <c r="Z5" s="1714"/>
      <c r="AA5" s="1714"/>
      <c r="AB5" s="1714"/>
      <c r="AC5" s="2522"/>
      <c r="AD5" s="2523"/>
      <c r="AE5" s="2523"/>
      <c r="AF5" s="2523"/>
      <c r="AG5" s="2523"/>
      <c r="AH5" s="2523"/>
      <c r="AI5" s="2523"/>
      <c r="AJ5" s="2524"/>
    </row>
    <row r="6" spans="1:36" ht="15.75" thickBot="1">
      <c r="A6" s="2526">
        <v>1</v>
      </c>
      <c r="B6" s="2527" t="s">
        <v>2622</v>
      </c>
      <c r="C6" s="943">
        <f>SUMIF(L1:L12,G2,M1:M12)</f>
        <v>12590</v>
      </c>
      <c r="D6" s="2528" t="s">
        <v>2623</v>
      </c>
      <c r="E6" s="2529"/>
      <c r="F6" s="2529"/>
      <c r="G6" s="2530"/>
      <c r="H6" s="2530"/>
      <c r="I6" s="2530"/>
      <c r="J6" s="2531"/>
      <c r="K6" s="2532"/>
      <c r="L6" s="2513" t="s">
        <v>2624</v>
      </c>
      <c r="M6" s="1120">
        <f>SUMPRODUCT((区片价!B110:B157=I2)*(区片价!C3:F3=E2)*(区片价!C110:F157))</f>
        <v>0</v>
      </c>
      <c r="N6" s="1123">
        <f>SUMPRODUCT((因素修正幅度!B110:B157=I2)*(因素修正幅度!C3:F3=E2)*(因素修正幅度!C110:F157))</f>
        <v>0</v>
      </c>
      <c r="O6" s="1462"/>
      <c r="P6" s="1462"/>
      <c r="Q6" s="1462"/>
      <c r="R6" s="1710">
        <v>5</v>
      </c>
      <c r="S6" s="1710" t="e">
        <f>ROUND(IF(G3&gt;1,IF(R6&lt;7,SUMPRODUCT((B93:B98=R6)*(C92:N92=G2)*(C93:N98)),SUMIF(C92:N92,G2,C100:N100)),IF(R6&lt;7,SUMPRODUCT((B102:B107=R6)*(C92:N92=G2)*(C102:N107)),SUMIF(C92:N92,G2,C109:N109))),4)</f>
        <v>#DIV/0!</v>
      </c>
      <c r="T6" s="1710" t="e">
        <f t="shared" ca="1" si="0"/>
        <v>#DIV/0!</v>
      </c>
      <c r="U6" s="1711"/>
      <c r="V6" s="1710" t="e">
        <f t="shared" ca="1" si="1"/>
        <v>#DIV/0!</v>
      </c>
      <c r="W6" s="1714"/>
      <c r="X6" s="1714"/>
      <c r="Y6" s="1714"/>
      <c r="Z6" s="1714"/>
      <c r="AA6" s="1714"/>
      <c r="AB6" s="1714"/>
      <c r="AC6" s="2522"/>
      <c r="AD6" s="2523"/>
      <c r="AE6" s="2523"/>
      <c r="AF6" s="2523"/>
      <c r="AG6" s="2523"/>
      <c r="AH6" s="2523"/>
      <c r="AI6" s="2523"/>
      <c r="AJ6" s="2524"/>
    </row>
    <row r="7" spans="1:36" ht="24">
      <c r="A7" s="3097" t="str">
        <f>IF(E2="商业",IF(C8="不临58条商业街","",2),"")</f>
        <v/>
      </c>
      <c r="B7" s="2533" t="s">
        <v>2625</v>
      </c>
      <c r="C7" s="944" t="e">
        <f>IF(C8="不临58条商业街",1,ROUND(1+(1.6*E8+1.2*E9+0.8*E10+0.4*E11)*C9,4))</f>
        <v>#DIV/0!</v>
      </c>
      <c r="D7" s="2534" t="s">
        <v>2626</v>
      </c>
      <c r="E7" s="975"/>
      <c r="F7" s="2535"/>
      <c r="G7" s="2536"/>
      <c r="H7" s="2536"/>
      <c r="I7" s="2536"/>
      <c r="J7" s="2537"/>
      <c r="K7" s="2532"/>
      <c r="L7" s="2513" t="s">
        <v>2627</v>
      </c>
      <c r="M7" s="1120">
        <f>SUMPRODUCT((区片价!B158:B205=I2)*(区片价!C3:F3=E2)*(区片价!C158:F205))</f>
        <v>0</v>
      </c>
      <c r="N7" s="1123">
        <f>SUMPRODUCT((因素修正幅度!B158:B205=I2)*(因素修正幅度!C3:F3=E2)*(因素修正幅度!C158:F205))</f>
        <v>0</v>
      </c>
      <c r="O7" s="1462"/>
      <c r="P7" s="1462"/>
      <c r="Q7" s="1462"/>
      <c r="R7" s="1710">
        <v>6</v>
      </c>
      <c r="S7" s="1710" t="e">
        <f>ROUND(IF(G3&gt;1,IF(R7&lt;7,SUMPRODUCT((B93:B98=R7)*(C92:N92=G2)*(C93:N98)),SUMIF(C92:N92,G2,C100:N100)),IF(R7&lt;7,SUMPRODUCT((B102:B107=R7)*(C92:N92=G2)*(C102:N107)),SUMIF(C92:N92,G2,C109:N109))),4)</f>
        <v>#DIV/0!</v>
      </c>
      <c r="T7" s="1710" t="e">
        <f t="shared" ca="1" si="0"/>
        <v>#DIV/0!</v>
      </c>
      <c r="U7" s="1711"/>
      <c r="V7" s="1710" t="e">
        <f t="shared" ca="1" si="1"/>
        <v>#DIV/0!</v>
      </c>
      <c r="W7" s="1906" t="s">
        <v>2628</v>
      </c>
      <c r="X7" s="1712" t="str">
        <f>G2</f>
        <v>五级</v>
      </c>
      <c r="Y7" s="1712" t="s">
        <v>2629</v>
      </c>
      <c r="Z7" s="1713">
        <f>G3</f>
        <v>0</v>
      </c>
      <c r="AA7" s="1714"/>
      <c r="AB7" s="1714"/>
      <c r="AC7" s="1715"/>
      <c r="AD7" s="1716"/>
      <c r="AE7" s="1716"/>
      <c r="AF7" s="1716"/>
      <c r="AG7" s="1716"/>
      <c r="AH7" s="1716"/>
      <c r="AI7" s="1716"/>
      <c r="AJ7" s="1717"/>
    </row>
    <row r="8" spans="1:36" ht="15">
      <c r="A8" s="3098"/>
      <c r="B8" s="115" t="s">
        <v>2630</v>
      </c>
      <c r="C8" s="2538"/>
      <c r="D8" s="945" t="s">
        <v>89</v>
      </c>
      <c r="E8" s="946" t="e">
        <f>ROUND(C11/E7,4)</f>
        <v>#DIV/0!</v>
      </c>
      <c r="F8" s="2539" t="s">
        <v>2631</v>
      </c>
      <c r="G8" s="2540"/>
      <c r="H8" s="2540"/>
      <c r="I8" s="2540"/>
      <c r="J8" s="2541"/>
      <c r="L8" s="2513" t="s">
        <v>2632</v>
      </c>
      <c r="M8" s="1120">
        <f>SUMPRODUCT((区片价!B206:B244=I2)*(区片价!C3:F3=E2)*(区片价!C206:F244))</f>
        <v>0</v>
      </c>
      <c r="N8" s="1123">
        <f>SUMPRODUCT((因素修正幅度!B206:B244=I2)*(因素修正幅度!C3:F3=E2)*(因素修正幅度!C206:F244))</f>
        <v>0</v>
      </c>
      <c r="O8" s="1462"/>
      <c r="P8" s="1462"/>
      <c r="Q8" s="1462"/>
      <c r="R8" s="1710">
        <v>7</v>
      </c>
      <c r="S8" s="1711"/>
      <c r="T8" s="1710">
        <f t="shared" ca="1" si="0"/>
        <v>0</v>
      </c>
      <c r="U8" s="1711"/>
      <c r="V8" s="1710">
        <f t="shared" ca="1" si="1"/>
        <v>0</v>
      </c>
      <c r="W8" s="3090" t="s">
        <v>2633</v>
      </c>
      <c r="X8" s="3091"/>
      <c r="Y8" s="1718" t="s">
        <v>2634</v>
      </c>
      <c r="Z8" s="1718" t="s">
        <v>2635</v>
      </c>
      <c r="AA8" s="1718" t="s">
        <v>2636</v>
      </c>
      <c r="AB8" s="1718" t="s">
        <v>2637</v>
      </c>
      <c r="AC8" s="1718" t="s">
        <v>2638</v>
      </c>
      <c r="AD8" s="1718" t="s">
        <v>2639</v>
      </c>
      <c r="AE8" s="1718" t="s">
        <v>2640</v>
      </c>
      <c r="AF8" s="1718" t="s">
        <v>2641</v>
      </c>
      <c r="AG8" s="1718" t="s">
        <v>2642</v>
      </c>
      <c r="AH8" s="1718" t="s">
        <v>2643</v>
      </c>
      <c r="AI8" s="1718" t="s">
        <v>2644</v>
      </c>
      <c r="AJ8" s="1718" t="s">
        <v>2645</v>
      </c>
    </row>
    <row r="9" spans="1:36" ht="15">
      <c r="A9" s="3098"/>
      <c r="B9" s="115" t="s">
        <v>2646</v>
      </c>
      <c r="C9" s="947">
        <f>SUMIF(修正!C59:C119,C8,修正!E59:E119)</f>
        <v>0</v>
      </c>
      <c r="D9" s="117" t="s">
        <v>90</v>
      </c>
      <c r="E9" s="117" t="e">
        <f>ROUND(C11/E7,4)</f>
        <v>#DIV/0!</v>
      </c>
      <c r="F9" s="2539" t="s">
        <v>2647</v>
      </c>
      <c r="G9" s="2540"/>
      <c r="H9" s="2540"/>
      <c r="I9" s="2540"/>
      <c r="J9" s="2541"/>
      <c r="L9" s="2513" t="s">
        <v>2648</v>
      </c>
      <c r="M9" s="1120">
        <f>SUMPRODUCT((区片价!B245:B289=I2)*(区片价!C3:F3=E2)*(区片价!C245:F289))</f>
        <v>0</v>
      </c>
      <c r="N9" s="1123">
        <f>SUMPRODUCT((因素修正幅度!B245:B289=I2)*(因素修正幅度!C3:F3=E2)*(因素修正幅度!C245:F289))</f>
        <v>0</v>
      </c>
      <c r="O9" s="1462"/>
      <c r="P9" s="1462"/>
      <c r="Q9" s="1462"/>
      <c r="R9" s="1710">
        <v>8</v>
      </c>
      <c r="S9" s="1711"/>
      <c r="T9" s="1710">
        <f t="shared" ca="1" si="0"/>
        <v>0</v>
      </c>
      <c r="U9" s="1711"/>
      <c r="V9" s="1710">
        <f t="shared" ca="1" si="1"/>
        <v>0</v>
      </c>
      <c r="W9" s="3092" t="s">
        <v>2649</v>
      </c>
      <c r="X9" s="1719" t="s">
        <v>2650</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98"/>
      <c r="B10" s="115" t="s">
        <v>2651</v>
      </c>
      <c r="C10" s="117">
        <f>SUMIF(修正!C59:C119,C8,修正!F59:F119)</f>
        <v>0</v>
      </c>
      <c r="D10" s="117" t="s">
        <v>91</v>
      </c>
      <c r="E10" s="117" t="e">
        <f>ROUND(C11/E7,4)</f>
        <v>#DIV/0!</v>
      </c>
      <c r="F10" s="2539" t="s">
        <v>2652</v>
      </c>
      <c r="G10" s="2540"/>
      <c r="H10" s="2540"/>
      <c r="I10" s="2540"/>
      <c r="J10" s="2541"/>
      <c r="L10" s="2513" t="s">
        <v>2653</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f t="shared" ca="1" si="0"/>
        <v>0</v>
      </c>
      <c r="U10" s="1711"/>
      <c r="V10" s="1710">
        <f t="shared" ca="1" si="1"/>
        <v>0</v>
      </c>
      <c r="W10" s="3092"/>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98"/>
      <c r="B11" s="2542" t="s">
        <v>2654</v>
      </c>
      <c r="C11" s="948">
        <f>C10/4</f>
        <v>0</v>
      </c>
      <c r="D11" s="948" t="s">
        <v>92</v>
      </c>
      <c r="E11" s="948" t="e">
        <f>ROUND(C11/E7,4)</f>
        <v>#DIV/0!</v>
      </c>
      <c r="F11" s="2543" t="s">
        <v>2655</v>
      </c>
      <c r="G11" s="2544"/>
      <c r="H11" s="2544"/>
      <c r="I11" s="2544"/>
      <c r="J11" s="2545"/>
      <c r="L11" s="2513" t="s">
        <v>2656</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f t="shared" ca="1" si="0"/>
        <v>0</v>
      </c>
      <c r="U11" s="1711"/>
      <c r="V11" s="1710">
        <f t="shared" ca="1" si="1"/>
        <v>0</v>
      </c>
      <c r="W11" s="3092" t="s">
        <v>2657</v>
      </c>
      <c r="X11" s="1723" t="s">
        <v>2658</v>
      </c>
      <c r="Y11" s="1724">
        <f>$G$3</f>
        <v>0</v>
      </c>
      <c r="Z11" s="1724">
        <f t="shared" ref="Z11:AJ11" si="3">$G$3</f>
        <v>0</v>
      </c>
      <c r="AA11" s="1724">
        <f t="shared" si="3"/>
        <v>0</v>
      </c>
      <c r="AB11" s="1724">
        <f t="shared" si="3"/>
        <v>0</v>
      </c>
      <c r="AC11" s="1724">
        <f t="shared" si="3"/>
        <v>0</v>
      </c>
      <c r="AD11" s="1724">
        <f t="shared" si="3"/>
        <v>0</v>
      </c>
      <c r="AE11" s="1724">
        <f t="shared" si="3"/>
        <v>0</v>
      </c>
      <c r="AF11" s="1724">
        <f t="shared" si="3"/>
        <v>0</v>
      </c>
      <c r="AG11" s="1724">
        <f t="shared" si="3"/>
        <v>0</v>
      </c>
      <c r="AH11" s="1724">
        <f t="shared" si="3"/>
        <v>0</v>
      </c>
      <c r="AI11" s="1724">
        <f t="shared" si="3"/>
        <v>0</v>
      </c>
      <c r="AJ11" s="1724">
        <f t="shared" si="3"/>
        <v>0</v>
      </c>
    </row>
    <row r="12" spans="1:36" ht="25.5" thickBot="1">
      <c r="A12" s="3097">
        <f>IF(E2="住宅",2,"")</f>
        <v>2</v>
      </c>
      <c r="B12" s="2546" t="s">
        <v>2659</v>
      </c>
      <c r="C12" s="944">
        <f>ROUND(C15*D15*E15*F15*G15*H15*I15*J15,4)</f>
        <v>1.21</v>
      </c>
      <c r="D12" s="2547" t="s">
        <v>2660</v>
      </c>
      <c r="E12" s="2548"/>
      <c r="F12" s="2548"/>
      <c r="G12" s="2549"/>
      <c r="H12" s="2549"/>
      <c r="I12" s="2549"/>
      <c r="J12" s="2550"/>
      <c r="L12" s="2551" t="s">
        <v>2661</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f t="shared" ca="1" si="0"/>
        <v>0</v>
      </c>
      <c r="U12" s="1711"/>
      <c r="V12" s="1710">
        <f t="shared" ca="1" si="1"/>
        <v>0</v>
      </c>
      <c r="W12" s="3092"/>
      <c r="X12" s="1725" t="s">
        <v>2662</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099"/>
      <c r="B13" s="2552" t="s">
        <v>2663</v>
      </c>
      <c r="C13" s="2553" t="s">
        <v>2664</v>
      </c>
      <c r="D13" s="2554" t="s">
        <v>2665</v>
      </c>
      <c r="E13" s="2554" t="s">
        <v>2666</v>
      </c>
      <c r="F13" s="20" t="s">
        <v>2667</v>
      </c>
      <c r="G13" s="2555" t="s">
        <v>2668</v>
      </c>
      <c r="H13" s="2555" t="s">
        <v>2668</v>
      </c>
      <c r="I13" s="2555" t="s">
        <v>2668</v>
      </c>
      <c r="J13" s="2556" t="s">
        <v>2668</v>
      </c>
      <c r="L13" s="1462"/>
      <c r="M13" s="1462"/>
      <c r="N13" s="1462"/>
      <c r="O13" s="1462"/>
      <c r="P13" s="1462"/>
      <c r="Q13" s="1462"/>
      <c r="R13" s="1710">
        <v>12</v>
      </c>
      <c r="S13" s="1711"/>
      <c r="T13" s="1710">
        <f t="shared" ca="1" si="0"/>
        <v>0</v>
      </c>
      <c r="U13" s="1711"/>
      <c r="V13" s="1710">
        <f t="shared" ca="1" si="1"/>
        <v>0</v>
      </c>
      <c r="W13" s="3092"/>
      <c r="X13" s="1725"/>
      <c r="Y13" s="1722" t="e">
        <f>(-0.163*(Y12^2)-0.59*Y12+7617)*(10^(-4))/Y11</f>
        <v>#DIV/0!</v>
      </c>
      <c r="Z13" s="1722" t="e">
        <f t="shared" ref="Z13:AJ13" si="5">(-0.163*(Z12^2)-0.59*Z12+7617)*(10^(-4))/Z11</f>
        <v>#DIV/0!</v>
      </c>
      <c r="AA13" s="1722" t="e">
        <f t="shared" si="5"/>
        <v>#DIV/0!</v>
      </c>
      <c r="AB13" s="1722" t="e">
        <f t="shared" si="5"/>
        <v>#DIV/0!</v>
      </c>
      <c r="AC13" s="1722" t="e">
        <f t="shared" si="5"/>
        <v>#DIV/0!</v>
      </c>
      <c r="AD13" s="1722" t="e">
        <f t="shared" si="5"/>
        <v>#DIV/0!</v>
      </c>
      <c r="AE13" s="1722" t="e">
        <f t="shared" si="5"/>
        <v>#DIV/0!</v>
      </c>
      <c r="AF13" s="1722" t="e">
        <f t="shared" si="5"/>
        <v>#DIV/0!</v>
      </c>
      <c r="AG13" s="1722" t="e">
        <f t="shared" si="5"/>
        <v>#DIV/0!</v>
      </c>
      <c r="AH13" s="1722" t="e">
        <f t="shared" si="5"/>
        <v>#DIV/0!</v>
      </c>
      <c r="AI13" s="1722" t="e">
        <f t="shared" si="5"/>
        <v>#DIV/0!</v>
      </c>
      <c r="AJ13" s="1722" t="e">
        <f t="shared" si="5"/>
        <v>#DIV/0!</v>
      </c>
    </row>
    <row r="14" spans="1:36" ht="15">
      <c r="A14" s="3099"/>
      <c r="B14" s="2557"/>
      <c r="C14" s="2558" t="s">
        <v>2885</v>
      </c>
      <c r="D14" s="2559" t="s">
        <v>2878</v>
      </c>
      <c r="E14" s="2559" t="s">
        <v>2878</v>
      </c>
      <c r="F14" s="2560" t="s">
        <v>2879</v>
      </c>
      <c r="G14" s="2561" t="s">
        <v>2669</v>
      </c>
      <c r="H14" s="2562"/>
      <c r="I14" s="2563"/>
      <c r="J14" s="2564"/>
      <c r="L14" s="1462"/>
      <c r="M14" s="1462"/>
      <c r="N14" s="1462"/>
      <c r="O14" s="1462"/>
      <c r="P14" s="1462"/>
      <c r="Q14" s="1462"/>
      <c r="R14" s="1710">
        <v>13</v>
      </c>
      <c r="S14" s="1711"/>
      <c r="T14" s="1710">
        <f t="shared" ca="1" si="0"/>
        <v>0</v>
      </c>
      <c r="U14" s="1711"/>
      <c r="V14" s="1710">
        <f t="shared" ca="1" si="1"/>
        <v>0</v>
      </c>
      <c r="W14" s="1714"/>
      <c r="X14" s="1714"/>
      <c r="Y14" s="1714"/>
      <c r="Z14" s="1714"/>
      <c r="AA14" s="1714"/>
      <c r="AB14" s="1714"/>
      <c r="AC14" s="1715"/>
      <c r="AD14" s="1716"/>
      <c r="AE14" s="1716"/>
      <c r="AF14" s="1716"/>
      <c r="AG14" s="1716"/>
      <c r="AH14" s="1716"/>
      <c r="AI14" s="1716"/>
      <c r="AJ14" s="1717"/>
    </row>
    <row r="15" spans="1:36" ht="15.75" thickBot="1">
      <c r="A15" s="3100"/>
      <c r="B15" s="2565" t="s">
        <v>2670</v>
      </c>
      <c r="C15" s="150">
        <f>IF(C14="有",1.1,1)</f>
        <v>1</v>
      </c>
      <c r="D15" s="150">
        <f>IF(D14="有",1.1,1)</f>
        <v>1.1000000000000001</v>
      </c>
      <c r="E15" s="150">
        <f>IF(E14="有",1.1,1)</f>
        <v>1.1000000000000001</v>
      </c>
      <c r="F15" s="150">
        <f>IF(F14="500米范围内",1.2,IF(F14="500-1000米",1.1,1))</f>
        <v>1</v>
      </c>
      <c r="G15" s="976">
        <v>1</v>
      </c>
      <c r="H15" s="976">
        <v>1</v>
      </c>
      <c r="I15" s="976">
        <v>1</v>
      </c>
      <c r="J15" s="977">
        <v>1</v>
      </c>
      <c r="L15" s="2566" t="s">
        <v>2671</v>
      </c>
      <c r="M15" s="945" t="s">
        <v>2672</v>
      </c>
      <c r="N15" s="945" t="s">
        <v>2673</v>
      </c>
      <c r="O15" s="945" t="s">
        <v>2674</v>
      </c>
      <c r="P15" s="2567" t="s">
        <v>2675</v>
      </c>
      <c r="Q15" s="1462"/>
      <c r="R15" s="1710">
        <v>14</v>
      </c>
      <c r="S15" s="1711"/>
      <c r="T15" s="1710">
        <f t="shared" ca="1" si="0"/>
        <v>0</v>
      </c>
      <c r="U15" s="1711"/>
      <c r="V15" s="1710">
        <f t="shared" ca="1" si="1"/>
        <v>0</v>
      </c>
      <c r="W15" s="1714"/>
      <c r="X15" s="1714"/>
      <c r="Y15" s="1714"/>
      <c r="Z15" s="1714"/>
      <c r="AA15" s="1714"/>
      <c r="AB15" s="1714"/>
      <c r="AC15" s="1715"/>
      <c r="AD15" s="1716"/>
      <c r="AE15" s="1716"/>
      <c r="AF15" s="1716"/>
      <c r="AG15" s="1716"/>
      <c r="AH15" s="1716"/>
      <c r="AI15" s="1716"/>
      <c r="AJ15" s="1717"/>
    </row>
    <row r="16" spans="1:36" ht="24">
      <c r="A16" s="3097">
        <f>IF(E2="办公",2,IF(E2="工业",2,IF(E2="住宅",3,IF(E2="商业",IF(C8="不临58条商业街",2,3)))))</f>
        <v>3</v>
      </c>
      <c r="B16" s="2533" t="s">
        <v>2676</v>
      </c>
      <c r="C16" s="1886">
        <f>ROUND(SUM(G17:J17)/C17,0)</f>
        <v>20</v>
      </c>
      <c r="D16" s="2568" t="s">
        <v>2677</v>
      </c>
      <c r="E16" s="2569" t="s">
        <v>2887</v>
      </c>
      <c r="F16" s="2570" t="s">
        <v>2888</v>
      </c>
      <c r="G16" s="2571" t="s">
        <v>2886</v>
      </c>
      <c r="H16" s="2571"/>
      <c r="I16" s="2571"/>
      <c r="J16" s="2572"/>
      <c r="L16" s="1460" t="s">
        <v>2678</v>
      </c>
      <c r="M16" s="947">
        <v>0.25</v>
      </c>
      <c r="N16" s="947">
        <v>0.2</v>
      </c>
      <c r="O16" s="947">
        <v>0.15</v>
      </c>
      <c r="P16" s="1461">
        <v>0.1</v>
      </c>
      <c r="Q16" s="1462"/>
      <c r="R16" s="1710">
        <v>15</v>
      </c>
      <c r="S16" s="1711"/>
      <c r="T16" s="1710">
        <f t="shared" ca="1" si="0"/>
        <v>0</v>
      </c>
      <c r="U16" s="1711"/>
      <c r="V16" s="1710">
        <f t="shared" ca="1" si="1"/>
        <v>0</v>
      </c>
      <c r="W16" s="1714"/>
      <c r="X16" s="1714"/>
      <c r="Y16" s="1714"/>
      <c r="Z16" s="1714"/>
      <c r="AA16" s="1714"/>
      <c r="AB16" s="1714"/>
      <c r="AC16" s="1715"/>
      <c r="AD16" s="1716"/>
      <c r="AE16" s="1716"/>
      <c r="AF16" s="1716"/>
      <c r="AG16" s="1716"/>
      <c r="AH16" s="1716"/>
      <c r="AI16" s="1716"/>
      <c r="AJ16" s="1717"/>
    </row>
    <row r="17" spans="1:37" ht="13.5" thickBot="1">
      <c r="A17" s="3098"/>
      <c r="B17" s="2573" t="s">
        <v>2679</v>
      </c>
      <c r="C17" s="949">
        <f>SUMPRODUCT((修正!A2:A5=E2)*(修正!B1:M1=G2)*(修正!B2:M5))</f>
        <v>2.5</v>
      </c>
      <c r="D17" s="2574" t="s">
        <v>2680</v>
      </c>
      <c r="E17" s="948" t="str">
        <f>IF(OR(G2="八级",G2="九级",G2="十级",G2="十一级",G2="十二级"),"五通一平","七通一平")</f>
        <v>七通一平</v>
      </c>
      <c r="F17" s="949" t="s">
        <v>2681</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2683</v>
      </c>
      <c r="B18" s="2576" t="s">
        <v>2684</v>
      </c>
      <c r="C18" s="951">
        <f>SUMIF(修正!C18:C39,E3,修正!E18:E39)</f>
        <v>1</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9.25" thickBot="1">
      <c r="A19" s="2575" t="s">
        <v>2685</v>
      </c>
      <c r="B19" s="2576" t="s">
        <v>2686</v>
      </c>
      <c r="C19" s="952">
        <f>ROUND(IF(H19="按公示增长率计算",SUMPRODUCT((地价!A3:A20=YEAR(G19)&amp;"-"&amp;ROUNDUP(MONTH(G19)/3,0))*(地价!X2:AB2=E2)*(地价!X3:AB20)),IF(H19="地价指数",M20/M19,(1+I19)^O19)),4)</f>
        <v>1.4982</v>
      </c>
      <c r="D19" s="2584" t="s">
        <v>2687</v>
      </c>
      <c r="E19" s="953">
        <v>41640</v>
      </c>
      <c r="F19" s="2584" t="s">
        <v>2688</v>
      </c>
      <c r="G19" s="954">
        <f>'数据-取费表'!B2</f>
        <v>43083</v>
      </c>
      <c r="H19" s="2585" t="s">
        <v>2880</v>
      </c>
      <c r="I19" s="955" t="str">
        <f>IF(H19="季度增幅（自定义）",SUMIF(N21:N24,E2,O21:O24),"")</f>
        <v/>
      </c>
      <c r="J19" s="2581"/>
      <c r="K19" s="2582"/>
      <c r="L19" s="2586" t="s">
        <v>2689</v>
      </c>
      <c r="M19" s="1827">
        <f>ROUND(SUMIF(地价!B2:F2,E2,地价!B20:F20),0)</f>
        <v>423</v>
      </c>
      <c r="N19" s="1466" t="s">
        <v>2690</v>
      </c>
      <c r="O19" s="956">
        <f>ROUNDDOWN(DATEDIF(E19,G19,"M")/3,0)</f>
        <v>15</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2691</v>
      </c>
      <c r="B20" s="2591" t="s">
        <v>2692</v>
      </c>
      <c r="C20" s="957">
        <f ca="1">ROUND(POWER(1+G20,J20-I20)*(POWER(1+G20,I20)-1)/(POWER(1+G20,J20)-1),4)</f>
        <v>0.97299999999999998</v>
      </c>
      <c r="D20" s="2592" t="s">
        <v>2693</v>
      </c>
      <c r="E20" s="1857">
        <f ca="1">存贷款利率!D4/100</f>
        <v>4.3499999999999997E-2</v>
      </c>
      <c r="F20" s="2592" t="s">
        <v>2682</v>
      </c>
      <c r="G20" s="963">
        <f ca="1">SUMIF(M15:P15,E2,M17:P17)</f>
        <v>0.05</v>
      </c>
      <c r="H20" s="2592" t="s">
        <v>2694</v>
      </c>
      <c r="I20" s="964">
        <f>'数据-取费表'!B13</f>
        <v>58</v>
      </c>
      <c r="J20" s="965">
        <f>IF(E2="住宅",70,IF(E2="商业",40,50))</f>
        <v>70</v>
      </c>
      <c r="K20" s="2582"/>
      <c r="L20" s="2593" t="s">
        <v>2695</v>
      </c>
      <c r="M20" s="1828">
        <f>ROUND(SUMPRODUCT((地价!A5:A20=YEAR(G19)&amp;"-"&amp;ROUNDUP(MONTH(G19)/3,0))*(地价!B2:F2=E2)*(地价!B5:F20)),0)</f>
        <v>633</v>
      </c>
      <c r="N20" s="2594" t="s">
        <v>2696</v>
      </c>
      <c r="O20" s="2595" t="s">
        <v>2697</v>
      </c>
      <c r="P20" s="2596" t="s">
        <v>2698</v>
      </c>
      <c r="R20" s="1462"/>
      <c r="S20" s="1462"/>
      <c r="T20" s="1462"/>
      <c r="U20" s="1462"/>
      <c r="V20" s="1462"/>
      <c r="W20" s="1462"/>
      <c r="X20" s="1462"/>
      <c r="Y20" s="1462"/>
      <c r="Z20" s="1462"/>
      <c r="AA20" s="1462"/>
      <c r="AB20" s="1462"/>
      <c r="AC20" s="1462"/>
      <c r="AD20" s="1462"/>
      <c r="AE20" s="2582"/>
      <c r="AF20" s="2582"/>
    </row>
    <row r="21" spans="1:37" s="2525" customFormat="1" ht="14.25">
      <c r="A21" s="2597" t="s">
        <v>2699</v>
      </c>
      <c r="B21" s="2598" t="s">
        <v>2700</v>
      </c>
      <c r="C21" s="966">
        <f>IF(B21="容积率修正",IF(G3&lt;=10,D22,J22),C23)</f>
        <v>0</v>
      </c>
      <c r="D21" s="2599"/>
      <c r="E21" s="2599"/>
      <c r="F21" s="2599"/>
      <c r="G21" s="2599"/>
      <c r="H21" s="2599"/>
      <c r="I21" s="2599"/>
      <c r="J21" s="2600"/>
      <c r="K21" s="2582"/>
      <c r="N21" s="2601" t="s">
        <v>2701</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2702</v>
      </c>
      <c r="C22" s="1900" t="s">
        <v>2703</v>
      </c>
      <c r="D22" s="1900">
        <f>IF(E22=G22,F22,IF(G3&lt;=10,ROUND(F22+(H22-F22)*(G3-E22)/(G22-E22),4),"——"))</f>
        <v>0</v>
      </c>
      <c r="E22" s="941">
        <f>ROUNDDOWN(G3,1)</f>
        <v>0</v>
      </c>
      <c r="F22" s="19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0" t="s">
        <v>104</v>
      </c>
      <c r="J22" s="967" t="str">
        <f>IF(G3&gt;10,D113,"——")</f>
        <v>——</v>
      </c>
      <c r="K22" s="2582"/>
      <c r="N22" s="2601" t="s">
        <v>2704</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2"/>
      <c r="AF22" s="2582"/>
    </row>
    <row r="23" spans="1:37" ht="27">
      <c r="A23" s="2602">
        <v>2</v>
      </c>
      <c r="B23" s="2603" t="s">
        <v>2705</v>
      </c>
      <c r="C23" s="958" t="e">
        <f>ROUND(IF(G3&gt;1,IF(I3&lt;7,SUMPRODUCT((B93:B98=I3)*(C92:N92=G2)*(C93:N98)),SUMIF(C92:N92,G2,C100:N100)),IF(I3&lt;7,SUMPRODUCT((B102:B107=I3)*(C92:N92=G2)*(C102:N107)),SUMIF(C92:N92,G2,C109:N109))),4)</f>
        <v>#DIV/0!</v>
      </c>
      <c r="D23" s="2562"/>
      <c r="E23" s="2562"/>
      <c r="F23" s="2604"/>
      <c r="G23" s="2605"/>
      <c r="H23" s="2606"/>
      <c r="I23" s="2607"/>
      <c r="J23" s="2608"/>
      <c r="N23" s="2601" t="s">
        <v>2706</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2707</v>
      </c>
      <c r="B24" s="2610" t="s">
        <v>2708</v>
      </c>
      <c r="C24" s="968">
        <f>SUMIF(A46:A88,E2,B46:B88)</f>
        <v>1.0369999999999999</v>
      </c>
      <c r="D24" s="2611"/>
      <c r="E24" s="2612"/>
      <c r="F24" s="2612"/>
      <c r="G24" s="2612"/>
      <c r="H24" s="2612"/>
      <c r="I24" s="2612"/>
      <c r="J24" s="2613"/>
      <c r="K24" s="2582"/>
      <c r="N24" s="2614" t="s">
        <v>2709</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2"/>
      <c r="AF24" s="2582"/>
    </row>
    <row r="25" spans="1:37" ht="15" thickBot="1">
      <c r="A25" s="2590" t="s">
        <v>2710</v>
      </c>
      <c r="B25" s="2615" t="s">
        <v>2711</v>
      </c>
      <c r="C25" s="959"/>
      <c r="D25" s="2536"/>
      <c r="E25" s="2536"/>
      <c r="F25" s="2616"/>
      <c r="G25" s="2536"/>
      <c r="H25" s="2536"/>
      <c r="I25" s="2536"/>
      <c r="J25" s="2537"/>
      <c r="L25" s="1462"/>
      <c r="M25" s="1462"/>
      <c r="N25" s="2617" t="s">
        <v>2712</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8"/>
      <c r="B26" s="2603" t="s">
        <v>2713</v>
      </c>
      <c r="C26" s="123">
        <f ca="1">E29+SUM(E33:E39)</f>
        <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2714</v>
      </c>
      <c r="C27" s="960" t="e">
        <f ca="1">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2715</v>
      </c>
      <c r="C28" s="2628" t="s">
        <v>2716</v>
      </c>
      <c r="D28" s="2628" t="s">
        <v>2717</v>
      </c>
      <c r="E28" s="2629" t="s">
        <v>2718</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2719</v>
      </c>
      <c r="C29" s="123">
        <f ca="1">ROUND(C5*C18*C19*C20*C21*C24,0)</f>
        <v>0</v>
      </c>
      <c r="D29" s="2633">
        <v>55.86</v>
      </c>
      <c r="E29" s="972">
        <f ca="1">ROUND(C29*D29,0)</f>
        <v>0</v>
      </c>
      <c r="F29" s="2634" t="s">
        <v>2720</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2721</v>
      </c>
      <c r="C30" s="150">
        <f ca="1">ROUND(IF(E2="工业",C29*M39,C29*M38),0)</f>
        <v>0</v>
      </c>
      <c r="D30" s="2639"/>
      <c r="E30" s="972">
        <f ca="1">ROUND(C30*D30,0)</f>
        <v>0</v>
      </c>
      <c r="F30" s="2640" t="s">
        <v>2722</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2723</v>
      </c>
      <c r="C31" s="2645" t="s">
        <v>2724</v>
      </c>
      <c r="D31" s="2549"/>
      <c r="E31" s="2645"/>
      <c r="F31" s="2645"/>
      <c r="G31" s="2547" t="s">
        <v>2725</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09" t="s">
        <v>2727</v>
      </c>
      <c r="B33" s="2648" t="s">
        <v>2728</v>
      </c>
      <c r="C33" s="123">
        <f ca="1">ROUND(D5*C19*C20*C24*F33,0)</f>
        <v>0</v>
      </c>
      <c r="D33" s="2633"/>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0"/>
      <c r="B34" s="2553" t="s">
        <v>2729</v>
      </c>
      <c r="C34" s="123">
        <f ca="1">ROUND(D5*C19*C20*C24*F34,0)</f>
        <v>0</v>
      </c>
      <c r="D34" s="2633"/>
      <c r="E34" s="117">
        <f t="shared" ca="1" si="6"/>
        <v>0</v>
      </c>
      <c r="F34" s="117">
        <f>SUMIF(修正!A45:A56,G2,修正!C45:C56)</f>
        <v>0.4</v>
      </c>
      <c r="G34" s="117">
        <f t="shared" ca="1" si="7"/>
        <v>0</v>
      </c>
      <c r="H34" s="117">
        <f t="shared" ref="H34:H39" si="9">D34</f>
        <v>0</v>
      </c>
      <c r="I34" s="117">
        <f t="shared" ca="1" si="8"/>
        <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0"/>
      <c r="B35" s="2553" t="s">
        <v>2730</v>
      </c>
      <c r="C35" s="123">
        <f ca="1">ROUND(D5*C19*C20*C24*F35,0)</f>
        <v>0</v>
      </c>
      <c r="D35" s="2633"/>
      <c r="E35" s="117">
        <f t="shared" ca="1" si="6"/>
        <v>0</v>
      </c>
      <c r="F35" s="117">
        <f>SUMIF(修正!A45:A56,G2,修正!D45:D56)</f>
        <v>0.28000000000000003</v>
      </c>
      <c r="G35" s="117">
        <f t="shared" ca="1" si="7"/>
        <v>0</v>
      </c>
      <c r="H35" s="117">
        <f t="shared" si="9"/>
        <v>0</v>
      </c>
      <c r="I35" s="117">
        <f t="shared" ca="1" si="8"/>
        <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1"/>
      <c r="B36" s="2553" t="s">
        <v>2731</v>
      </c>
      <c r="C36" s="123">
        <f ca="1">ROUND(D5*C19*C20*C24*F36,0)</f>
        <v>0</v>
      </c>
      <c r="D36" s="2633"/>
      <c r="E36" s="117">
        <f t="shared" ca="1" si="6"/>
        <v>0</v>
      </c>
      <c r="F36" s="117">
        <f>SUMIF(修正!A45:A56,G2,修正!E45:E56)</f>
        <v>0.25</v>
      </c>
      <c r="G36" s="117">
        <f t="shared" ca="1" si="7"/>
        <v>0</v>
      </c>
      <c r="H36" s="117">
        <f t="shared" si="9"/>
        <v>0</v>
      </c>
      <c r="I36" s="117">
        <f t="shared" ca="1" si="8"/>
        <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2732</v>
      </c>
      <c r="C37" s="117">
        <f ca="1">ROUND(C5*C19*C20*C24*F37,0)</f>
        <v>5750</v>
      </c>
      <c r="D37" s="2633"/>
      <c r="E37" s="117">
        <f t="shared" ca="1" si="6"/>
        <v>0</v>
      </c>
      <c r="F37" s="123">
        <f>SUMIF(修正!A45:A56,G2,修正!F45:F56)</f>
        <v>0.25</v>
      </c>
      <c r="G37" s="117">
        <f t="shared" ca="1" si="7"/>
        <v>1438</v>
      </c>
      <c r="H37" s="117">
        <f t="shared" si="9"/>
        <v>0</v>
      </c>
      <c r="I37" s="117">
        <f t="shared" ca="1" si="8"/>
        <v>0</v>
      </c>
      <c r="J37" s="2649"/>
      <c r="L37" s="2652" t="s">
        <v>2733</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2734</v>
      </c>
      <c r="C38" s="117">
        <f ca="1">ROUND(C5*C19*C20*C24*F38,0)</f>
        <v>5750</v>
      </c>
      <c r="D38" s="2633"/>
      <c r="E38" s="117">
        <f t="shared" ca="1" si="6"/>
        <v>0</v>
      </c>
      <c r="F38" s="123">
        <f>SUMIF(修正!A45:A56,G2,修正!G45:G56)</f>
        <v>0.25</v>
      </c>
      <c r="G38" s="117">
        <f t="shared" ca="1" si="7"/>
        <v>1438</v>
      </c>
      <c r="H38" s="117">
        <f t="shared" si="9"/>
        <v>0</v>
      </c>
      <c r="I38" s="117">
        <f t="shared" ca="1" si="8"/>
        <v>0</v>
      </c>
      <c r="J38" s="2649"/>
      <c r="L38" s="2653" t="s">
        <v>2735</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2736</v>
      </c>
      <c r="C39" s="150">
        <f ca="1">ROUND(C5*C19*C20*C24*F39,0)</f>
        <v>4600</v>
      </c>
      <c r="D39" s="2639"/>
      <c r="E39" s="150">
        <f t="shared" ca="1" si="6"/>
        <v>0</v>
      </c>
      <c r="F39" s="961">
        <f>SUMIF(修正!A45:A56,G2,修正!H45:H56)</f>
        <v>0.2</v>
      </c>
      <c r="G39" s="150" t="e">
        <f t="shared" si="7"/>
        <v>#DIV/0!</v>
      </c>
      <c r="H39" s="150">
        <f t="shared" si="9"/>
        <v>0</v>
      </c>
      <c r="I39" s="150" t="e">
        <f t="shared" si="8"/>
        <v>#DIV/0!</v>
      </c>
      <c r="J39" s="2656"/>
      <c r="L39" s="2657" t="s">
        <v>2675</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2737</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hidden="1">
      <c r="A46" s="2664" t="s">
        <v>2738</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hidden="1">
      <c r="A47" s="2669" t="s">
        <v>2739</v>
      </c>
      <c r="B47" s="823" t="s">
        <v>2740</v>
      </c>
      <c r="C47" s="823" t="s">
        <v>2741</v>
      </c>
      <c r="D47" s="823" t="s">
        <v>2742</v>
      </c>
      <c r="E47" s="824" t="s">
        <v>2743</v>
      </c>
      <c r="F47" s="2670" t="s">
        <v>2744</v>
      </c>
      <c r="G47" s="823" t="s">
        <v>2745</v>
      </c>
      <c r="H47" s="2671"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hidden="1">
      <c r="A48" s="2669" t="s">
        <v>2753</v>
      </c>
      <c r="B48" s="2672" t="str">
        <f>估价对象房地状况!C16</f>
        <v>估价对象位于回龙观商圈，周边商业氛围成熟，人流量大，商业繁华度好</v>
      </c>
      <c r="C48" s="2559"/>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hidden="1">
      <c r="A49" s="2669" t="s">
        <v>2754</v>
      </c>
      <c r="B49" s="2673" t="str">
        <f>估价对象房地状况!C18</f>
        <v>估价对象紧邻城市次干道—鲁谷路，有308路、546路、597路等10余条公交线路及地铁1号线八宝山站通过，交通便捷度较好。</v>
      </c>
      <c r="C49" s="2559"/>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hidden="1">
      <c r="A50" s="2669" t="s">
        <v>2755</v>
      </c>
      <c r="B50" s="2673">
        <f>估价对象房地状况!C19</f>
        <v>0</v>
      </c>
      <c r="C50" s="2559"/>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hidden="1">
      <c r="A51" s="2669" t="s">
        <v>2756</v>
      </c>
      <c r="B51" s="2674" t="s">
        <v>2757</v>
      </c>
      <c r="C51" s="2559"/>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hidden="1">
      <c r="A52" s="2669" t="s">
        <v>2758</v>
      </c>
      <c r="B52" s="2673" t="str">
        <f>估价对象房地状况!C24</f>
        <v>城市次干道—鲁谷路</v>
      </c>
      <c r="C52" s="2559"/>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hidden="1">
      <c r="A53" s="2669" t="s">
        <v>2759</v>
      </c>
      <c r="B53" s="2675" t="s">
        <v>2760</v>
      </c>
      <c r="C53" s="2559"/>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hidden="1">
      <c r="A54" s="2676" t="s">
        <v>2761</v>
      </c>
      <c r="B54" s="2677" t="str">
        <f>估价对象房地状况!C21</f>
        <v>估价对象所在区域公共配套设施较好</v>
      </c>
      <c r="C54" s="2559"/>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hidden="1">
      <c r="A55" s="2676" t="s">
        <v>2762</v>
      </c>
      <c r="B55" s="2673" t="str">
        <f>估价对象房地状况!C22</f>
        <v>七通一平</v>
      </c>
      <c r="C55" s="2559"/>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hidden="1" thickBot="1">
      <c r="A56" s="2678" t="s">
        <v>2763</v>
      </c>
      <c r="B56" s="2679" t="str">
        <f>估价对象房地状况!C20</f>
        <v>自然环境：北京国际雕塑公园、老山城市休闲公园、莲花河等；人文环境：中国科学院大学等；综合评价环境状况较好。</v>
      </c>
      <c r="C56" s="2559"/>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hidden="1">
      <c r="A57" s="2664" t="s">
        <v>2764</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hidden="1">
      <c r="A58" s="2669" t="s">
        <v>2739</v>
      </c>
      <c r="B58" s="2673"/>
      <c r="C58" s="823" t="s">
        <v>2741</v>
      </c>
      <c r="D58" s="823" t="s">
        <v>2742</v>
      </c>
      <c r="E58" s="824" t="s">
        <v>2743</v>
      </c>
      <c r="F58" s="2670" t="s">
        <v>2744</v>
      </c>
      <c r="G58" s="823" t="s">
        <v>2765</v>
      </c>
      <c r="H58" s="2671" t="s">
        <v>2766</v>
      </c>
      <c r="I58" s="823" t="s">
        <v>2767</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hidden="1">
      <c r="A59" s="2669" t="s">
        <v>2768</v>
      </c>
      <c r="B59" s="2672" t="str">
        <f>估价对象房地状况!C17</f>
        <v>估价对象位于XX商圈，周边办公楼项目较多，入驻率高，办公集聚程度较好</v>
      </c>
      <c r="C59" s="2559"/>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hidden="1">
      <c r="A60" s="2669" t="s">
        <v>2754</v>
      </c>
      <c r="B60" s="2673" t="str">
        <f>估价对象房地状况!C18</f>
        <v>估价对象紧邻城市次干道—鲁谷路，有308路、546路、597路等10余条公交线路及地铁1号线八宝山站通过，交通便捷度较好。</v>
      </c>
      <c r="C60" s="2559"/>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hidden="1">
      <c r="A61" s="2669" t="s">
        <v>2755</v>
      </c>
      <c r="B61" s="2673">
        <f>估价对象房地状况!C19</f>
        <v>0</v>
      </c>
      <c r="C61" s="2559"/>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hidden="1">
      <c r="A62" s="2669" t="s">
        <v>2756</v>
      </c>
      <c r="B62" s="2674" t="s">
        <v>2757</v>
      </c>
      <c r="C62" s="2559"/>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hidden="1">
      <c r="A63" s="2669" t="s">
        <v>2758</v>
      </c>
      <c r="B63" s="2673" t="str">
        <f>估价对象房地状况!C24</f>
        <v>城市次干道—鲁谷路</v>
      </c>
      <c r="C63" s="2559"/>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hidden="1">
      <c r="A64" s="2669" t="s">
        <v>2759</v>
      </c>
      <c r="B64" s="2675" t="s">
        <v>2760</v>
      </c>
      <c r="C64" s="2559"/>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hidden="1">
      <c r="A65" s="2669" t="s">
        <v>2761</v>
      </c>
      <c r="B65" s="2677" t="str">
        <f>估价对象房地状况!C21</f>
        <v>估价对象所在区域公共配套设施较好</v>
      </c>
      <c r="C65" s="2559"/>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hidden="1">
      <c r="A66" s="2669" t="s">
        <v>2762</v>
      </c>
      <c r="B66" s="2677" t="str">
        <f>估价对象房地状况!C22</f>
        <v>七通一平</v>
      </c>
      <c r="C66" s="2559"/>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hidden="1" thickBot="1">
      <c r="A67" s="2678" t="s">
        <v>2763</v>
      </c>
      <c r="B67" s="2681" t="str">
        <f>估价对象房地状况!C20</f>
        <v>自然环境：北京国际雕塑公园、老山城市休闲公园、莲花河等；人文环境：中国科学院大学等；综合评价环境状况较好。</v>
      </c>
      <c r="C67" s="2559"/>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2769</v>
      </c>
      <c r="B68" s="2680">
        <f>1+E70</f>
        <v>1.0369999999999999</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2739</v>
      </c>
      <c r="B69" s="2673"/>
      <c r="C69" s="823" t="s">
        <v>2741</v>
      </c>
      <c r="D69" s="823" t="s">
        <v>2742</v>
      </c>
      <c r="E69" s="824" t="s">
        <v>2743</v>
      </c>
      <c r="F69" s="2670" t="s">
        <v>2744</v>
      </c>
      <c r="G69" s="823" t="s">
        <v>2765</v>
      </c>
      <c r="H69" s="2671" t="s">
        <v>2766</v>
      </c>
      <c r="I69" s="823" t="s">
        <v>2767</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63.75">
      <c r="A70" s="2669" t="s">
        <v>2770</v>
      </c>
      <c r="B70" s="2672" t="str">
        <f>估价对象房地状况!C15</f>
        <v>周边有玉泉路16号院、莲玉嘉园、重聚园、依翠园、诗景长安等居住社区，综合评价居住社区成熟度较好。</v>
      </c>
      <c r="C70" s="2559" t="s">
        <v>30</v>
      </c>
      <c r="D70" s="1376">
        <f t="shared" ref="D70:D78" si="20">SUMIF($J$69:$N$69,C70,J70:N70)</f>
        <v>7.0000000000000001E-3</v>
      </c>
      <c r="E70" s="829">
        <f>ROUND(SUM(D70:D78),4)</f>
        <v>3.6999999999999998E-2</v>
      </c>
      <c r="F70" s="2277">
        <f>IF(E2="住宅",SUMIF(L1:L12,G2,N1:N12),"——")</f>
        <v>9.9000000000000005E-2</v>
      </c>
      <c r="G70" s="2752">
        <v>7.0000000000000001E-3</v>
      </c>
      <c r="H70" s="1381">
        <f t="shared" ref="H70:H78" si="21">IFERROR(ROUNDDOWN($F$70*I70/2,4),"——")</f>
        <v>6.8999999999999999E-3</v>
      </c>
      <c r="I70" s="828">
        <v>0.14000000000000001</v>
      </c>
      <c r="J70" s="1378">
        <f t="shared" ref="J70:J78" si="22">K70+$G70</f>
        <v>1.4E-2</v>
      </c>
      <c r="K70" s="1378">
        <f t="shared" ref="K70:K78" si="23">$L70+$G70</f>
        <v>7.0000000000000001E-3</v>
      </c>
      <c r="L70" s="1378">
        <v>0</v>
      </c>
      <c r="M70" s="1378">
        <f t="shared" ref="M70:N78" si="24">L70-$G70</f>
        <v>-7.0000000000000001E-3</v>
      </c>
      <c r="N70" s="1378">
        <f t="shared" si="24"/>
        <v>-1.4E-2</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2754</v>
      </c>
      <c r="B71" s="2673" t="str">
        <f>估价对象房地状况!C18</f>
        <v>估价对象紧邻城市次干道—鲁谷路，有308路、546路、597路等10余条公交线路及地铁1号线八宝山站通过，交通便捷度较好。</v>
      </c>
      <c r="C71" s="2559" t="s">
        <v>31</v>
      </c>
      <c r="D71" s="1376">
        <f t="shared" si="20"/>
        <v>0</v>
      </c>
      <c r="E71" s="840"/>
      <c r="F71" s="2682"/>
      <c r="G71" s="2752">
        <v>1.4999999999999999E-2</v>
      </c>
      <c r="H71" s="1381">
        <f t="shared" si="21"/>
        <v>1.4800000000000001E-2</v>
      </c>
      <c r="I71" s="828">
        <v>0.3</v>
      </c>
      <c r="J71" s="1378">
        <f t="shared" si="22"/>
        <v>0.03</v>
      </c>
      <c r="K71" s="1378">
        <f t="shared" si="23"/>
        <v>1.4999999999999999E-2</v>
      </c>
      <c r="L71" s="1378">
        <v>0</v>
      </c>
      <c r="M71" s="1378">
        <f t="shared" si="24"/>
        <v>-1.4999999999999999E-2</v>
      </c>
      <c r="N71" s="1378">
        <f t="shared" si="24"/>
        <v>-0.03</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2755</v>
      </c>
      <c r="B72" s="2673">
        <f>估价对象房地状况!C19</f>
        <v>0</v>
      </c>
      <c r="C72" s="2559" t="s">
        <v>30</v>
      </c>
      <c r="D72" s="1376">
        <f t="shared" si="20"/>
        <v>4.0000000000000001E-3</v>
      </c>
      <c r="E72" s="840"/>
      <c r="F72" s="2682"/>
      <c r="G72" s="2752">
        <v>4.0000000000000001E-3</v>
      </c>
      <c r="H72" s="1381">
        <f t="shared" si="21"/>
        <v>3.8999999999999998E-3</v>
      </c>
      <c r="I72" s="828">
        <v>0.08</v>
      </c>
      <c r="J72" s="1378">
        <f t="shared" si="22"/>
        <v>8.0000000000000002E-3</v>
      </c>
      <c r="K72" s="1378">
        <f t="shared" si="23"/>
        <v>4.0000000000000001E-3</v>
      </c>
      <c r="L72" s="1378">
        <v>0</v>
      </c>
      <c r="M72" s="1378">
        <f t="shared" si="24"/>
        <v>-4.0000000000000001E-3</v>
      </c>
      <c r="N72" s="1378">
        <f t="shared" si="24"/>
        <v>-8.0000000000000002E-3</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2771</v>
      </c>
      <c r="B73" s="2673" t="str">
        <f>估价对象房地状况!C24</f>
        <v>城市次干道—鲁谷路</v>
      </c>
      <c r="C73" s="2559" t="s">
        <v>32</v>
      </c>
      <c r="D73" s="1376">
        <f t="shared" si="20"/>
        <v>-2E-3</v>
      </c>
      <c r="E73" s="840"/>
      <c r="F73" s="2682"/>
      <c r="G73" s="2752">
        <v>2E-3</v>
      </c>
      <c r="H73" s="1381">
        <f t="shared" si="21"/>
        <v>1.9E-3</v>
      </c>
      <c r="I73" s="828">
        <v>0.04</v>
      </c>
      <c r="J73" s="1378">
        <f t="shared" si="22"/>
        <v>4.0000000000000001E-3</v>
      </c>
      <c r="K73" s="1378">
        <f t="shared" si="23"/>
        <v>2E-3</v>
      </c>
      <c r="L73" s="1378">
        <v>0</v>
      </c>
      <c r="M73" s="1378">
        <f t="shared" si="24"/>
        <v>-2E-3</v>
      </c>
      <c r="N73" s="1378">
        <f t="shared" si="24"/>
        <v>-4.0000000000000001E-3</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2761</v>
      </c>
      <c r="B74" s="2677" t="str">
        <f>估价对象房地状况!C21</f>
        <v>估价对象所在区域公共配套设施较好</v>
      </c>
      <c r="C74" s="2559" t="s">
        <v>30</v>
      </c>
      <c r="D74" s="1376">
        <f t="shared" si="20"/>
        <v>4.0000000000000001E-3</v>
      </c>
      <c r="E74" s="840"/>
      <c r="F74" s="2682"/>
      <c r="G74" s="2752">
        <v>4.0000000000000001E-3</v>
      </c>
      <c r="H74" s="1381">
        <f t="shared" si="21"/>
        <v>3.8999999999999998E-3</v>
      </c>
      <c r="I74" s="828">
        <v>0.08</v>
      </c>
      <c r="J74" s="1378">
        <f t="shared" si="22"/>
        <v>8.0000000000000002E-3</v>
      </c>
      <c r="K74" s="1378">
        <f t="shared" si="23"/>
        <v>4.0000000000000001E-3</v>
      </c>
      <c r="L74" s="1378">
        <v>0</v>
      </c>
      <c r="M74" s="1378">
        <f t="shared" si="24"/>
        <v>-4.0000000000000001E-3</v>
      </c>
      <c r="N74" s="1378">
        <f t="shared" si="24"/>
        <v>-8.0000000000000002E-3</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2762</v>
      </c>
      <c r="B75" s="2677" t="str">
        <f>估价对象房地状况!C22</f>
        <v>七通一平</v>
      </c>
      <c r="C75" s="2559" t="s">
        <v>29</v>
      </c>
      <c r="D75" s="1376">
        <f t="shared" si="20"/>
        <v>1.2E-2</v>
      </c>
      <c r="E75" s="840"/>
      <c r="F75" s="2682"/>
      <c r="G75" s="2752">
        <v>6.0000000000000001E-3</v>
      </c>
      <c r="H75" s="1381">
        <f t="shared" si="21"/>
        <v>5.8999999999999999E-3</v>
      </c>
      <c r="I75" s="828">
        <v>0.12</v>
      </c>
      <c r="J75" s="1378">
        <f t="shared" si="22"/>
        <v>1.2E-2</v>
      </c>
      <c r="K75" s="1378">
        <f t="shared" si="23"/>
        <v>6.0000000000000001E-3</v>
      </c>
      <c r="L75" s="1378">
        <v>0</v>
      </c>
      <c r="M75" s="1378">
        <f t="shared" si="24"/>
        <v>-6.0000000000000001E-3</v>
      </c>
      <c r="N75" s="1378">
        <f t="shared" si="24"/>
        <v>-1.2E-2</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2759</v>
      </c>
      <c r="B76" s="2675" t="s">
        <v>2760</v>
      </c>
      <c r="C76" s="2559" t="s">
        <v>30</v>
      </c>
      <c r="D76" s="1376">
        <f t="shared" si="20"/>
        <v>2.5000000000000001E-3</v>
      </c>
      <c r="E76" s="840"/>
      <c r="F76" s="2682"/>
      <c r="G76" s="2752">
        <v>2.5000000000000001E-3</v>
      </c>
      <c r="H76" s="1381">
        <f t="shared" si="21"/>
        <v>2.3999999999999998E-3</v>
      </c>
      <c r="I76" s="828">
        <v>0.05</v>
      </c>
      <c r="J76" s="1378">
        <f t="shared" si="22"/>
        <v>5.0000000000000001E-3</v>
      </c>
      <c r="K76" s="1378">
        <f t="shared" si="23"/>
        <v>2.5000000000000001E-3</v>
      </c>
      <c r="L76" s="1378">
        <v>0</v>
      </c>
      <c r="M76" s="1378">
        <f t="shared" si="24"/>
        <v>-2.5000000000000001E-3</v>
      </c>
      <c r="N76" s="1378">
        <f t="shared" si="24"/>
        <v>-5.0000000000000001E-3</v>
      </c>
      <c r="Z76" s="2506"/>
      <c r="AA76" s="2583"/>
      <c r="AG76" s="2659"/>
      <c r="AK76" s="2583"/>
    </row>
    <row r="77" spans="1:37" ht="63.75">
      <c r="A77" s="2669" t="s">
        <v>2763</v>
      </c>
      <c r="B77" s="2672" t="str">
        <f>估价对象房地状况!C20</f>
        <v>自然环境：北京国际雕塑公园、老山城市休闲公园、莲花河等；人文环境：中国科学院大学等；综合评价环境状况较好。</v>
      </c>
      <c r="C77" s="2559" t="s">
        <v>30</v>
      </c>
      <c r="D77" s="1376">
        <f t="shared" si="20"/>
        <v>7.4999999999999997E-3</v>
      </c>
      <c r="E77" s="840"/>
      <c r="F77" s="2682"/>
      <c r="G77" s="2752">
        <v>7.4999999999999997E-3</v>
      </c>
      <c r="H77" s="1381">
        <f t="shared" si="21"/>
        <v>7.4000000000000003E-3</v>
      </c>
      <c r="I77" s="828">
        <v>0.15</v>
      </c>
      <c r="J77" s="1378">
        <f t="shared" si="22"/>
        <v>1.4999999999999999E-2</v>
      </c>
      <c r="K77" s="1378">
        <f t="shared" si="23"/>
        <v>7.4999999999999997E-3</v>
      </c>
      <c r="L77" s="1378">
        <v>0</v>
      </c>
      <c r="M77" s="1378">
        <f t="shared" si="24"/>
        <v>-7.4999999999999997E-3</v>
      </c>
      <c r="N77" s="1378">
        <f t="shared" si="24"/>
        <v>-1.4999999999999999E-2</v>
      </c>
      <c r="Z77" s="2506"/>
      <c r="AA77" s="2583"/>
      <c r="AG77" s="2659"/>
      <c r="AK77" s="2583"/>
    </row>
    <row r="78" spans="1:37" ht="24.75" thickBot="1">
      <c r="A78" s="2678" t="s">
        <v>2772</v>
      </c>
      <c r="B78" s="2754" t="s">
        <v>2881</v>
      </c>
      <c r="C78" s="2753" t="s">
        <v>30</v>
      </c>
      <c r="D78" s="1376">
        <f t="shared" si="20"/>
        <v>2E-3</v>
      </c>
      <c r="E78" s="841"/>
      <c r="F78" s="2682"/>
      <c r="G78" s="2752">
        <v>2E-3</v>
      </c>
      <c r="H78" s="1381">
        <f t="shared" si="21"/>
        <v>1.9E-3</v>
      </c>
      <c r="I78" s="837">
        <v>0.04</v>
      </c>
      <c r="J78" s="1378">
        <f t="shared" si="22"/>
        <v>4.0000000000000001E-3</v>
      </c>
      <c r="K78" s="1378">
        <f t="shared" si="23"/>
        <v>2E-3</v>
      </c>
      <c r="L78" s="1378">
        <v>0</v>
      </c>
      <c r="M78" s="1378">
        <f t="shared" si="24"/>
        <v>-2E-3</v>
      </c>
      <c r="N78" s="1378">
        <f t="shared" si="24"/>
        <v>-4.0000000000000001E-3</v>
      </c>
      <c r="Z78" s="2506"/>
      <c r="AA78" s="2583"/>
      <c r="AG78" s="2659"/>
      <c r="AK78" s="2583"/>
    </row>
    <row r="79" spans="1:37" ht="15">
      <c r="A79" s="2664" t="s">
        <v>2773</v>
      </c>
      <c r="B79" s="2680">
        <f>1+E81</f>
        <v>1</v>
      </c>
      <c r="C79" s="817"/>
      <c r="D79" s="817"/>
      <c r="E79" s="818"/>
      <c r="F79" s="2667"/>
      <c r="G79" s="7"/>
      <c r="H79" s="7"/>
      <c r="I79" s="7"/>
      <c r="J79" s="9"/>
      <c r="K79" s="9"/>
      <c r="L79" s="9"/>
      <c r="M79" s="9"/>
      <c r="N79" s="9"/>
      <c r="Z79" s="2506"/>
      <c r="AA79" s="2583"/>
      <c r="AG79" s="2659"/>
      <c r="AK79" s="2583"/>
    </row>
    <row r="80" spans="1:37" ht="24.75">
      <c r="A80" s="2669" t="s">
        <v>2739</v>
      </c>
      <c r="B80" s="2673"/>
      <c r="C80" s="823" t="s">
        <v>2741</v>
      </c>
      <c r="D80" s="823" t="s">
        <v>2742</v>
      </c>
      <c r="E80" s="824" t="s">
        <v>2743</v>
      </c>
      <c r="F80" s="2670" t="s">
        <v>2744</v>
      </c>
      <c r="G80" s="823" t="s">
        <v>2765</v>
      </c>
      <c r="H80" s="2671" t="s">
        <v>2766</v>
      </c>
      <c r="I80" s="823" t="s">
        <v>2767</v>
      </c>
      <c r="J80" s="587" t="s">
        <v>2403</v>
      </c>
      <c r="K80" s="587" t="s">
        <v>2404</v>
      </c>
      <c r="L80" s="587" t="s">
        <v>2405</v>
      </c>
      <c r="M80" s="587" t="s">
        <v>2406</v>
      </c>
      <c r="N80" s="587" t="s">
        <v>2407</v>
      </c>
      <c r="Z80" s="2506"/>
      <c r="AA80" s="2583"/>
      <c r="AG80" s="2659"/>
      <c r="AK80" s="2583"/>
    </row>
    <row r="81" spans="1:37" ht="38.25">
      <c r="A81" s="2669" t="s">
        <v>2774</v>
      </c>
      <c r="B81" s="2673" t="str">
        <f>估价对象房地状况!G15</f>
        <v>估价对象位于XX开发区，园区建设成熟度XX，产业集聚程度XX</v>
      </c>
      <c r="C81" s="2559"/>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2754</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2755</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2771</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2761</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2762</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2759</v>
      </c>
      <c r="B87" s="2675" t="s">
        <v>2760</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2775</v>
      </c>
      <c r="B88" s="2683" t="str">
        <f>估价对象房地状况!G18</f>
        <v>该园区内是否有污染型企业，绿化情况，卫生条件，整体环境状况判断</v>
      </c>
      <c r="C88" s="2684"/>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101" t="s">
        <v>2776</v>
      </c>
      <c r="B90" s="3101"/>
      <c r="C90" s="3101"/>
      <c r="D90" s="3101"/>
      <c r="E90" s="3101"/>
      <c r="F90" s="3101"/>
      <c r="G90" s="3101"/>
      <c r="H90" s="3101"/>
      <c r="I90" s="3101"/>
      <c r="J90" s="3101"/>
      <c r="K90" s="2685"/>
      <c r="L90" s="2685"/>
      <c r="M90" s="2685"/>
      <c r="N90" s="2685"/>
    </row>
    <row r="91" spans="1:37">
      <c r="A91" s="3103" t="s">
        <v>2777</v>
      </c>
      <c r="B91" s="3103" t="s">
        <v>2778</v>
      </c>
      <c r="C91" s="2634" t="s">
        <v>2779</v>
      </c>
      <c r="D91" s="2635"/>
      <c r="E91" s="2635"/>
      <c r="F91" s="2635"/>
      <c r="G91" s="2635"/>
      <c r="H91" s="2635"/>
      <c r="I91" s="2635"/>
      <c r="J91" s="2686"/>
      <c r="K91" s="2687"/>
      <c r="L91" s="2687"/>
      <c r="M91" s="2687"/>
      <c r="N91" s="2687"/>
    </row>
    <row r="92" spans="1:37">
      <c r="A92" s="3103"/>
      <c r="B92" s="3103"/>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104"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5"/>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5"/>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5"/>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5"/>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5"/>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5"/>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6"/>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4" t="s">
        <v>2781</v>
      </c>
      <c r="B101" s="2692" t="s">
        <v>2782</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05"/>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05"/>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05"/>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05"/>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05"/>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05"/>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05"/>
      <c r="B108" s="3107"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6"/>
      <c r="B109" s="3108"/>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102" t="s">
        <v>2784</v>
      </c>
      <c r="B110" s="3102"/>
      <c r="C110" s="3102"/>
      <c r="D110" s="3102"/>
      <c r="E110" s="3102"/>
      <c r="F110" s="3102"/>
      <c r="G110" s="3102"/>
      <c r="H110" s="3102"/>
      <c r="I110" s="3102"/>
      <c r="J110" s="3102"/>
      <c r="K110" s="2694"/>
      <c r="L110" s="2694"/>
      <c r="M110" s="2694"/>
      <c r="N110" s="2694"/>
    </row>
    <row r="112" spans="1:14" ht="13.5" thickBot="1"/>
    <row r="113" spans="1:13" ht="25.5" thickBot="1">
      <c r="A113" s="928" t="s">
        <v>2785</v>
      </c>
      <c r="B113" s="1379">
        <f>G3</f>
        <v>0</v>
      </c>
      <c r="C113" s="929" t="s">
        <v>2786</v>
      </c>
      <c r="D113" s="930">
        <f>SUMPRODUCT((A115:A118=F113)*(B114:M114=H113)*B115:M118)</f>
        <v>0.87480000000000002</v>
      </c>
      <c r="E113" s="2696" t="s">
        <v>2671</v>
      </c>
      <c r="F113" s="2697" t="str">
        <f>E2</f>
        <v>住宅</v>
      </c>
      <c r="G113" s="2696" t="s">
        <v>2608</v>
      </c>
      <c r="H113" s="2697" t="str">
        <f>G2</f>
        <v>五级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2" t="s">
        <v>788</v>
      </c>
      <c r="B1" s="311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topLeftCell="B1" zoomScaleNormal="100" workbookViewId="0">
      <selection activeCell="E29" sqref="E29"/>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估价对象紧邻城市次干道—鲁谷路，有308路、546路、597路等10余条公交线路及地铁1号线八宝山站通过，交通便捷度较好。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城市次干道—鲁谷路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自然环境：北京国际雕塑公园、老山城市休闲公园、莲花河等；人文环境：中国科学院大学等；综合评价环境状况较好。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估价对象紧邻城市次干道—鲁谷路，有308路、546路、597路等10余条公交线路及地铁1号线八宝山站通过，交通便捷度较好。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城市次干道—鲁谷路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自然环境：北京国际雕塑公园、老山城市休闲公园、莲花河等；人文环境：中国科学院大学等；综合评价环境状况较好。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周边有玉泉路16号院、莲玉嘉园、重聚园、依翠园、诗景长安等居住社区，综合评价居住社区成熟度较好。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9.9000000000000005E-2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估价对象紧邻城市次干道—鲁谷路，有308路、546路、597路等10余条公交线路及地铁1号线八宝山站通过，交通便捷度较好。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城市次干道—鲁谷路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自然环境：北京国际雕塑公园、老山城市休闲公园、莲花河等；人文环境：中国科学院大学等；综合评价环境状况较好。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2" t="s">
        <v>105</v>
      </c>
      <c r="B1" s="3112"/>
      <c r="C1" s="3112"/>
      <c r="D1" s="3112"/>
      <c r="E1" s="3112"/>
      <c r="F1" s="311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3" t="s">
        <v>118</v>
      </c>
      <c r="B2" s="3113"/>
      <c r="C2" s="3113"/>
      <c r="D2" s="3113"/>
      <c r="E2" s="3113"/>
      <c r="F2" s="311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12590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6" t="s">
        <v>132</v>
      </c>
      <c r="B18" s="907" t="s">
        <v>517</v>
      </c>
      <c r="C18" s="908" t="s">
        <v>518</v>
      </c>
      <c r="D18" s="909"/>
      <c r="E18" s="907">
        <v>1</v>
      </c>
      <c r="F18" s="910" t="s">
        <v>519</v>
      </c>
      <c r="G18" s="911"/>
      <c r="H18" s="903"/>
      <c r="I18" s="903"/>
    </row>
    <row r="19" spans="1:9" s="912" customFormat="1" ht="19.5" customHeight="1">
      <c r="A19" s="3116"/>
      <c r="B19" s="3116" t="s">
        <v>520</v>
      </c>
      <c r="C19" s="908" t="s">
        <v>521</v>
      </c>
      <c r="D19" s="909"/>
      <c r="E19" s="907">
        <v>0.9</v>
      </c>
      <c r="F19" s="910" t="s">
        <v>522</v>
      </c>
      <c r="G19" s="911"/>
      <c r="H19" s="903"/>
      <c r="I19" s="903"/>
    </row>
    <row r="20" spans="1:9" s="912" customFormat="1" ht="19.5" customHeight="1">
      <c r="A20" s="3116"/>
      <c r="B20" s="3116"/>
      <c r="C20" s="908" t="s">
        <v>523</v>
      </c>
      <c r="D20" s="909"/>
      <c r="E20" s="907">
        <v>1.1000000000000001</v>
      </c>
      <c r="F20" s="910" t="s">
        <v>524</v>
      </c>
      <c r="G20" s="911"/>
      <c r="H20" s="903"/>
      <c r="I20" s="903"/>
    </row>
    <row r="21" spans="1:9" s="912" customFormat="1" ht="19.5" customHeight="1">
      <c r="A21" s="3116"/>
      <c r="B21" s="3116"/>
      <c r="C21" s="908" t="s">
        <v>525</v>
      </c>
      <c r="D21" s="909"/>
      <c r="E21" s="907">
        <v>0.8</v>
      </c>
      <c r="F21" s="910" t="s">
        <v>526</v>
      </c>
      <c r="G21" s="911"/>
      <c r="H21" s="903"/>
      <c r="I21" s="903"/>
    </row>
    <row r="22" spans="1:9" s="912" customFormat="1" ht="19.5" customHeight="1">
      <c r="A22" s="3116"/>
      <c r="B22" s="3116"/>
      <c r="C22" s="908" t="s">
        <v>527</v>
      </c>
      <c r="D22" s="909"/>
      <c r="E22" s="907">
        <v>0.5</v>
      </c>
      <c r="F22" s="910"/>
      <c r="G22" s="911"/>
      <c r="H22" s="903"/>
      <c r="I22" s="903"/>
    </row>
    <row r="23" spans="1:9" s="912" customFormat="1" ht="19.5" customHeight="1">
      <c r="A23" s="3116" t="s">
        <v>133</v>
      </c>
      <c r="B23" s="907" t="s">
        <v>517</v>
      </c>
      <c r="C23" s="908" t="s">
        <v>528</v>
      </c>
      <c r="D23" s="909"/>
      <c r="E23" s="907">
        <v>1</v>
      </c>
      <c r="F23" s="910" t="s">
        <v>529</v>
      </c>
      <c r="G23" s="911"/>
      <c r="H23" s="903"/>
      <c r="I23" s="903"/>
    </row>
    <row r="24" spans="1:9" s="912" customFormat="1" ht="19.5" customHeight="1">
      <c r="A24" s="3116"/>
      <c r="B24" s="3116" t="s">
        <v>520</v>
      </c>
      <c r="C24" s="908" t="s">
        <v>530</v>
      </c>
      <c r="D24" s="909"/>
      <c r="E24" s="907">
        <v>0.5</v>
      </c>
      <c r="F24" s="910"/>
      <c r="G24" s="911"/>
      <c r="H24" s="903"/>
      <c r="I24" s="903"/>
    </row>
    <row r="25" spans="1:9" s="912" customFormat="1" ht="19.5" customHeight="1">
      <c r="A25" s="3116"/>
      <c r="B25" s="3116"/>
      <c r="C25" s="908" t="s">
        <v>531</v>
      </c>
      <c r="D25" s="909"/>
      <c r="E25" s="907">
        <v>1.1000000000000001</v>
      </c>
      <c r="F25" s="910"/>
      <c r="G25" s="911"/>
      <c r="H25" s="903"/>
      <c r="I25" s="903"/>
    </row>
    <row r="26" spans="1:9" s="912" customFormat="1" ht="19.5" customHeight="1">
      <c r="A26" s="3116"/>
      <c r="B26" s="3116"/>
      <c r="C26" s="908" t="s">
        <v>532</v>
      </c>
      <c r="D26" s="909"/>
      <c r="E26" s="907">
        <v>1.1000000000000001</v>
      </c>
      <c r="F26" s="910"/>
      <c r="G26" s="911"/>
      <c r="H26" s="903"/>
      <c r="I26" s="903"/>
    </row>
    <row r="27" spans="1:9" s="912" customFormat="1" ht="19.5" customHeight="1">
      <c r="A27" s="3116"/>
      <c r="B27" s="3116"/>
      <c r="C27" s="908" t="s">
        <v>533</v>
      </c>
      <c r="D27" s="909"/>
      <c r="E27" s="907">
        <v>0.9</v>
      </c>
      <c r="F27" s="910" t="s">
        <v>534</v>
      </c>
      <c r="G27" s="911"/>
      <c r="H27" s="903"/>
      <c r="I27" s="903"/>
    </row>
    <row r="28" spans="1:9" s="912" customFormat="1" ht="19.5" customHeight="1">
      <c r="A28" s="3116"/>
      <c r="B28" s="3116"/>
      <c r="C28" s="908" t="s">
        <v>535</v>
      </c>
      <c r="D28" s="909"/>
      <c r="E28" s="907">
        <v>0.9</v>
      </c>
      <c r="F28" s="910" t="s">
        <v>536</v>
      </c>
      <c r="G28" s="911"/>
      <c r="H28" s="903"/>
      <c r="I28" s="903"/>
    </row>
    <row r="29" spans="1:9" s="912" customFormat="1" ht="19.5" customHeight="1">
      <c r="A29" s="3116"/>
      <c r="B29" s="3116"/>
      <c r="C29" s="908" t="s">
        <v>537</v>
      </c>
      <c r="D29" s="909"/>
      <c r="E29" s="907">
        <v>0.9</v>
      </c>
      <c r="F29" s="910" t="s">
        <v>538</v>
      </c>
      <c r="G29" s="911"/>
      <c r="H29" s="903"/>
      <c r="I29" s="903"/>
    </row>
    <row r="30" spans="1:9" s="912" customFormat="1" ht="19.5" customHeight="1">
      <c r="A30" s="3116"/>
      <c r="B30" s="3116"/>
      <c r="C30" s="908" t="s">
        <v>539</v>
      </c>
      <c r="D30" s="909"/>
      <c r="E30" s="907">
        <v>0.9</v>
      </c>
      <c r="F30" s="910" t="s">
        <v>540</v>
      </c>
      <c r="G30" s="911"/>
      <c r="H30" s="903"/>
      <c r="I30" s="903"/>
    </row>
    <row r="31" spans="1:9" s="912" customFormat="1" ht="19.5" customHeight="1">
      <c r="A31" s="3116"/>
      <c r="B31" s="3116"/>
      <c r="C31" s="908" t="s">
        <v>541</v>
      </c>
      <c r="D31" s="909"/>
      <c r="E31" s="907">
        <v>0.8</v>
      </c>
      <c r="F31" s="910" t="s">
        <v>542</v>
      </c>
      <c r="G31" s="911"/>
      <c r="H31" s="903"/>
      <c r="I31" s="903"/>
    </row>
    <row r="32" spans="1:9" s="912" customFormat="1" ht="19.5" customHeight="1">
      <c r="A32" s="3116"/>
      <c r="B32" s="3116"/>
      <c r="C32" s="908" t="s">
        <v>543</v>
      </c>
      <c r="D32" s="909"/>
      <c r="E32" s="907">
        <v>0.8</v>
      </c>
      <c r="F32" s="910" t="s">
        <v>544</v>
      </c>
      <c r="G32" s="911"/>
      <c r="H32" s="903"/>
      <c r="I32" s="903"/>
    </row>
    <row r="33" spans="1:9" s="912" customFormat="1" ht="19.5" customHeight="1">
      <c r="A33" s="3116" t="s">
        <v>134</v>
      </c>
      <c r="B33" s="907" t="s">
        <v>517</v>
      </c>
      <c r="C33" s="908" t="s">
        <v>545</v>
      </c>
      <c r="D33" s="909"/>
      <c r="E33" s="907">
        <v>1</v>
      </c>
      <c r="F33" s="910" t="s">
        <v>546</v>
      </c>
      <c r="G33" s="911"/>
      <c r="H33" s="903"/>
      <c r="I33" s="903"/>
    </row>
    <row r="34" spans="1:9" s="912" customFormat="1" ht="19.5" customHeight="1">
      <c r="A34" s="3116"/>
      <c r="B34" s="907" t="s">
        <v>520</v>
      </c>
      <c r="C34" s="908" t="s">
        <v>547</v>
      </c>
      <c r="D34" s="909"/>
      <c r="E34" s="907">
        <v>1.5</v>
      </c>
      <c r="F34" s="910" t="s">
        <v>548</v>
      </c>
      <c r="G34" s="911"/>
      <c r="H34" s="903"/>
      <c r="I34" s="903"/>
    </row>
    <row r="35" spans="1:9" s="912" customFormat="1" ht="19.5" customHeight="1">
      <c r="A35" s="3116" t="s">
        <v>135</v>
      </c>
      <c r="B35" s="907" t="s">
        <v>517</v>
      </c>
      <c r="C35" s="908" t="s">
        <v>549</v>
      </c>
      <c r="D35" s="909"/>
      <c r="E35" s="907">
        <v>1</v>
      </c>
      <c r="F35" s="910" t="s">
        <v>550</v>
      </c>
      <c r="G35" s="911"/>
      <c r="H35" s="903"/>
      <c r="I35" s="903"/>
    </row>
    <row r="36" spans="1:9" s="912" customFormat="1" ht="19.5" customHeight="1">
      <c r="A36" s="3116"/>
      <c r="B36" s="3116" t="s">
        <v>520</v>
      </c>
      <c r="C36" s="908" t="s">
        <v>551</v>
      </c>
      <c r="D36" s="909"/>
      <c r="E36" s="907">
        <v>1</v>
      </c>
      <c r="F36" s="910" t="s">
        <v>552</v>
      </c>
      <c r="G36" s="911"/>
      <c r="H36" s="903"/>
      <c r="I36" s="903"/>
    </row>
    <row r="37" spans="1:9" s="912" customFormat="1" ht="19.5" customHeight="1">
      <c r="A37" s="3116"/>
      <c r="B37" s="3116"/>
      <c r="C37" s="908" t="s">
        <v>553</v>
      </c>
      <c r="D37" s="909"/>
      <c r="E37" s="907">
        <v>1.5</v>
      </c>
      <c r="F37" s="910" t="s">
        <v>554</v>
      </c>
      <c r="G37" s="911"/>
      <c r="H37" s="903"/>
      <c r="I37" s="903"/>
    </row>
    <row r="38" spans="1:9" s="912" customFormat="1" ht="19.5" customHeight="1">
      <c r="A38" s="3116"/>
      <c r="B38" s="3116"/>
      <c r="C38" s="908" t="s">
        <v>555</v>
      </c>
      <c r="D38" s="909"/>
      <c r="E38" s="907">
        <v>1</v>
      </c>
      <c r="F38" s="910" t="s">
        <v>556</v>
      </c>
      <c r="G38" s="911"/>
      <c r="H38" s="903"/>
      <c r="I38" s="903"/>
    </row>
    <row r="39" spans="1:9" s="912" customFormat="1" ht="19.5" customHeight="1">
      <c r="A39" s="3116"/>
      <c r="B39" s="311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6" t="s">
        <v>571</v>
      </c>
      <c r="C61" s="821" t="s">
        <v>572</v>
      </c>
      <c r="D61" s="821" t="s">
        <v>573</v>
      </c>
      <c r="E61" s="920">
        <v>0.5</v>
      </c>
      <c r="F61" s="907">
        <v>80</v>
      </c>
    </row>
    <row r="62" spans="1:8" s="903" customFormat="1" ht="24">
      <c r="A62" s="907">
        <v>2</v>
      </c>
      <c r="B62" s="3116"/>
      <c r="C62" s="821" t="s">
        <v>574</v>
      </c>
      <c r="D62" s="821" t="s">
        <v>575</v>
      </c>
      <c r="E62" s="920">
        <v>0.5</v>
      </c>
      <c r="F62" s="907">
        <v>80</v>
      </c>
    </row>
    <row r="63" spans="1:8" s="903" customFormat="1" ht="36">
      <c r="A63" s="907">
        <v>3</v>
      </c>
      <c r="B63" s="3116"/>
      <c r="C63" s="821" t="s">
        <v>576</v>
      </c>
      <c r="D63" s="821" t="s">
        <v>577</v>
      </c>
      <c r="E63" s="920">
        <v>0.5</v>
      </c>
      <c r="F63" s="907">
        <v>80</v>
      </c>
    </row>
    <row r="64" spans="1:8" s="903" customFormat="1" ht="36">
      <c r="A64" s="907">
        <v>4</v>
      </c>
      <c r="B64" s="3116"/>
      <c r="C64" s="821" t="s">
        <v>578</v>
      </c>
      <c r="D64" s="821" t="s">
        <v>579</v>
      </c>
      <c r="E64" s="920">
        <v>0.4</v>
      </c>
      <c r="F64" s="907">
        <v>60</v>
      </c>
    </row>
    <row r="65" spans="1:6" s="903" customFormat="1" ht="36">
      <c r="A65" s="907">
        <v>5</v>
      </c>
      <c r="B65" s="3116"/>
      <c r="C65" s="821" t="s">
        <v>580</v>
      </c>
      <c r="D65" s="821" t="s">
        <v>581</v>
      </c>
      <c r="E65" s="920">
        <v>0.2</v>
      </c>
      <c r="F65" s="907">
        <v>30</v>
      </c>
    </row>
    <row r="66" spans="1:6" s="903" customFormat="1" ht="36">
      <c r="A66" s="907">
        <v>6</v>
      </c>
      <c r="B66" s="3116"/>
      <c r="C66" s="821" t="s">
        <v>582</v>
      </c>
      <c r="D66" s="821" t="s">
        <v>583</v>
      </c>
      <c r="E66" s="920">
        <v>0.3</v>
      </c>
      <c r="F66" s="907">
        <v>50</v>
      </c>
    </row>
    <row r="67" spans="1:6" s="903" customFormat="1" ht="36">
      <c r="A67" s="907">
        <v>7</v>
      </c>
      <c r="B67" s="3116"/>
      <c r="C67" s="821" t="s">
        <v>584</v>
      </c>
      <c r="D67" s="821" t="s">
        <v>585</v>
      </c>
      <c r="E67" s="920">
        <v>0.2</v>
      </c>
      <c r="F67" s="907">
        <v>30</v>
      </c>
    </row>
    <row r="68" spans="1:6" s="903" customFormat="1" ht="36">
      <c r="A68" s="907">
        <v>8</v>
      </c>
      <c r="B68" s="3116"/>
      <c r="C68" s="821" t="s">
        <v>586</v>
      </c>
      <c r="D68" s="821" t="s">
        <v>587</v>
      </c>
      <c r="E68" s="920">
        <v>0.2</v>
      </c>
      <c r="F68" s="907">
        <v>30</v>
      </c>
    </row>
    <row r="69" spans="1:6" s="903" customFormat="1" ht="36">
      <c r="A69" s="907">
        <v>9</v>
      </c>
      <c r="B69" s="3116"/>
      <c r="C69" s="821" t="s">
        <v>588</v>
      </c>
      <c r="D69" s="821" t="s">
        <v>589</v>
      </c>
      <c r="E69" s="920">
        <v>0.2</v>
      </c>
      <c r="F69" s="907">
        <v>30</v>
      </c>
    </row>
    <row r="70" spans="1:6" s="903" customFormat="1" ht="48">
      <c r="A70" s="907">
        <v>10</v>
      </c>
      <c r="B70" s="3116"/>
      <c r="C70" s="821" t="s">
        <v>590</v>
      </c>
      <c r="D70" s="821" t="s">
        <v>591</v>
      </c>
      <c r="E70" s="920">
        <v>0.2</v>
      </c>
      <c r="F70" s="907">
        <v>30</v>
      </c>
    </row>
    <row r="71" spans="1:6" s="903" customFormat="1" ht="48">
      <c r="A71" s="907">
        <v>11</v>
      </c>
      <c r="B71" s="3116"/>
      <c r="C71" s="821" t="s">
        <v>592</v>
      </c>
      <c r="D71" s="821" t="s">
        <v>593</v>
      </c>
      <c r="E71" s="920">
        <v>0.2</v>
      </c>
      <c r="F71" s="907">
        <v>30</v>
      </c>
    </row>
    <row r="72" spans="1:6" s="903" customFormat="1" ht="36">
      <c r="A72" s="907">
        <v>12</v>
      </c>
      <c r="B72" s="3116"/>
      <c r="C72" s="821" t="s">
        <v>594</v>
      </c>
      <c r="D72" s="821" t="s">
        <v>595</v>
      </c>
      <c r="E72" s="920">
        <v>0.5</v>
      </c>
      <c r="F72" s="907">
        <v>80</v>
      </c>
    </row>
    <row r="73" spans="1:6" s="903" customFormat="1" ht="24">
      <c r="A73" s="907">
        <v>13</v>
      </c>
      <c r="B73" s="3116"/>
      <c r="C73" s="821" t="s">
        <v>596</v>
      </c>
      <c r="D73" s="821" t="s">
        <v>597</v>
      </c>
      <c r="E73" s="920">
        <v>0.4</v>
      </c>
      <c r="F73" s="907">
        <v>60</v>
      </c>
    </row>
    <row r="74" spans="1:6" s="903" customFormat="1" ht="24">
      <c r="A74" s="907">
        <v>14</v>
      </c>
      <c r="B74" s="3116"/>
      <c r="C74" s="821" t="s">
        <v>598</v>
      </c>
      <c r="D74" s="821" t="s">
        <v>599</v>
      </c>
      <c r="E74" s="920">
        <v>0.2</v>
      </c>
      <c r="F74" s="907">
        <v>30</v>
      </c>
    </row>
    <row r="75" spans="1:6" s="903" customFormat="1" ht="24">
      <c r="A75" s="907">
        <v>15</v>
      </c>
      <c r="B75" s="3116"/>
      <c r="C75" s="821" t="s">
        <v>600</v>
      </c>
      <c r="D75" s="821" t="s">
        <v>601</v>
      </c>
      <c r="E75" s="920">
        <v>0.2</v>
      </c>
      <c r="F75" s="907">
        <v>30</v>
      </c>
    </row>
    <row r="76" spans="1:6" s="903" customFormat="1" ht="24">
      <c r="A76" s="907">
        <v>16</v>
      </c>
      <c r="B76" s="3116" t="s">
        <v>602</v>
      </c>
      <c r="C76" s="821" t="s">
        <v>603</v>
      </c>
      <c r="D76" s="821" t="s">
        <v>604</v>
      </c>
      <c r="E76" s="920">
        <v>0.5</v>
      </c>
      <c r="F76" s="907">
        <v>80</v>
      </c>
    </row>
    <row r="77" spans="1:6" s="903" customFormat="1" ht="24">
      <c r="A77" s="907">
        <v>17</v>
      </c>
      <c r="B77" s="3116"/>
      <c r="C77" s="821" t="s">
        <v>605</v>
      </c>
      <c r="D77" s="821" t="s">
        <v>606</v>
      </c>
      <c r="E77" s="920">
        <v>0.5</v>
      </c>
      <c r="F77" s="907">
        <v>80</v>
      </c>
    </row>
    <row r="78" spans="1:6" s="903" customFormat="1" ht="24">
      <c r="A78" s="907">
        <v>18</v>
      </c>
      <c r="B78" s="3116"/>
      <c r="C78" s="821" t="s">
        <v>607</v>
      </c>
      <c r="D78" s="821" t="s">
        <v>608</v>
      </c>
      <c r="E78" s="920">
        <v>0.2</v>
      </c>
      <c r="F78" s="907">
        <v>30</v>
      </c>
    </row>
    <row r="79" spans="1:6" s="903" customFormat="1" ht="24">
      <c r="A79" s="907">
        <v>19</v>
      </c>
      <c r="B79" s="3116"/>
      <c r="C79" s="821" t="s">
        <v>609</v>
      </c>
      <c r="D79" s="821" t="s">
        <v>610</v>
      </c>
      <c r="E79" s="920">
        <v>0.5</v>
      </c>
      <c r="F79" s="907">
        <v>80</v>
      </c>
    </row>
    <row r="80" spans="1:6" s="903" customFormat="1" ht="36">
      <c r="A80" s="907">
        <v>20</v>
      </c>
      <c r="B80" s="3116"/>
      <c r="C80" s="821" t="s">
        <v>611</v>
      </c>
      <c r="D80" s="821" t="s">
        <v>612</v>
      </c>
      <c r="E80" s="920">
        <v>0.2</v>
      </c>
      <c r="F80" s="907">
        <v>30</v>
      </c>
    </row>
    <row r="81" spans="1:6" s="903" customFormat="1" ht="36">
      <c r="A81" s="907">
        <v>21</v>
      </c>
      <c r="B81" s="3116"/>
      <c r="C81" s="821" t="s">
        <v>613</v>
      </c>
      <c r="D81" s="821" t="s">
        <v>614</v>
      </c>
      <c r="E81" s="920">
        <v>0.2</v>
      </c>
      <c r="F81" s="907">
        <v>30</v>
      </c>
    </row>
    <row r="82" spans="1:6" s="903" customFormat="1" ht="48">
      <c r="A82" s="907">
        <v>22</v>
      </c>
      <c r="B82" s="3116"/>
      <c r="C82" s="821" t="s">
        <v>615</v>
      </c>
      <c r="D82" s="821" t="s">
        <v>616</v>
      </c>
      <c r="E82" s="920">
        <v>0.2</v>
      </c>
      <c r="F82" s="907">
        <v>30</v>
      </c>
    </row>
    <row r="83" spans="1:6" s="903" customFormat="1" ht="48">
      <c r="A83" s="907">
        <v>23</v>
      </c>
      <c r="B83" s="3116"/>
      <c r="C83" s="821" t="s">
        <v>617</v>
      </c>
      <c r="D83" s="821" t="s">
        <v>618</v>
      </c>
      <c r="E83" s="920">
        <v>0.2</v>
      </c>
      <c r="F83" s="907">
        <v>30</v>
      </c>
    </row>
    <row r="84" spans="1:6" s="903" customFormat="1" ht="36">
      <c r="A84" s="907">
        <v>24</v>
      </c>
      <c r="B84" s="3116"/>
      <c r="C84" s="821" t="s">
        <v>619</v>
      </c>
      <c r="D84" s="821" t="s">
        <v>620</v>
      </c>
      <c r="E84" s="920">
        <v>0.2</v>
      </c>
      <c r="F84" s="907">
        <v>30</v>
      </c>
    </row>
    <row r="85" spans="1:6" s="903" customFormat="1" ht="36">
      <c r="A85" s="907">
        <v>25</v>
      </c>
      <c r="B85" s="3116"/>
      <c r="C85" s="821" t="s">
        <v>621</v>
      </c>
      <c r="D85" s="821" t="s">
        <v>622</v>
      </c>
      <c r="E85" s="920">
        <v>0.5</v>
      </c>
      <c r="F85" s="907">
        <v>80</v>
      </c>
    </row>
    <row r="86" spans="1:6" s="903" customFormat="1" ht="36">
      <c r="A86" s="907">
        <v>26</v>
      </c>
      <c r="B86" s="3116"/>
      <c r="C86" s="821" t="s">
        <v>623</v>
      </c>
      <c r="D86" s="821" t="s">
        <v>624</v>
      </c>
      <c r="E86" s="920">
        <v>0.2</v>
      </c>
      <c r="F86" s="907">
        <v>30</v>
      </c>
    </row>
    <row r="87" spans="1:6" s="903" customFormat="1" ht="36">
      <c r="A87" s="907">
        <v>27</v>
      </c>
      <c r="B87" s="3116"/>
      <c r="C87" s="821" t="s">
        <v>625</v>
      </c>
      <c r="D87" s="821" t="s">
        <v>626</v>
      </c>
      <c r="E87" s="920">
        <v>0.2</v>
      </c>
      <c r="F87" s="907">
        <v>30</v>
      </c>
    </row>
    <row r="88" spans="1:6" s="903" customFormat="1" ht="36">
      <c r="A88" s="907">
        <v>28</v>
      </c>
      <c r="B88" s="3116"/>
      <c r="C88" s="821" t="s">
        <v>627</v>
      </c>
      <c r="D88" s="821" t="s">
        <v>628</v>
      </c>
      <c r="E88" s="920">
        <v>0.2</v>
      </c>
      <c r="F88" s="907">
        <v>30</v>
      </c>
    </row>
    <row r="89" spans="1:6" s="903" customFormat="1" ht="24">
      <c r="A89" s="907">
        <v>29</v>
      </c>
      <c r="B89" s="3116"/>
      <c r="C89" s="821" t="s">
        <v>629</v>
      </c>
      <c r="D89" s="821" t="s">
        <v>630</v>
      </c>
      <c r="E89" s="920">
        <v>0.2</v>
      </c>
      <c r="F89" s="907">
        <v>30</v>
      </c>
    </row>
    <row r="90" spans="1:6" s="903" customFormat="1" ht="24">
      <c r="A90" s="907">
        <v>30</v>
      </c>
      <c r="B90" s="3116"/>
      <c r="C90" s="821" t="s">
        <v>631</v>
      </c>
      <c r="D90" s="821" t="s">
        <v>632</v>
      </c>
      <c r="E90" s="920">
        <v>0.2</v>
      </c>
      <c r="F90" s="907">
        <v>30</v>
      </c>
    </row>
    <row r="91" spans="1:6" s="903" customFormat="1" ht="36">
      <c r="A91" s="907">
        <v>31</v>
      </c>
      <c r="B91" s="3116"/>
      <c r="C91" s="821" t="s">
        <v>633</v>
      </c>
      <c r="D91" s="821" t="s">
        <v>634</v>
      </c>
      <c r="E91" s="920">
        <v>0.2</v>
      </c>
      <c r="F91" s="907">
        <v>30</v>
      </c>
    </row>
    <row r="92" spans="1:6" s="903" customFormat="1" ht="24">
      <c r="A92" s="907">
        <v>32</v>
      </c>
      <c r="B92" s="3116" t="s">
        <v>635</v>
      </c>
      <c r="C92" s="907" t="s">
        <v>636</v>
      </c>
      <c r="D92" s="821" t="s">
        <v>637</v>
      </c>
      <c r="E92" s="920">
        <v>0.2</v>
      </c>
      <c r="F92" s="907">
        <v>30</v>
      </c>
    </row>
    <row r="93" spans="1:6" s="903" customFormat="1" ht="36">
      <c r="A93" s="907">
        <v>33</v>
      </c>
      <c r="B93" s="3116"/>
      <c r="C93" s="907" t="s">
        <v>638</v>
      </c>
      <c r="D93" s="821" t="s">
        <v>639</v>
      </c>
      <c r="E93" s="920">
        <v>0.2</v>
      </c>
      <c r="F93" s="907">
        <v>30</v>
      </c>
    </row>
    <row r="94" spans="1:6" s="903" customFormat="1" ht="48">
      <c r="A94" s="907">
        <v>34</v>
      </c>
      <c r="B94" s="3116"/>
      <c r="C94" s="907" t="s">
        <v>640</v>
      </c>
      <c r="D94" s="821" t="s">
        <v>641</v>
      </c>
      <c r="E94" s="920">
        <v>0.2</v>
      </c>
      <c r="F94" s="907">
        <v>30</v>
      </c>
    </row>
    <row r="95" spans="1:6" s="903" customFormat="1" ht="36">
      <c r="A95" s="907">
        <v>35</v>
      </c>
      <c r="B95" s="3116"/>
      <c r="C95" s="907" t="s">
        <v>642</v>
      </c>
      <c r="D95" s="821" t="s">
        <v>643</v>
      </c>
      <c r="E95" s="920">
        <v>0.2</v>
      </c>
      <c r="F95" s="907">
        <v>30</v>
      </c>
    </row>
    <row r="96" spans="1:6" s="903" customFormat="1" ht="48">
      <c r="A96" s="907">
        <v>36</v>
      </c>
      <c r="B96" s="3116"/>
      <c r="C96" s="821" t="s">
        <v>644</v>
      </c>
      <c r="D96" s="821" t="s">
        <v>645</v>
      </c>
      <c r="E96" s="920">
        <v>0.2</v>
      </c>
      <c r="F96" s="907">
        <v>30</v>
      </c>
    </row>
    <row r="97" spans="1:6" s="903" customFormat="1" ht="36">
      <c r="A97" s="907">
        <v>37</v>
      </c>
      <c r="B97" s="3116"/>
      <c r="C97" s="907" t="s">
        <v>646</v>
      </c>
      <c r="D97" s="821" t="s">
        <v>647</v>
      </c>
      <c r="E97" s="920">
        <v>0.2</v>
      </c>
      <c r="F97" s="907">
        <v>30</v>
      </c>
    </row>
    <row r="98" spans="1:6" s="903" customFormat="1" ht="36">
      <c r="A98" s="907">
        <v>38</v>
      </c>
      <c r="B98" s="3116"/>
      <c r="C98" s="907" t="s">
        <v>648</v>
      </c>
      <c r="D98" s="821" t="s">
        <v>649</v>
      </c>
      <c r="E98" s="920">
        <v>0.2</v>
      </c>
      <c r="F98" s="907">
        <v>30</v>
      </c>
    </row>
    <row r="99" spans="1:6" s="903" customFormat="1" ht="36">
      <c r="A99" s="907">
        <v>39</v>
      </c>
      <c r="B99" s="3116" t="s">
        <v>650</v>
      </c>
      <c r="C99" s="907" t="s">
        <v>651</v>
      </c>
      <c r="D99" s="821" t="s">
        <v>652</v>
      </c>
      <c r="E99" s="920">
        <v>0.3</v>
      </c>
      <c r="F99" s="907">
        <v>50</v>
      </c>
    </row>
    <row r="100" spans="1:6" s="903" customFormat="1" ht="24">
      <c r="A100" s="907">
        <v>40</v>
      </c>
      <c r="B100" s="3116"/>
      <c r="C100" s="907" t="s">
        <v>653</v>
      </c>
      <c r="D100" s="821" t="s">
        <v>654</v>
      </c>
      <c r="E100" s="920">
        <v>0.2</v>
      </c>
      <c r="F100" s="907">
        <v>30</v>
      </c>
    </row>
    <row r="101" spans="1:6" s="903" customFormat="1" ht="36">
      <c r="A101" s="907">
        <v>41</v>
      </c>
      <c r="B101" s="311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6" t="s">
        <v>665</v>
      </c>
      <c r="C105" s="907" t="s">
        <v>666</v>
      </c>
      <c r="D105" s="821" t="s">
        <v>667</v>
      </c>
      <c r="E105" s="920">
        <v>0.2</v>
      </c>
      <c r="F105" s="907">
        <v>30</v>
      </c>
    </row>
    <row r="106" spans="1:6" s="903" customFormat="1" ht="36">
      <c r="A106" s="907">
        <v>46</v>
      </c>
      <c r="B106" s="3116"/>
      <c r="C106" s="907" t="s">
        <v>668</v>
      </c>
      <c r="D106" s="821" t="s">
        <v>669</v>
      </c>
      <c r="E106" s="920">
        <v>0.2</v>
      </c>
      <c r="F106" s="907">
        <v>30</v>
      </c>
    </row>
    <row r="107" spans="1:6" s="903" customFormat="1" ht="36">
      <c r="A107" s="907">
        <v>47</v>
      </c>
      <c r="B107" s="3116" t="s">
        <v>670</v>
      </c>
      <c r="C107" s="907" t="s">
        <v>671</v>
      </c>
      <c r="D107" s="821" t="s">
        <v>672</v>
      </c>
      <c r="E107" s="920">
        <v>0.3</v>
      </c>
      <c r="F107" s="907">
        <v>50</v>
      </c>
    </row>
    <row r="108" spans="1:6" s="903" customFormat="1" ht="36">
      <c r="A108" s="907">
        <v>48</v>
      </c>
      <c r="B108" s="311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6" t="s">
        <v>681</v>
      </c>
      <c r="C111" s="907" t="s">
        <v>682</v>
      </c>
      <c r="D111" s="821" t="s">
        <v>683</v>
      </c>
      <c r="E111" s="920">
        <v>0.2</v>
      </c>
      <c r="F111" s="907">
        <v>30</v>
      </c>
    </row>
    <row r="112" spans="1:6" s="903" customFormat="1" ht="24">
      <c r="A112" s="907">
        <v>52</v>
      </c>
      <c r="B112" s="3116"/>
      <c r="C112" s="907" t="s">
        <v>684</v>
      </c>
      <c r="D112" s="821" t="s">
        <v>685</v>
      </c>
      <c r="E112" s="920">
        <v>0.2</v>
      </c>
      <c r="F112" s="907">
        <v>30</v>
      </c>
    </row>
    <row r="113" spans="1:6" s="903" customFormat="1" ht="24">
      <c r="A113" s="907">
        <v>53</v>
      </c>
      <c r="B113" s="311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6" t="s">
        <v>694</v>
      </c>
      <c r="C116" s="907" t="s">
        <v>695</v>
      </c>
      <c r="D116" s="821" t="s">
        <v>696</v>
      </c>
      <c r="E116" s="920">
        <v>0.2</v>
      </c>
      <c r="F116" s="907">
        <v>30</v>
      </c>
    </row>
    <row r="117" spans="1:6" ht="36">
      <c r="A117" s="907">
        <v>57</v>
      </c>
      <c r="B117" s="311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22" t="s">
        <v>1034</v>
      </c>
      <c r="C1" s="3122"/>
      <c r="D1" s="3122"/>
      <c r="E1" s="3122"/>
      <c r="F1" s="3122"/>
      <c r="G1" s="3118" t="s">
        <v>1035</v>
      </c>
      <c r="H1" s="3118"/>
      <c r="I1" s="3118"/>
      <c r="J1" s="3118"/>
      <c r="K1" s="3118"/>
      <c r="L1" s="3118"/>
      <c r="N1" s="3118" t="s">
        <v>1036</v>
      </c>
      <c r="O1" s="3118"/>
      <c r="P1" s="3118"/>
      <c r="Q1" s="3118"/>
      <c r="R1" s="1548"/>
      <c r="S1" s="3118" t="s">
        <v>1037</v>
      </c>
      <c r="T1" s="3118"/>
      <c r="U1" s="3118"/>
      <c r="V1" s="3118"/>
      <c r="X1" s="3117" t="s">
        <v>1038</v>
      </c>
      <c r="Y1" s="3118"/>
      <c r="Z1" s="3118"/>
      <c r="AA1" s="3118"/>
      <c r="AB1" s="3118"/>
      <c r="AD1" s="3117" t="s">
        <v>1039</v>
      </c>
      <c r="AE1" s="3118"/>
      <c r="AF1" s="3118"/>
      <c r="AG1" s="3118"/>
      <c r="AH1" s="3118"/>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0"/>
      <c r="J3" s="2710"/>
      <c r="K3" s="2710"/>
      <c r="L3" s="2710"/>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2806</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1">
        <f>ROUND(AVERAGE(I5:I20),2)</f>
        <v>2.4900000000000002</v>
      </c>
      <c r="J4" s="2711">
        <f t="shared" ref="J4:K4" si="6">ROUND(AVERAGE(J5:J20),2)</f>
        <v>1.64</v>
      </c>
      <c r="K4" s="2711">
        <f t="shared" si="6"/>
        <v>2.78</v>
      </c>
      <c r="L4" s="2711">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2804</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08">
        <v>2017</v>
      </c>
      <c r="H5" s="1822">
        <v>4</v>
      </c>
      <c r="I5" s="2712">
        <f>ROUND(AVERAGE(I6:I20),2)</f>
        <v>2.4900000000000002</v>
      </c>
      <c r="J5" s="2712">
        <f>ROUND(AVERAGE(J6:J20),2)</f>
        <v>1.64</v>
      </c>
      <c r="K5" s="2712">
        <f>ROUND(AVERAGE(K6:K20),2)</f>
        <v>2.78</v>
      </c>
      <c r="L5" s="2713">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2805</v>
      </c>
      <c r="B6" s="1581">
        <f>B7*(1+N6)</f>
        <v>431.80730811680002</v>
      </c>
      <c r="C6" s="1581">
        <f t="shared" ref="C6" si="17">C7*(1+O6)</f>
        <v>320.57880516480003</v>
      </c>
      <c r="D6" s="1581">
        <f t="shared" si="3"/>
        <v>320.57880516480003</v>
      </c>
      <c r="E6" s="1581">
        <f t="shared" ref="E6:F8" si="18">E7*(1+P6)</f>
        <v>615.96110553196797</v>
      </c>
      <c r="F6" s="1581">
        <f t="shared" si="18"/>
        <v>279.46777300108801</v>
      </c>
      <c r="G6" s="2709"/>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08"/>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09"/>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23">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20"/>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20"/>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21"/>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19">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20"/>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20"/>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21"/>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19">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20"/>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20"/>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21"/>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24">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25"/>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25"/>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26"/>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19">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20"/>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20"/>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21"/>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19">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20">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20">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21">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19">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20">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20">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21">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19">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20">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20">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21">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19">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20">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20">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21">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19">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20">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20">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21">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19">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20">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20">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21">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19">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20">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20">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21">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19">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20">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20">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21">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19">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20">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20">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21">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19">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20">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20">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21">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43083</v>
      </c>
      <c r="D1" s="1803" t="s">
        <v>1188</v>
      </c>
      <c r="E1" s="1809">
        <f>'数据-取费表'!B23</f>
        <v>2</v>
      </c>
      <c r="F1" s="1803" t="s">
        <v>1189</v>
      </c>
      <c r="G1" s="1810">
        <f ca="1">INDIRECT("d"&amp;$K$1)/100</f>
        <v>4.7500000000000001E-2</v>
      </c>
      <c r="H1" s="1803" t="s">
        <v>1219</v>
      </c>
      <c r="I1" s="1810">
        <f ca="1">F4/100</f>
        <v>1.4999999999999999E-2</v>
      </c>
      <c r="J1" s="1804">
        <f>IF(C1&gt;C13,0,MATCH(C1,C$13:C$100,-1))+IF(SUMIF(C13:C100,C1,D13:D100)=0,13,12)</f>
        <v>13</v>
      </c>
      <c r="K1" s="1804">
        <f>MATCH(E1,C3:C7,1)+IF(SUMIF(C3:C7,E1,D3:D7)=0,2,1)</f>
        <v>5</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28" workbookViewId="0">
      <selection activeCell="L69" sqref="L69"/>
    </sheetView>
  </sheetViews>
  <sheetFormatPr defaultRowHeight="13.5"/>
  <sheetData/>
  <phoneticPr fontId="250"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T85"/>
  <sheetViews>
    <sheetView workbookViewId="0">
      <selection activeCell="K25" sqref="K25"/>
    </sheetView>
  </sheetViews>
  <sheetFormatPr defaultRowHeight="13.5"/>
  <cols>
    <col min="1" max="1" width="5.5" customWidth="1"/>
  </cols>
  <sheetData>
    <row r="1" spans="1:20" ht="15" thickBot="1">
      <c r="T1" s="391">
        <v>43004</v>
      </c>
    </row>
    <row r="2" spans="1:20" ht="14.25" thickBot="1">
      <c r="T2" s="394" t="s">
        <v>2356</v>
      </c>
    </row>
    <row r="3" spans="1:20">
      <c r="A3" s="2750" t="s">
        <v>2914</v>
      </c>
      <c r="T3" s="2721" t="s">
        <v>2819</v>
      </c>
    </row>
    <row r="4" spans="1:20" ht="28.5">
      <c r="T4" s="403" t="s">
        <v>2893</v>
      </c>
    </row>
    <row r="5" spans="1:20" ht="14.25">
      <c r="T5" s="410">
        <v>111</v>
      </c>
    </row>
    <row r="6" spans="1:20" ht="14.25">
      <c r="T6" s="412"/>
    </row>
    <row r="7" spans="1:20" ht="14.25">
      <c r="T7" s="414"/>
    </row>
    <row r="8" spans="1:20" ht="15" thickBot="1">
      <c r="T8" s="2402"/>
    </row>
    <row r="9" spans="1:20" ht="47.25" customHeight="1">
      <c r="T9" s="2755" t="s">
        <v>2889</v>
      </c>
    </row>
    <row r="10" spans="1:20" ht="14.25">
      <c r="T10" s="428" t="s">
        <v>30</v>
      </c>
    </row>
    <row r="11" spans="1:20" ht="27.75" customHeight="1">
      <c r="T11" s="2756" t="s">
        <v>2890</v>
      </c>
    </row>
    <row r="12" spans="1:20" ht="14.25">
      <c r="T12" s="1468" t="s">
        <v>31</v>
      </c>
    </row>
    <row r="13" spans="1:20" ht="54">
      <c r="T13" s="2719" t="s">
        <v>2817</v>
      </c>
    </row>
    <row r="14" spans="1:20" ht="14.25">
      <c r="T14" s="428" t="s">
        <v>30</v>
      </c>
    </row>
    <row r="15" spans="1:20">
      <c r="T15" s="2719" t="s">
        <v>2818</v>
      </c>
    </row>
    <row r="16" spans="1:20" ht="14.25">
      <c r="T16" s="426" t="s">
        <v>2820</v>
      </c>
    </row>
    <row r="17" spans="20:20" ht="30" customHeight="1">
      <c r="T17" s="2758" t="s">
        <v>2902</v>
      </c>
    </row>
    <row r="18" spans="20:20" ht="14.25">
      <c r="T18" s="428" t="s">
        <v>30</v>
      </c>
    </row>
    <row r="19" spans="20:20" ht="14.25">
      <c r="T19" s="2410"/>
    </row>
    <row r="20" spans="20:20" ht="14.25">
      <c r="T20" s="441" t="s">
        <v>2903</v>
      </c>
    </row>
    <row r="21" spans="20:20" ht="40.5">
      <c r="T21" s="2757" t="s">
        <v>2901</v>
      </c>
    </row>
    <row r="22" spans="20:20" ht="14.25">
      <c r="T22" s="2729" t="s">
        <v>2904</v>
      </c>
    </row>
    <row r="23" spans="20:20" ht="14.25">
      <c r="T23" s="414"/>
    </row>
    <row r="24" spans="20:20" ht="14.25">
      <c r="T24" s="414"/>
    </row>
    <row r="25" spans="20:20" ht="15" thickBot="1">
      <c r="T25" s="2402"/>
    </row>
    <row r="26" spans="20:20" ht="14.25">
      <c r="T26" s="2413" t="s">
        <v>2894</v>
      </c>
    </row>
    <row r="27" spans="20:20" ht="14.25">
      <c r="T27" s="410">
        <v>140.99</v>
      </c>
    </row>
    <row r="28" spans="20:20" ht="14.25">
      <c r="T28" s="2414" t="s">
        <v>2895</v>
      </c>
    </row>
    <row r="29" spans="20:20" ht="14.25">
      <c r="T29" s="2410"/>
    </row>
    <row r="30" spans="20:20" ht="14.25">
      <c r="T30" s="2410"/>
    </row>
    <row r="31" spans="20:20" ht="14.25">
      <c r="T31" s="456">
        <v>1</v>
      </c>
    </row>
    <row r="32" spans="20:20" ht="28.5">
      <c r="T32" s="2411" t="s">
        <v>2847</v>
      </c>
    </row>
    <row r="33" spans="1:20" ht="14.25">
      <c r="T33" s="2411" t="s">
        <v>2820</v>
      </c>
    </row>
    <row r="34" spans="1:20" ht="14.25">
      <c r="A34" s="2750"/>
      <c r="T34" s="2411" t="s">
        <v>2848</v>
      </c>
    </row>
    <row r="35" spans="1:20" ht="14.25">
      <c r="T35" s="410"/>
    </row>
    <row r="36" spans="1:20" ht="14.25">
      <c r="T36" s="2411" t="s">
        <v>2849</v>
      </c>
    </row>
    <row r="37" spans="1:20" ht="14.25">
      <c r="T37" s="2411" t="s">
        <v>30</v>
      </c>
    </row>
    <row r="38" spans="1:20" ht="14.25">
      <c r="T38" s="450">
        <v>2006</v>
      </c>
    </row>
    <row r="39" spans="1:20" ht="14.25">
      <c r="T39" s="414"/>
    </row>
    <row r="40" spans="1:20" ht="15" thickBot="1">
      <c r="T40" s="2402"/>
    </row>
    <row r="41" spans="1:20" ht="15">
      <c r="T41" s="1504">
        <v>72346</v>
      </c>
    </row>
    <row r="60" spans="1:1">
      <c r="A60" s="2750" t="s">
        <v>2898</v>
      </c>
    </row>
    <row r="85" spans="1:1">
      <c r="A85" s="2750" t="s">
        <v>2899</v>
      </c>
    </row>
  </sheetData>
  <phoneticPr fontId="146" type="noConversion"/>
  <dataValidations count="19">
    <dataValidation type="list" allowBlank="1" showInputMessage="1" showErrorMessage="1" sqref="T16">
      <formula1>基础设施水平</formula1>
    </dataValidation>
    <dataValidation type="list" allowBlank="1" showInputMessage="1" showErrorMessage="1" sqref="T3">
      <formula1>住宅用途</formula1>
    </dataValidation>
    <dataValidation type="list" allowBlank="1" showInputMessage="1" showErrorMessage="1" sqref="T4">
      <formula1>土地年限区间</formula1>
    </dataValidation>
    <dataValidation type="list" allowBlank="1" showInputMessage="1" showErrorMessage="1" sqref="T2">
      <formula1>住宅交易情况</formula1>
    </dataValidation>
    <dataValidation type="list" allowBlank="1" showInputMessage="1" showErrorMessage="1" sqref="T37">
      <formula1>内部装修维护情况</formula1>
    </dataValidation>
    <dataValidation type="list" allowBlank="1" showInputMessage="1" showErrorMessage="1" sqref="T36">
      <formula1>住宅内部装修</formula1>
    </dataValidation>
    <dataValidation type="list" allowBlank="1" showInputMessage="1" showErrorMessage="1" sqref="T34">
      <formula1>住宅房型</formula1>
    </dataValidation>
    <dataValidation type="list" allowBlank="1" showInputMessage="1" showErrorMessage="1" sqref="T33">
      <formula1>住宅基础设施水平</formula1>
    </dataValidation>
    <dataValidation type="list" allowBlank="1" showInputMessage="1" showErrorMessage="1" sqref="T32">
      <formula1>住宅物业管理</formula1>
    </dataValidation>
    <dataValidation type="list" allowBlank="1" showInputMessage="1" showErrorMessage="1" sqref="T30">
      <formula1>住宅公共部分装修</formula1>
    </dataValidation>
    <dataValidation type="list" allowBlank="1" showInputMessage="1" showErrorMessage="1" sqref="T29">
      <formula1>住宅建筑品质</formula1>
    </dataValidation>
    <dataValidation type="list" allowBlank="1" showInputMessage="1" showErrorMessage="1" sqref="T28">
      <formula1>住宅建筑结构</formula1>
    </dataValidation>
    <dataValidation type="list" allowBlank="1" showInputMessage="1" showErrorMessage="1" sqref="T26">
      <formula1>住宅建筑类型</formula1>
    </dataValidation>
    <dataValidation type="list" allowBlank="1" showInputMessage="1" showErrorMessage="1" sqref="T20">
      <formula1>住宅朝向</formula1>
    </dataValidation>
    <dataValidation type="list" allowBlank="1" showInputMessage="1" showErrorMessage="1" sqref="T19">
      <formula1>住宅楼层</formula1>
    </dataValidation>
    <dataValidation type="list" allowBlank="1" showInputMessage="1" showErrorMessage="1" sqref="T14">
      <formula1>公共配套设施</formula1>
    </dataValidation>
    <dataValidation type="list" allowBlank="1" showInputMessage="1" showErrorMessage="1" sqref="T12">
      <formula1>交通便捷度</formula1>
    </dataValidation>
    <dataValidation type="list" allowBlank="1" showInputMessage="1" showErrorMessage="1" sqref="T10">
      <formula1>居住社区成熟度</formula1>
    </dataValidation>
    <dataValidation type="list" allowBlank="1" showInputMessage="1" showErrorMessage="1" sqref="T18">
      <formula1>环境</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32:A92"/>
  <sheetViews>
    <sheetView topLeftCell="A106" workbookViewId="0">
      <selection activeCell="G125" sqref="G125"/>
    </sheetView>
  </sheetViews>
  <sheetFormatPr defaultRowHeight="13.5"/>
  <cols>
    <col min="1" max="1" width="4.375" customWidth="1"/>
  </cols>
  <sheetData>
    <row r="32" spans="1:1">
      <c r="A32" s="2750"/>
    </row>
    <row r="61" spans="1:1">
      <c r="A61" s="2750"/>
    </row>
    <row r="92" spans="1:1">
      <c r="A92" s="2750"/>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146</vt:i4>
      </vt:variant>
    </vt:vector>
  </HeadingPairs>
  <TitlesOfParts>
    <vt:vector size="18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租赁</vt:lpstr>
      <vt:lpstr>成交案例</vt:lpstr>
      <vt:lpstr>成交案例(未使用）</vt:lpstr>
      <vt:lpstr>'比较法-住宅'!Print_Area</vt:lpstr>
      <vt:lpstr>基准地价修正!Print_Area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2018-01-05T10:04:35Z</cp:lastPrinted>
  <dcterms:created xsi:type="dcterms:W3CDTF">2015-07-13T07:17:23Z</dcterms:created>
  <dcterms:modified xsi:type="dcterms:W3CDTF">2018-01-08T06:51:24Z</dcterms:modified>
</cp:coreProperties>
</file>