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164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79" r:id="rId34"/>
    <sheet name="造价" sheetId="80" r:id="rId35"/>
    <sheet name="基准地价修正" sheetId="43" state="hidden"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各楼幢价值" sheetId="81" r:id="rId47"/>
  </sheets>
  <externalReferences>
    <externalReference r:id="rId48"/>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 localSheetId="34">[1]区片价!$P$1:$P$40</definedName>
    <definedName name="八级">区片价!$O$1:$O$40</definedName>
    <definedName name="办公层高" localSheetId="33">'[2]比较法-办公'!$B$119:$M$119</definedName>
    <definedName name="办公层高" localSheetId="34">'[1]不动产比较法-办公'!$B$119:$M$119</definedName>
    <definedName name="办公层高">'比较法-办公'!$B$119:$M$119</definedName>
    <definedName name="办公朝向" localSheetId="33">'[2]比较法-办公'!$B$91:$M$91</definedName>
    <definedName name="办公朝向" localSheetId="34">'[1]不动产比较法-办公'!$B$91:$M$91</definedName>
    <definedName name="办公朝向">'比较法-办公'!$B$91:$M$91</definedName>
    <definedName name="办公道路级别" localSheetId="33">'[2]比较法-办公'!$B$87:$M$87</definedName>
    <definedName name="办公道路级别" localSheetId="34">'[1]不动产比较法-办公'!$B$87:$M$87</definedName>
    <definedName name="办公道路级别">'比较法-办公'!$B$87:$M$87</definedName>
    <definedName name="办公公共部分装修" localSheetId="33">'[2]比较法-办公'!$B$108:$M$108</definedName>
    <definedName name="办公公共部分装修" localSheetId="34">'[1]不动产比较法-办公'!$B$108:$M$108</definedName>
    <definedName name="办公公共部分装修">'比较法-办公'!$B$108:$M$108</definedName>
    <definedName name="办公基础设施水平" localSheetId="33">'[2]比较法-办公'!$B$117:$M$117</definedName>
    <definedName name="办公基础设施水平" localSheetId="34">'[1]不动产比较法-办公'!$B$117:$M$117</definedName>
    <definedName name="办公基础设施水平">'比较法-办公'!$B$117:$M$117</definedName>
    <definedName name="办公集聚程度" localSheetId="33">[2]定义!$M$1:$M$6</definedName>
    <definedName name="办公集聚程度" localSheetId="34">[1]定义!$M$1:$M$6</definedName>
    <definedName name="办公集聚程度">定义!$M$1:$M$6</definedName>
    <definedName name="办公建筑结构" localSheetId="33">'[2]比较法-办公'!$B$106:$M$106</definedName>
    <definedName name="办公建筑结构" localSheetId="34">'[1]不动产比较法-办公'!$B$106:$M$106</definedName>
    <definedName name="办公建筑结构">'比较法-办公'!$B$106:$M$106</definedName>
    <definedName name="办公建筑类型" localSheetId="33">'[2]比较法-办公'!$B$101:$M$101</definedName>
    <definedName name="办公建筑类型" localSheetId="34">'[1]不动产比较法-办公'!$B$101:$M$101</definedName>
    <definedName name="办公建筑类型">'比较法-办公'!$B$101:$M$101</definedName>
    <definedName name="办公交易情况" localSheetId="33">'[2]比较法-办公'!$A$62:$M$62</definedName>
    <definedName name="办公交易情况" localSheetId="34">'[1]不动产比较法-办公'!$A$62:$M$62</definedName>
    <definedName name="办公交易情况">'比较法-办公'!$A$62:$M$62</definedName>
    <definedName name="办公楼层" localSheetId="33">'[2]比较法-办公'!$B$89:$M$89</definedName>
    <definedName name="办公楼层" localSheetId="34">'[1]不动产比较法-办公'!$B$89:$M$89</definedName>
    <definedName name="办公楼层">'比较法-办公'!$B$89:$M$89</definedName>
    <definedName name="办公内部装修" localSheetId="33">'[2]比较法-办公'!$B$123:$M$123</definedName>
    <definedName name="办公内部装修" localSheetId="34">'[1]不动产比较法-办公'!$B$123:$M$123</definedName>
    <definedName name="办公内部装修">'比较法-办公'!$B$123:$M$123</definedName>
    <definedName name="办公物业管理" localSheetId="33">'[2]比较法-办公'!$B$115:$M$115</definedName>
    <definedName name="办公物业管理" localSheetId="34">'[1]不动产比较法-办公'!$B$115:$M$115</definedName>
    <definedName name="办公物业管理">'比较法-办公'!$B$115:$M$115</definedName>
    <definedName name="办公用途" localSheetId="33">'[2]比较法-办公'!$B$64:$M$64</definedName>
    <definedName name="办公用途" localSheetId="34">'[1]不动产比较法-办公'!$B$64:$M$64</definedName>
    <definedName name="办公用途">'比较法-办公'!$B$64:$M$64</definedName>
    <definedName name="仓储公共部分装修" localSheetId="33">'[2]比较法-仓储'!$B$77:$M$77</definedName>
    <definedName name="仓储公共部分装修" localSheetId="34">'[1]不动产比较法-仓储'!$B$77:$M$77</definedName>
    <definedName name="仓储公共部分装修">'比较法-仓储'!$B$77:$M$77</definedName>
    <definedName name="仓储交易情况" localSheetId="33">'[2]比较法-仓储'!$A$49:$M$49</definedName>
    <definedName name="仓储交易情况" localSheetId="34">'[1]不动产比较法-仓储'!$A$49:$M$49</definedName>
    <definedName name="仓储交易情况">'比较法-仓储'!$A$49:$M$49</definedName>
    <definedName name="仓储楼层" localSheetId="33">'[2]比较法-仓储'!$B$69:$M$69</definedName>
    <definedName name="仓储楼层" localSheetId="34">'[1]不动产比较法-仓储'!$B$69:$M$69</definedName>
    <definedName name="仓储楼层">'比较法-仓储'!$B$69:$M$69</definedName>
    <definedName name="仓储物业等级" localSheetId="33">'[2]比较法-仓储'!$B$82:$M$82</definedName>
    <definedName name="仓储物业等级" localSheetId="34">'[1]不动产比较法-仓储'!$B$82:$M$82</definedName>
    <definedName name="仓储物业等级">'比较法-仓储'!$B$82:$M$82</definedName>
    <definedName name="仓储用途" localSheetId="33">'[2]比较法-仓储'!$B$51:$M$51</definedName>
    <definedName name="仓储用途" localSheetId="34">'[1]不动产比较法-仓储'!$B$51:$M$51</definedName>
    <definedName name="仓储用途">'比较法-仓储'!$B$51:$M$51</definedName>
    <definedName name="产业集聚程度" localSheetId="33">[2]定义!$N$1:$N$6</definedName>
    <definedName name="产业集聚程度" localSheetId="34">[1]定义!$N$1:$N$6</definedName>
    <definedName name="产业集聚程度">定义!$N$1:$N$6</definedName>
    <definedName name="车位公共部分装修" localSheetId="33">'[2]比较法-车位'!$B$83:$M$83</definedName>
    <definedName name="车位公共部分装修" localSheetId="34">'[1]不动产比较法-车位'!$B$83:$M$83</definedName>
    <definedName name="车位公共部分装修">'比较法-车位'!$B$83:$M$83</definedName>
    <definedName name="车位交易情况" localSheetId="33">'[2]比较法-车位'!$A$51:$M$51</definedName>
    <definedName name="车位交易情况" localSheetId="34">'[1]不动产比较法-车位'!$A$51:$M$51</definedName>
    <definedName name="车位交易情况">'比较法-车位'!$A$51:$M$51</definedName>
    <definedName name="车位类型" localSheetId="33">'[2]比较法-车位'!$B$93:$M$93</definedName>
    <definedName name="车位类型" localSheetId="34">'[1]不动产比较法-车位'!$B$93:$M$93</definedName>
    <definedName name="车位类型">'比较法-车位'!$B$93:$M$93</definedName>
    <definedName name="车位楼层" localSheetId="33">'[2]比较法-车位'!$B$71:$M$71</definedName>
    <definedName name="车位楼层" localSheetId="34">'[1]不动产比较法-车位'!$B$71:$M$71</definedName>
    <definedName name="车位楼层">'比较法-车位'!$B$71:$M$71</definedName>
    <definedName name="车位配套类型" localSheetId="33">'[2]比较法-车位'!$B$79:$M$79</definedName>
    <definedName name="车位配套类型" localSheetId="34">'[1]不动产比较法-车位'!$B$79:$M$79</definedName>
    <definedName name="车位配套类型">'比较法-车位'!$B$79:$M$79</definedName>
    <definedName name="车位物业等级" localSheetId="33">'[2]比较法-车位'!$B$88:$M$88</definedName>
    <definedName name="车位物业等级" localSheetId="34">'[1]不动产比较法-车位'!$B$88:$M$88</definedName>
    <definedName name="车位物业等级">'比较法-车位'!$B$88:$M$88</definedName>
    <definedName name="车位用途" localSheetId="33">'[2]比较法-车位'!$B$53:$M$53</definedName>
    <definedName name="车位用途" localSheetId="34">'[1]不动产比较法-车位'!$B$53:$M$53</definedName>
    <definedName name="车位用途">'比较法-车位'!$B$53:$M$53</definedName>
    <definedName name="城镇土地纳税等级分级范围" localSheetId="33">'[2]数据-取费表'!$A$53:$A$63</definedName>
    <definedName name="城镇土地纳税等级分级范围" localSheetId="34">'[1]数据-取费表'!$A$53:$A$63</definedName>
    <definedName name="城镇土地纳税等级分级范围">'数据-取费表'!$A$53:$A$63</definedName>
    <definedName name="单价内涵" localSheetId="33">[2]定义!$V$1:$V$3</definedName>
    <definedName name="单价内涵" localSheetId="34">[1]定义!$V$1:$V$3</definedName>
    <definedName name="单价内涵">定义!$V$1:$V$3</definedName>
    <definedName name="地类判定" localSheetId="33">[2]定义!$H$1:$H$9</definedName>
    <definedName name="地类判定" localSheetId="34">[1]定义!$H$1:$H$9</definedName>
    <definedName name="地类判定">定义!$H$1:$H$9</definedName>
    <definedName name="二级" localSheetId="34">[1]区片价!$J$1:$J$20</definedName>
    <definedName name="二级">区片价!$I$1:$I$20</definedName>
    <definedName name="二级分类" localSheetId="33">[2]修正!$C$17:$C$39</definedName>
    <definedName name="二级分类" localSheetId="34">[1]修正!$C$17:$C$39</definedName>
    <definedName name="二级分类">修正!$C$17:$C$39</definedName>
    <definedName name="法定最高年限" localSheetId="33">[2]定义!$G$1:$G$4</definedName>
    <definedName name="法定最高年限" localSheetId="34">[1]定义!$G$2:$G$4</definedName>
    <definedName name="法定最高年限">定义!$G$1:$G$4</definedName>
    <definedName name="工业公共部分装修" localSheetId="33">'[2]比较法-工业'!$B$95:$M$95</definedName>
    <definedName name="工业公共部分装修" localSheetId="34">'[1]不动产比较法-工业'!$B$95:$M$95</definedName>
    <definedName name="工业公共部分装修">'比较法-工业'!$B$95:$M$95</definedName>
    <definedName name="工业基础设施水平" localSheetId="33">'[2]比较法-工业'!$B$102:$M$102</definedName>
    <definedName name="工业基础设施水平" localSheetId="34">'[1]不动产比较法-工业'!$B$102:$M$102</definedName>
    <definedName name="工业基础设施水平">'比较法-工业'!$B$102:$M$102</definedName>
    <definedName name="工业建筑结构" localSheetId="33">'[2]比较法-工业'!$B$93:$M$93</definedName>
    <definedName name="工业建筑结构" localSheetId="34">'[1]不动产比较法-工业'!$B$93:$M$93</definedName>
    <definedName name="工业建筑结构">'比较法-工业'!$B$93:$M$93</definedName>
    <definedName name="工业建筑类型" localSheetId="33">'[2]比较法-工业'!$B$88:$M$88</definedName>
    <definedName name="工业建筑类型" localSheetId="34">'[1]不动产比较法-工业'!$B$88:$M$88</definedName>
    <definedName name="工业建筑类型">'比较法-工业'!$B$88:$M$88</definedName>
    <definedName name="工业交易情况" localSheetId="33">'[2]比较法-工业'!$A$55:$M$55</definedName>
    <definedName name="工业交易情况" localSheetId="34">'[1]不动产比较法-工业'!$A$55:$M$55</definedName>
    <definedName name="工业交易情况">'比较法-工业'!$A$55:$M$55</definedName>
    <definedName name="工业内部装修" localSheetId="33">'[2]比较法-工业'!$B$104:$M$104</definedName>
    <definedName name="工业内部装修" localSheetId="34">'[1]不动产比较法-工业'!$B$104:$M$104</definedName>
    <definedName name="工业内部装修">'比较法-工业'!$B$104:$M$104</definedName>
    <definedName name="工业物业管理" localSheetId="33">'[2]比较法-工业'!$B$100:$M$100</definedName>
    <definedName name="工业物业管理" localSheetId="34">'[1]不动产比较法-工业'!$B$100:$M$100</definedName>
    <definedName name="工业物业管理">'比较法-工业'!$B$100:$M$100</definedName>
    <definedName name="工业用途" localSheetId="33">'[2]比较法-工业'!$B$57:$M$57</definedName>
    <definedName name="工业用途" localSheetId="34">'[1]不动产比较法-工业'!$B$57:$M$57</definedName>
    <definedName name="工业用途">'比较法-工业'!$B$57:$M$57</definedName>
    <definedName name="公共配套设施" localSheetId="33">[2]定义!$Q$1:$Q$6</definedName>
    <definedName name="公共配套设施" localSheetId="34">[1]定义!$Q$1:$Q$6</definedName>
    <definedName name="公共配套设施">定义!$Q$1:$Q$6</definedName>
    <definedName name="估价方法" localSheetId="33">[2]定义!$B$1:$B$50</definedName>
    <definedName name="估价方法" localSheetId="34">[1]定义!$B$1:$B$50</definedName>
    <definedName name="估价方法">定义!$B$1:$B$50</definedName>
    <definedName name="环境" localSheetId="33">[2]定义!$S$1:$S$6</definedName>
    <definedName name="环境" localSheetId="34">[1]定义!$S$1:$S$6</definedName>
    <definedName name="环境">定义!$S$1:$S$6</definedName>
    <definedName name="基础设施水平" localSheetId="33">[2]定义!$R$1:$R$6</definedName>
    <definedName name="基础设施水平" localSheetId="34">[1]定义!$R$1:$R$6</definedName>
    <definedName name="基础设施水平">定义!$R$1:$R$6</definedName>
    <definedName name="季度" localSheetId="34">[1]基准地价!$N$19:$AB$19</definedName>
    <definedName name="季度">基准地价修正!$Q$19:$AD$19</definedName>
    <definedName name="季度2014">[1]地价!$A$2:$A$31</definedName>
    <definedName name="价值类型2" localSheetId="33">[2]定义!$B$54:$B$56</definedName>
    <definedName name="价值类型2" localSheetId="34">[1]定义!$B$54:$B$56</definedName>
    <definedName name="价值类型2">定义!$B$54:$B$56</definedName>
    <definedName name="交通便捷度" localSheetId="33">[2]定义!$O$1:$O$6</definedName>
    <definedName name="交通便捷度" localSheetId="34">[1]定义!$O$1:$O$6</definedName>
    <definedName name="交通便捷度">定义!$O$1:$O$6</definedName>
    <definedName name="九级" localSheetId="34">[1]区片价!$Q$1:$Q$46</definedName>
    <definedName name="九级">区片价!$P$1:$P$46</definedName>
    <definedName name="居住社区成熟度" localSheetId="33">[2]定义!$K$1:$K$6</definedName>
    <definedName name="居住社区成熟度" localSheetId="34">[1]定义!$K$1:$K$6</definedName>
    <definedName name="居住社区成熟度">定义!$K$1:$K$6</definedName>
    <definedName name="类别" localSheetId="33">[2]定义!$J$1:$J$3</definedName>
    <definedName name="类别" localSheetId="34">[1]定义!$J$1:$J$3</definedName>
    <definedName name="类别">定义!$J$1:$J$3</definedName>
    <definedName name="临街状况" localSheetId="33">[2]定义!$T$1:$T$5</definedName>
    <definedName name="临街状况" localSheetId="34">[1]定义!$T$1:$T$5</definedName>
    <definedName name="临街状况">定义!$T$1:$T$5</definedName>
    <definedName name="六级" localSheetId="34">[1]区片价!$N$1:$N$49</definedName>
    <definedName name="六级">区片价!$M$1:$M$49</definedName>
    <definedName name="内部装修维护情况" localSheetId="33">[2]定义!$U$1:$U$6</definedName>
    <definedName name="内部装修维护情况" localSheetId="34">[1]定义!$U$1:$U$6</definedName>
    <definedName name="内部装修维护情况">定义!$U$1:$U$6</definedName>
    <definedName name="判定" localSheetId="23">[3]定义!$D$1:$D$4</definedName>
    <definedName name="判定" localSheetId="33">[2]定义!$D$1:$D$4</definedName>
    <definedName name="判定" localSheetId="34">[1]定义!$D$1:$D$4</definedName>
    <definedName name="判定">定义!$D$1:$D$4</definedName>
    <definedName name="七级" localSheetId="34">[1]区片价!$O$1:$O$49</definedName>
    <definedName name="七级">区片价!$N$1:$N$49</definedName>
    <definedName name="七通一平" localSheetId="33">[2]修正!$A$6:$A$14</definedName>
    <definedName name="七通一平" localSheetId="34">[1]修正!$A$6:$A$14</definedName>
    <definedName name="七通一平">修正!$A$6:$A$14</definedName>
    <definedName name="区域土地利用方向" localSheetId="33">[2]定义!$P$1:$P$6</definedName>
    <definedName name="区域土地利用方向" localSheetId="34">[1]定义!$P$1:$P$6</definedName>
    <definedName name="区域土地利用方向">定义!$P$1:$P$6</definedName>
    <definedName name="三级" localSheetId="34">[1]区片价!$K$1:$K$21</definedName>
    <definedName name="三级">区片价!$J$1:$J$21</definedName>
    <definedName name="商业层高" localSheetId="33">'[2]比较法-商业'!$B$116:$M$116</definedName>
    <definedName name="商业层高" localSheetId="34">'[1]不动产比较法-商业'!$B$116:$M$116</definedName>
    <definedName name="商业层高">'比较法-商业'!$B$116:$M$116</definedName>
    <definedName name="商业成新度" localSheetId="34">'[1]不动产比较法-商业'!$B$109:$M$109</definedName>
    <definedName name="商业成新度">'比较法-商业'!$B$109:$M$109</definedName>
    <definedName name="商业繁华度" localSheetId="33">[2]定义!$L$1:$L$6</definedName>
    <definedName name="商业繁华度" localSheetId="34">[1]定义!$L$1:$L$6</definedName>
    <definedName name="商业繁华度">定义!$L$1:$L$6</definedName>
    <definedName name="商业公共部分装修" localSheetId="33">'[2]比较法-商业'!$B$107:$M$107</definedName>
    <definedName name="商业公共部分装修" localSheetId="34">'[1]不动产比较法-商业'!$B$107:$M$107</definedName>
    <definedName name="商业公共部分装修">'比较法-商业'!$B$107:$M$107</definedName>
    <definedName name="商业基础设施水平" localSheetId="33">'[2]比较法-商业'!$B$112:$M$112</definedName>
    <definedName name="商业基础设施水平" localSheetId="34">'[1]不动产比较法-商业'!$B$112:$M$112</definedName>
    <definedName name="商业基础设施水平">'比较法-商业'!$B$112:$M$112</definedName>
    <definedName name="商业建筑结构" localSheetId="33">'[2]比较法-商业'!$B$105:$M$105</definedName>
    <definedName name="商业建筑结构" localSheetId="34">'[1]不动产比较法-商业'!$B$105:$M$105</definedName>
    <definedName name="商业建筑结构">'比较法-商业'!$B$105:$M$105</definedName>
    <definedName name="商业交易情况" localSheetId="33">'[2]比较法-商业'!$A$61:$M$61</definedName>
    <definedName name="商业交易情况" localSheetId="34">'[1]不动产比较法-商业'!$A$61:$M$61</definedName>
    <definedName name="商业交易情况">'比较法-商业'!$A$61:$M$61</definedName>
    <definedName name="商业街名称" localSheetId="33">[2]修正!$C$59:$C$119</definedName>
    <definedName name="商业街名称" localSheetId="34">[1]修正!$C$59:$C$119</definedName>
    <definedName name="商业街名称">修正!$C$59:$C$119</definedName>
    <definedName name="商业进深比" localSheetId="33">'[2]比较法-商业'!$B$120:$M$120</definedName>
    <definedName name="商业进深比" localSheetId="34">'[1]不动产比较法-商业'!$B$120:$M$120</definedName>
    <definedName name="商业进深比">'比较法-商业'!$B$120:$M$120</definedName>
    <definedName name="商业类型" localSheetId="33">'[2]比较法-商业'!$B$100:$M$100</definedName>
    <definedName name="商业类型" localSheetId="34">'[1]不动产比较法-商业'!$B$100:$M$100</definedName>
    <definedName name="商业类型">'比较法-商业'!$B$100:$M$100</definedName>
    <definedName name="商业临街状况" localSheetId="33">'[2]比较法-商业'!$B$86:$M$86</definedName>
    <definedName name="商业临街状况" localSheetId="34">'[1]不动产比较法-商业'!$B$86:$M$86</definedName>
    <definedName name="商业临街状况">'比较法-商业'!$B$86:$M$86</definedName>
    <definedName name="商业楼层" localSheetId="33">'[2]比较法-商业'!$B$92:$M$92</definedName>
    <definedName name="商业楼层" localSheetId="34">'[1]不动产比较法-商业'!$B$92:$M$92</definedName>
    <definedName name="商业楼层">'比较法-商业'!$B$92:$M$92</definedName>
    <definedName name="商业内部装修" localSheetId="33">'[2]比较法-商业'!$B$122:$M$122</definedName>
    <definedName name="商业内部装修" localSheetId="34">'[1]不动产比较法-商业'!$B$122:$M$122</definedName>
    <definedName name="商业内部装修">'比较法-商业'!$B$122:$M$122</definedName>
    <definedName name="商业人流量" localSheetId="33">'[2]比较法-商业'!$B$90:$M$90</definedName>
    <definedName name="商业人流量" localSheetId="34">'[1]不动产比较法-商业'!$B$90:$M$90</definedName>
    <definedName name="商业人流量">'比较法-商业'!$B$90:$M$90</definedName>
    <definedName name="商业业态" localSheetId="33">'[2]比较法-商业'!$B$114:$M$114</definedName>
    <definedName name="商业业态" localSheetId="34">'[1]不动产比较法-商业'!$B$114:$M$114</definedName>
    <definedName name="商业业态">'比较法-商业'!$B$114:$M$114</definedName>
    <definedName name="商业用途" localSheetId="33">'[2]比较法-商业'!$B$63:$M$63</definedName>
    <definedName name="商业用途" localSheetId="34">'[1]不动产比较法-商业'!$B$63:$M$63</definedName>
    <definedName name="商业用途">'比较法-商业'!$B$63:$M$63</definedName>
    <definedName name="十二级" localSheetId="34">[1]区片价!$T$1:$T$8</definedName>
    <definedName name="十二级">区片价!$S$1:$S$8</definedName>
    <definedName name="十级" localSheetId="34">[1]区片价!$R$1:$R$27</definedName>
    <definedName name="十级">区片价!$Q$1:$Q$27</definedName>
    <definedName name="十一级" localSheetId="34">[1]区片价!$S$1:$S$22</definedName>
    <definedName name="十一级">区片价!$R$1:$R$22</definedName>
    <definedName name="是否封闭" localSheetId="33">'[2]比较法-仓储'!$B$89:$M$89</definedName>
    <definedName name="是否封闭" localSheetId="34">'[1]不动产比较法-仓储'!$B$89:$M$89</definedName>
    <definedName name="是否封闭">'比较法-仓储'!$B$89:$M$89</definedName>
    <definedName name="是否直接入户" localSheetId="33">'[2]比较法-车位'!$B$95:$M$95</definedName>
    <definedName name="是否直接入户" localSheetId="34">'[1]不动产比较法-车位'!$B$95:$M$95</definedName>
    <definedName name="是否直接入户">'比较法-车位'!$B$95:$M$95</definedName>
    <definedName name="四级" localSheetId="34">[1]区片价!$L$1:$L$28</definedName>
    <definedName name="四级">区片价!$K$1:$K$28</definedName>
    <definedName name="套工道路等级" localSheetId="33">'[2]土地比较法-工业'!$B$97:$M$97</definedName>
    <definedName name="套工道路等级" localSheetId="34">'[4]土地比较法-工业'!$B$97:$M$97</definedName>
    <definedName name="套工道路等级">'土地比较法-工业'!$B$97:$M$97</definedName>
    <definedName name="套工地质条件" localSheetId="33">'[2]土地比较法-工业'!$B$114:$M$114</definedName>
    <definedName name="套工地质条件" localSheetId="34">'[4]土地比较法-工业'!$B$114:$M$114</definedName>
    <definedName name="套工地质条件">'土地比较法-工业'!$B$114:$M$114</definedName>
    <definedName name="套工工程地质条件">'[1]比较法-工业'!$B$116:$M$116</definedName>
    <definedName name="套工交易情况" localSheetId="33">'[2]土地比较法-住宅、综合'!$A$73:$M$73</definedName>
    <definedName name="套工交易情况" localSheetId="34">'[1]比较法-住宅、综合'!$A$75:$M$75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33">'[2]土地比较法-工业'!$B$99:$M$99</definedName>
    <definedName name="套工土地级别" localSheetId="34">'[1]比较法-工业'!$B$101:$M$101</definedName>
    <definedName name="套工土地级别">'土地比较法-工业'!$B$99:$M$99</definedName>
    <definedName name="套工用途" localSheetId="33">'[2]土地比较法-工业'!$B$70:$M$70</definedName>
    <definedName name="套工用途" localSheetId="34">'[1]比较法-工业'!$B$72:$M$72</definedName>
    <definedName name="套工用途">'土地比较法-工业'!$B$70:$M$70</definedName>
    <definedName name="套工宗地开发程度" localSheetId="33">'[2]土地比较法-工业'!$B$112:$M$112</definedName>
    <definedName name="套工宗地开发程度" localSheetId="34">'[4]土地比较法-工业'!$B$112:$M$112</definedName>
    <definedName name="套工宗地开发程度">'土地比较法-工业'!$B$112:$M$112</definedName>
    <definedName name="套工宗地形状" localSheetId="33">'[2]土地比较法-工业'!$B$110:$M$110</definedName>
    <definedName name="套工宗地形状" localSheetId="34">'[1]比较法-工业'!$B$112:$M$112</definedName>
    <definedName name="套工宗地形状">'土地比较法-工业'!$B$110:$M$110</definedName>
    <definedName name="套综道路等级" localSheetId="33">'[2]土地比较法-住宅、综合'!$B$106:$M$106</definedName>
    <definedName name="套综道路等级" localSheetId="34">'[1]比较法-住宅、综合'!$B$108:$M$108</definedName>
    <definedName name="套综道路等级">'土地比较法-住宅、综合'!$B$106:$M$106</definedName>
    <definedName name="套综工程地质条件" localSheetId="33">'[2]土地比较法-住宅、综合'!$B$125:$M$125</definedName>
    <definedName name="套综工程地质条件" localSheetId="34">'[1]比较法-住宅、综合'!$B$127:$M$127</definedName>
    <definedName name="套综工程地质条件">'土地比较法-住宅、综合'!$B$125:$M$125</definedName>
    <definedName name="套综交易情况" localSheetId="33">'[2]土地比较法-住宅、综合'!$A$73:$M$73</definedName>
    <definedName name="套综交易情况" localSheetId="34">'[1]比较法-住宅、综合'!$A$75:$M$75</definedName>
    <definedName name="套综交易情况">'土地比较法-住宅、综合'!$A$73:$M$73</definedName>
    <definedName name="套综临街宽度及深度" localSheetId="33">'[2]土地比较法-住宅、综合'!$B$121:$M$121</definedName>
    <definedName name="套综临街宽度及深度" localSheetId="34">'[1]比较法-住宅、综合'!$B$123:$M$123</definedName>
    <definedName name="套综临街宽度及深度">'土地比较法-住宅、综合'!$B$121:$M$121</definedName>
    <definedName name="套综土地级别" localSheetId="33">'[2]土地比较法-住宅、综合'!$B$108:$M$108</definedName>
    <definedName name="套综土地级别" localSheetId="34">'[1]比较法-住宅、综合'!$B$110:$M$110</definedName>
    <definedName name="套综土地级别">'土地比较法-住宅、综合'!$B$108:$M$108</definedName>
    <definedName name="套综用途" localSheetId="33">'[2]土地比较法-住宅、综合'!$B$75:$M$75</definedName>
    <definedName name="套综用途" localSheetId="34">'[1]比较法-住宅、综合'!$B$77:$M$77</definedName>
    <definedName name="套综用途">'土地比较法-住宅、综合'!$B$75:$M$75</definedName>
    <definedName name="套综宗地内开发程度" localSheetId="33">'[2]土地比较法-住宅、综合'!$B$123:$M$123</definedName>
    <definedName name="套综宗地内开发程度" localSheetId="34">'[1]比较法-住宅、综合'!$B$125:$M$125</definedName>
    <definedName name="套综宗地内开发程度">'土地比较法-住宅、综合'!$B$123:$M$123</definedName>
    <definedName name="套综宗地形状" localSheetId="33">'[2]土地比较法-住宅、综合'!$B$119:$M$119</definedName>
    <definedName name="套综宗地形状" localSheetId="34">'[1]比较法-住宅、综合'!$B$121:$M$121</definedName>
    <definedName name="套综宗地形状">'土地比较法-住宅、综合'!$B$119:$M$119</definedName>
    <definedName name="土地估价师" localSheetId="34">[1]估价师及机构信息!$D$3:$D$24</definedName>
    <definedName name="土地估价师">估价师及机构信息!$D$3:$D$24</definedName>
    <definedName name="土地级别" localSheetId="33">[2]定义!$C$1:$C$14</definedName>
    <definedName name="土地级别" localSheetId="34">[1]定义!$C$1:$C$14</definedName>
    <definedName name="土地级别">定义!$C$1:$C$14</definedName>
    <definedName name="土地利用方向" localSheetId="34">[1]定义!$P$1:$P$6</definedName>
    <definedName name="土地利用方向">定义!$P$1:$P$6</definedName>
    <definedName name="土地年限区间" localSheetId="33">[2]定义!$I$1:$I$8</definedName>
    <definedName name="土地年限区间" localSheetId="34">[1]定义!$I$1:$I$8</definedName>
    <definedName name="土地年限区间">定义!$I$1:$I$8</definedName>
    <definedName name="位置" localSheetId="33">[2]定义!$E$2:$E$4</definedName>
    <definedName name="位置" localSheetId="34">[1]定义!$E$2:$E$4</definedName>
    <definedName name="位置">定义!$E$2:$E$4</definedName>
    <definedName name="五等判定" localSheetId="33">[2]定义!$W$1:$W$6</definedName>
    <definedName name="五等判定" localSheetId="34">[1]定义!$W$1:$W$6</definedName>
    <definedName name="五等判定">定义!$W$1:$W$6</definedName>
    <definedName name="五级" localSheetId="34">[1]区片价!$M$1:$M$35</definedName>
    <definedName name="五级">区片价!$L$1:$L$35</definedName>
    <definedName name="项目类型" localSheetId="23">'[3]数据-汇总表'!$C$17:$C$26</definedName>
    <definedName name="项目类型" localSheetId="33">'[2]数据-汇总表'!$C$17:$C$26</definedName>
    <definedName name="项目类型" localSheetId="34">'[1]数据-汇总表'!$C$17:$C$26</definedName>
    <definedName name="项目类型">'数据-汇总表'!$C$17:$C$26</definedName>
    <definedName name="写字楼等级" localSheetId="33">'[2]比较法-办公'!$B$113:$M$113</definedName>
    <definedName name="写字楼等级" localSheetId="34">'[1]不动产比较法-办公'!$B$113:$M$113</definedName>
    <definedName name="写字楼等级">'比较法-办公'!$B$113:$M$113</definedName>
    <definedName name="一级" localSheetId="34">[1]区片价!$I$1:$I$6</definedName>
    <definedName name="一级">区片价!$H$1:$H$6</definedName>
    <definedName name="一修多修正项2" localSheetId="33">[2]典型户型修正!$5:$5</definedName>
    <definedName name="一修多修正项2" localSheetId="34">[1]典型户型修正!$5:$5</definedName>
    <definedName name="一修多修正项2">典型户型修正!$5:$5</definedName>
    <definedName name="一修多修正项3" localSheetId="33">[2]典型户型修正!$7:$7</definedName>
    <definedName name="一修多修正项3" localSheetId="34">[1]典型户型修正!$7:$7</definedName>
    <definedName name="一修多修正项3">典型户型修正!$7:$7</definedName>
    <definedName name="一修多修正项4" localSheetId="33">[2]典型户型修正!$9:$9</definedName>
    <definedName name="一修多修正项4" localSheetId="34">[1]典型户型修正!$9:$9</definedName>
    <definedName name="一修多修正项4">典型户型修正!$9:$9</definedName>
    <definedName name="一修多修正项5" localSheetId="33">[2]典型户型修正!$11:$11</definedName>
    <definedName name="一修多修正项5" localSheetId="34">[1]典型户型修正!$11:$11</definedName>
    <definedName name="一修多修正项5">典型户型修正!$11:$11</definedName>
    <definedName name="一修多修正项6" localSheetId="33">[2]典型户型修正!$13:$13</definedName>
    <definedName name="一修多修正项6" localSheetId="34">[1]典型户型修正!$13:$13</definedName>
    <definedName name="一修多修正项6">典型户型修正!$13:$13</definedName>
    <definedName name="一修多修正项7" localSheetId="33">[2]典型户型修正!$15:$15</definedName>
    <definedName name="一修多修正项7" localSheetId="34">[1]典型户型修正!$15:$15</definedName>
    <definedName name="一修多修正项7">典型户型修正!$15:$15</definedName>
    <definedName name="一修多修正项8" localSheetId="33">[2]典型户型修正!$17:$17</definedName>
    <definedName name="一修多修正项8" localSheetId="34">[1]典型户型修正!$17:$17</definedName>
    <definedName name="一修多修正项8">典型户型修正!$17:$17</definedName>
    <definedName name="用途类型">[1]定义!$A$1:$A$50</definedName>
    <definedName name="用途明细" localSheetId="33">[2]定义!$A$1:$A$50</definedName>
    <definedName name="用途明细" localSheetId="34">[4]定义!$A$1:$A$50</definedName>
    <definedName name="用途明细">定义!$A$1:$A$50</definedName>
    <definedName name="有无电梯" localSheetId="33">'[2]比较法-仓储'!$B$84:$M$84</definedName>
    <definedName name="有无电梯" localSheetId="34">'[1]不动产比较法-仓储'!$B$84:$M$84</definedName>
    <definedName name="有无电梯">'比较法-仓储'!$B$84:$M$84</definedName>
    <definedName name="主用途" localSheetId="33">[2]定义!$F$1:$F$10</definedName>
    <definedName name="主用途" localSheetId="34">[1]定义!$F$1:$F$10</definedName>
    <definedName name="主用途">定义!$F$1:$F$10</definedName>
    <definedName name="住宅朝向" localSheetId="33">'[2]比较法-住宅'!$B$88:$M$88</definedName>
    <definedName name="住宅朝向" localSheetId="34">'[1]不动产比较法-住宅'!$B$88:$M$88</definedName>
    <definedName name="住宅朝向">'比较法-住宅'!$B$88:$M$88</definedName>
    <definedName name="住宅房型" localSheetId="33">'[2]比较法-住宅'!$B$118:$M$118</definedName>
    <definedName name="住宅房型" localSheetId="34">'[1]不动产比较法-住宅'!$B$118:$M$118</definedName>
    <definedName name="住宅房型">'比较法-住宅'!$B$118:$M$118</definedName>
    <definedName name="住宅公共部分装修" localSheetId="33">'[2]比较法-住宅'!$B$109:$M$109</definedName>
    <definedName name="住宅公共部分装修" localSheetId="34">'[1]不动产比较法-住宅'!$B$109:$M$109</definedName>
    <definedName name="住宅公共部分装修">'比较法-住宅'!$B$109:$M$109</definedName>
    <definedName name="住宅基础设施水平" localSheetId="33">'[2]比较法-住宅'!$B$116:$M$116</definedName>
    <definedName name="住宅基础设施水平" localSheetId="34">'[1]不动产比较法-住宅'!$B$116:$M$116</definedName>
    <definedName name="住宅基础设施水平">'比较法-住宅'!$B$116:$M$116</definedName>
    <definedName name="住宅建筑结构" localSheetId="33">'[2]比较法-住宅'!$B$105:$M$105</definedName>
    <definedName name="住宅建筑结构" localSheetId="34">'[1]不动产比较法-住宅'!$B$105:$M$105</definedName>
    <definedName name="住宅建筑结构">'比较法-住宅'!$B$105:$M$105</definedName>
    <definedName name="住宅建筑类型" localSheetId="33">'[2]比较法-住宅'!$B$100:$M$100</definedName>
    <definedName name="住宅建筑类型" localSheetId="34">'[1]不动产比较法-住宅'!$B$100:$M$100</definedName>
    <definedName name="住宅建筑类型">'比较法-住宅'!$B$100:$M$100</definedName>
    <definedName name="住宅建筑品质" localSheetId="33">'[2]比较法-住宅'!$B$107:$M$107</definedName>
    <definedName name="住宅建筑品质" localSheetId="34">'[1]不动产比较法-住宅'!$B$107:$M$107</definedName>
    <definedName name="住宅建筑品质">'比较法-住宅'!$B$107:$M$107</definedName>
    <definedName name="住宅交易情况" localSheetId="33">'[2]比较法-住宅'!$A$61:$M$61</definedName>
    <definedName name="住宅交易情况" localSheetId="34">'[1]不动产比较法-住宅'!$A$61:$M$61</definedName>
    <definedName name="住宅交易情况">'比较法-住宅'!$A$61:$M$61</definedName>
    <definedName name="住宅楼层" localSheetId="33">'[2]比较法-住宅'!$B$86:$M$86</definedName>
    <definedName name="住宅楼层" localSheetId="34">'[1]不动产比较法-住宅'!$B$86:$M$86</definedName>
    <definedName name="住宅楼层">'比较法-住宅'!$B$86:$M$86</definedName>
    <definedName name="住宅内部装修" localSheetId="33">'[2]比较法-住宅'!$B$122:$M$122</definedName>
    <definedName name="住宅内部装修" localSheetId="34">'[1]不动产比较法-住宅'!$B$122:$M$122</definedName>
    <definedName name="住宅内部装修">'比较法-住宅'!$B$122:$M$122</definedName>
    <definedName name="住宅物业管理" localSheetId="33">'[2]比较法-住宅'!$B$114:$M$114</definedName>
    <definedName name="住宅物业管理" localSheetId="34">'[1]不动产比较法-住宅'!$B$114:$M$114</definedName>
    <definedName name="住宅物业管理">'比较法-住宅'!$B$114:$M$114</definedName>
    <definedName name="住宅用途" localSheetId="33">'[2]比较法-住宅'!$B$63:$M$63</definedName>
    <definedName name="住宅用途" localSheetId="34">'[1]不动产比较法-住宅'!$B$63:$M$63</definedName>
    <definedName name="住宅用途">'比较法-住宅'!$B$63:$M$63</definedName>
    <definedName name="住宅主力户型面积" localSheetId="34">'[1]不动产比较法-住宅'!$B$120:$M$120</definedName>
    <definedName name="住宅主力户型面积">'比较法-住宅'!$B$120:$M$120</definedName>
    <definedName name="注册房地产估价师" localSheetId="33">[2]估价师及机构信息!$A$3:$A$16</definedName>
    <definedName name="注册房地产估价师" localSheetId="34">[1]估价师及机构信息!$A$3:$A$24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F19" i="81" l="1"/>
  <c r="G19" i="81" s="1"/>
  <c r="E35" i="81"/>
  <c r="E34" i="81"/>
  <c r="E33" i="81"/>
  <c r="E32" i="81"/>
  <c r="E31" i="81"/>
  <c r="E30" i="81"/>
  <c r="B35" i="81"/>
  <c r="B20" i="81"/>
  <c r="D12" i="81"/>
  <c r="C12" i="81"/>
  <c r="C11" i="81"/>
  <c r="D11" i="81" s="1"/>
  <c r="E17" i="81" s="1"/>
  <c r="E16" i="81" l="1"/>
  <c r="E15" i="81"/>
  <c r="AH6" i="1"/>
  <c r="G15" i="81" l="1"/>
  <c r="E18" i="81"/>
  <c r="AC26" i="1"/>
  <c r="AB26" i="1"/>
  <c r="AA26" i="1"/>
  <c r="Z26" i="1"/>
  <c r="AB20" i="1"/>
  <c r="E20" i="81" l="1"/>
  <c r="S3" i="79"/>
  <c r="S22" i="1" l="1"/>
  <c r="Q25" i="1" s="1"/>
  <c r="Z6" i="79"/>
  <c r="Z5" i="79"/>
  <c r="Z3" i="79"/>
  <c r="T22" i="1" l="1"/>
  <c r="T21" i="1"/>
  <c r="T20" i="1"/>
  <c r="T19" i="1"/>
  <c r="T18" i="1"/>
  <c r="T17" i="1"/>
  <c r="N17" i="1" l="1"/>
  <c r="M17" i="1"/>
  <c r="K20" i="1"/>
  <c r="K22" i="1"/>
  <c r="K24" i="1" s="1"/>
  <c r="M8" i="80"/>
  <c r="I41" i="40"/>
  <c r="G41" i="40"/>
  <c r="E41" i="40"/>
  <c r="Y6" i="79"/>
  <c r="Y5" i="79"/>
  <c r="Y3" i="79"/>
  <c r="X3" i="79"/>
  <c r="D39" i="43"/>
  <c r="D37" i="43"/>
  <c r="D29" i="43"/>
  <c r="T6" i="79"/>
  <c r="T5" i="79"/>
  <c r="T3" i="79"/>
  <c r="S6" i="79"/>
  <c r="S5" i="79"/>
  <c r="I34" i="40"/>
  <c r="G34" i="40"/>
  <c r="E34" i="40"/>
  <c r="I7" i="40"/>
  <c r="G7" i="40"/>
  <c r="E7" i="40"/>
  <c r="I5" i="40"/>
  <c r="G5" i="40"/>
  <c r="E5" i="40"/>
  <c r="O16" i="79"/>
  <c r="O15" i="79"/>
  <c r="O14" i="79"/>
  <c r="O13" i="79"/>
  <c r="O12" i="79"/>
  <c r="O11" i="79"/>
  <c r="O10" i="79"/>
  <c r="O9" i="79"/>
  <c r="O8" i="79"/>
  <c r="O7" i="79"/>
  <c r="O6" i="79"/>
  <c r="O5" i="79"/>
  <c r="O4" i="79"/>
  <c r="O3" i="79"/>
  <c r="O2" i="79"/>
  <c r="AD19" i="1"/>
  <c r="N14" i="1"/>
  <c r="L14" i="1"/>
  <c r="AI18" i="1"/>
  <c r="W18" i="1"/>
  <c r="AD17" i="1"/>
  <c r="AB17" i="1"/>
  <c r="M18" i="1"/>
  <c r="G19" i="6"/>
  <c r="F19" i="6"/>
  <c r="M17" i="3"/>
  <c r="N19" i="1" l="1"/>
  <c r="AI17" i="1"/>
  <c r="AF17" i="1"/>
  <c r="AD18" i="1"/>
  <c r="AF18" i="1" s="1"/>
  <c r="AD20" i="1"/>
  <c r="AI19" i="1"/>
  <c r="AE17" i="1"/>
  <c r="AE18" i="1"/>
  <c r="AI20" i="1" l="1"/>
  <c r="AI21" i="1" s="1"/>
  <c r="AE20" i="1"/>
  <c r="AD21" i="1"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1" i="1"/>
  <c r="I15" i="4"/>
  <c r="G41" i="43" s="1"/>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D78" i="9" s="1"/>
  <c r="BQ13" i="3"/>
  <c r="BQ14" i="3"/>
  <c r="BQ15" i="3"/>
  <c r="BQ16" i="3"/>
  <c r="BQ17" i="3"/>
  <c r="BQ5" i="3" s="1"/>
  <c r="F28" i="6" s="1"/>
  <c r="BS13" i="3"/>
  <c r="BS14" i="3"/>
  <c r="BS15" i="3"/>
  <c r="BS16" i="3"/>
  <c r="BS17" i="3"/>
  <c r="BR14" i="3"/>
  <c r="BR15" i="3"/>
  <c r="BR16" i="3"/>
  <c r="BR17" i="3"/>
  <c r="BT13" i="3"/>
  <c r="BT14" i="3"/>
  <c r="BT15" i="3"/>
  <c r="BT16" i="3"/>
  <c r="BT17" i="3"/>
  <c r="BT5" i="3" s="1"/>
  <c r="BM14" i="3"/>
  <c r="BM15" i="3"/>
  <c r="BM16" i="3"/>
  <c r="BM17" i="3"/>
  <c r="BM5" i="3" s="1"/>
  <c r="F29" i="6" s="1"/>
  <c r="BO13" i="3"/>
  <c r="BO14" i="3"/>
  <c r="BO15" i="3"/>
  <c r="BO16" i="3"/>
  <c r="BO17" i="3"/>
  <c r="BN13" i="3"/>
  <c r="BN14" i="3"/>
  <c r="BN15" i="3"/>
  <c r="BL15" i="3" s="1"/>
  <c r="BN16" i="3"/>
  <c r="BN17" i="3"/>
  <c r="BP13" i="3"/>
  <c r="BP14" i="3"/>
  <c r="BP15" i="3"/>
  <c r="BP16" i="3"/>
  <c r="BP17" i="3"/>
  <c r="E19" i="6"/>
  <c r="E20" i="6"/>
  <c r="E21" i="6"/>
  <c r="K8" i="1"/>
  <c r="M8" i="1" s="1"/>
  <c r="O8" i="1" s="1"/>
  <c r="F23" i="15"/>
  <c r="D24" i="15"/>
  <c r="M13" i="1"/>
  <c r="O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F5" i="3" s="1"/>
  <c r="BG17" i="3"/>
  <c r="BH17" i="3"/>
  <c r="BI17" i="3"/>
  <c r="BJ17" i="3"/>
  <c r="BJ5" i="3" s="1"/>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B120" i="40"/>
  <c r="B118" i="40"/>
  <c r="J39" i="40"/>
  <c r="B116" i="40"/>
  <c r="F38" i="40"/>
  <c r="AA38" i="40" s="1"/>
  <c r="D115" i="40"/>
  <c r="E115" i="40"/>
  <c r="F115" i="40"/>
  <c r="G115" i="40"/>
  <c r="H115" i="40"/>
  <c r="I115" i="40"/>
  <c r="J115" i="40"/>
  <c r="K115" i="40"/>
  <c r="L115" i="40"/>
  <c r="M115" i="40"/>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s="1"/>
  <c r="Q39" i="40"/>
  <c r="Z39" i="40" s="1"/>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s="1"/>
  <c r="G16" i="20"/>
  <c r="B82" i="43" s="1"/>
  <c r="G15" i="20"/>
  <c r="B81" i="43" s="1"/>
  <c r="C24" i="20"/>
  <c r="B73" i="43"/>
  <c r="C21" i="20"/>
  <c r="B74" i="43"/>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s="1"/>
  <c r="H36" i="40"/>
  <c r="AB36" i="40" s="1"/>
  <c r="F35" i="40"/>
  <c r="AA3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c r="F33" i="40"/>
  <c r="AA33" i="40"/>
  <c r="H33" i="40"/>
  <c r="U33" i="40"/>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J36" i="40"/>
  <c r="W36"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A118" i="9"/>
  <c r="A4" i="52"/>
  <c r="B41" i="72"/>
  <c r="J11" i="39"/>
  <c r="W11" i="39"/>
  <c r="F11" i="39"/>
  <c r="AA11" i="39"/>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AZ309" i="3"/>
  <c r="AZ317" i="3"/>
  <c r="AZ325" i="3"/>
  <c r="AZ333" i="3"/>
  <c r="AZ341" i="3"/>
  <c r="AC5" i="3"/>
  <c r="AZ549" i="3"/>
  <c r="AZ506" i="3"/>
  <c r="AZ496" i="3"/>
  <c r="G548" i="3"/>
  <c r="G538" i="3"/>
  <c r="G520" i="3"/>
  <c r="G502" i="3"/>
  <c r="BS5" i="3"/>
  <c r="BP5" i="3"/>
  <c r="BN5" i="3"/>
  <c r="G29" i="6" s="1"/>
  <c r="AZ343" i="3"/>
  <c r="BK5" i="3"/>
  <c r="BI5" i="3"/>
  <c r="BG5" i="3"/>
  <c r="BE5" i="3"/>
  <c r="BC5" i="3"/>
  <c r="G17" i="3"/>
  <c r="BA17" i="3"/>
  <c r="AZ350" i="3"/>
  <c r="AZ352" i="3"/>
  <c r="AZ356" i="3"/>
  <c r="AZ360" i="3"/>
  <c r="AZ364" i="3"/>
  <c r="AZ368" i="3"/>
  <c r="BA15" i="3"/>
  <c r="BR5" i="3"/>
  <c r="AZ380" i="3"/>
  <c r="AZ384" i="3"/>
  <c r="AZ388" i="3"/>
  <c r="AZ392" i="3"/>
  <c r="AZ396" i="3"/>
  <c r="AZ394" i="3"/>
  <c r="AZ499" i="3"/>
  <c r="AZ509" i="3"/>
  <c r="E8" i="6"/>
  <c r="F27" i="6" s="1"/>
  <c r="G509" i="3"/>
  <c r="BL493" i="3"/>
  <c r="AZ491" i="3"/>
  <c r="AZ376" i="3"/>
  <c r="AZ390" i="3"/>
  <c r="AZ382" i="3"/>
  <c r="AZ493" i="3"/>
  <c r="F36" i="43"/>
  <c r="H113" i="43"/>
  <c r="F48" i="43"/>
  <c r="H52" i="43" s="1"/>
  <c r="F70" i="43"/>
  <c r="H73" i="43" s="1"/>
  <c r="M11" i="43"/>
  <c r="D17" i="43"/>
  <c r="F39" i="43"/>
  <c r="I17" i="43"/>
  <c r="F35" i="43"/>
  <c r="J17" i="43"/>
  <c r="F6" i="1"/>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s="1"/>
  <c r="AC29" i="35"/>
  <c r="W29" i="35"/>
  <c r="H35" i="37"/>
  <c r="U35" i="37"/>
  <c r="AC14" i="35"/>
  <c r="H20" i="35"/>
  <c r="U20" i="35"/>
  <c r="F20" i="35"/>
  <c r="AA20" i="35"/>
  <c r="AB23" i="35"/>
  <c r="AB29" i="36"/>
  <c r="U29" i="36"/>
  <c r="H32" i="37"/>
  <c r="AB32" i="37"/>
  <c r="F96" i="37"/>
  <c r="H27" i="40"/>
  <c r="U27" i="40"/>
  <c r="J27" i="40"/>
  <c r="AC27" i="40"/>
  <c r="F27" i="40"/>
  <c r="S27" i="40"/>
  <c r="J30" i="40"/>
  <c r="AC30" i="40" s="1"/>
  <c r="F30" i="40"/>
  <c r="AA30" i="40" s="1"/>
  <c r="S31" i="39"/>
  <c r="E98" i="40"/>
  <c r="F98" i="40"/>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K6" i="1"/>
  <c r="M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AZ80" i="3"/>
  <c r="AZ84" i="3"/>
  <c r="AZ88" i="3"/>
  <c r="AZ107" i="3"/>
  <c r="AZ111" i="3"/>
  <c r="K12" i="1"/>
  <c r="M12" i="1" s="1"/>
  <c r="O12" i="1" s="1"/>
  <c r="S13" i="1"/>
  <c r="R13" i="1"/>
  <c r="S11" i="1"/>
  <c r="AQ11" i="1" s="1"/>
  <c r="R11" i="1"/>
  <c r="S9" i="1"/>
  <c r="R9" i="1"/>
  <c r="J51" i="67"/>
  <c r="C42" i="1"/>
  <c r="C77" i="9" s="1"/>
  <c r="C74" i="9" s="1"/>
  <c r="H100" i="43"/>
  <c r="AC34" i="33"/>
  <c r="AA34" i="33"/>
  <c r="B41" i="1"/>
  <c r="F48" i="9" s="1"/>
  <c r="O52" i="9" s="1"/>
  <c r="S22" i="31"/>
  <c r="J100" i="43"/>
  <c r="S35" i="40"/>
  <c r="AC36" i="40"/>
  <c r="W38" i="40"/>
  <c r="AA32" i="40"/>
  <c r="AB27" i="40"/>
  <c r="S30" i="40"/>
  <c r="AA19"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BL17" i="3"/>
  <c r="BL13" i="3"/>
  <c r="J56" i="9"/>
  <c r="J57" i="9" s="1"/>
  <c r="J59" i="9" s="1"/>
  <c r="J61" i="9" s="1"/>
  <c r="A24" i="51"/>
  <c r="B18" i="72"/>
  <c r="U29" i="34"/>
  <c r="E5" i="6"/>
  <c r="D9" i="11" s="1"/>
  <c r="C9" i="11" s="1"/>
  <c r="E32" i="6"/>
  <c r="L19" i="6"/>
  <c r="G1" i="68"/>
  <c r="K1" i="12"/>
  <c r="E19" i="69"/>
  <c r="E19" i="68"/>
  <c r="E19" i="11"/>
  <c r="E1" i="73"/>
  <c r="G22" i="69"/>
  <c r="G22" i="68"/>
  <c r="G26" i="12"/>
  <c r="G22" i="11"/>
  <c r="C100" i="43"/>
  <c r="E11" i="43"/>
  <c r="E10" i="43"/>
  <c r="E9" i="43"/>
  <c r="E8" i="43"/>
  <c r="C7" i="43"/>
  <c r="E81" i="43"/>
  <c r="B79" i="43"/>
  <c r="E48" i="43"/>
  <c r="B46" i="43"/>
  <c r="E70" i="43"/>
  <c r="B68" i="43"/>
  <c r="F100" i="43"/>
  <c r="H17" i="43"/>
  <c r="G6" i="1"/>
  <c r="H53" i="43"/>
  <c r="H78" i="43"/>
  <c r="H71" i="43"/>
  <c r="C17" i="43"/>
  <c r="F33" i="43"/>
  <c r="K17" i="43"/>
  <c r="F34" i="43"/>
  <c r="N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H66" i="43"/>
  <c r="H65" i="43"/>
  <c r="H64" i="43"/>
  <c r="H63" i="43"/>
  <c r="H55" i="43"/>
  <c r="H56" i="43"/>
  <c r="H72" i="43"/>
  <c r="L20" i="6"/>
  <c r="E51" i="40"/>
  <c r="B6" i="1"/>
  <c r="E6" i="1" s="1"/>
  <c r="S8" i="1"/>
  <c r="AR8" i="1" s="1"/>
  <c r="K11" i="1"/>
  <c r="M11" i="1" s="1"/>
  <c r="AP6" i="1"/>
  <c r="B9" i="1"/>
  <c r="E9" i="1"/>
  <c r="K7" i="1"/>
  <c r="M7" i="1" s="1"/>
  <c r="G1" i="15"/>
  <c r="G1" i="69"/>
  <c r="G1" i="67"/>
  <c r="U32" i="40"/>
  <c r="AB31" i="40"/>
  <c r="S37" i="40"/>
  <c r="AB28" i="40"/>
  <c r="W28" i="40"/>
  <c r="W34" i="40"/>
  <c r="W27" i="40"/>
  <c r="S36"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7" i="40"/>
  <c r="C21" i="40"/>
  <c r="U30" i="40"/>
  <c r="B54" i="43"/>
  <c r="B65" i="43"/>
  <c r="B49" i="43"/>
  <c r="B52" i="43"/>
  <c r="B56" i="43"/>
  <c r="B60" i="43"/>
  <c r="B63" i="43"/>
  <c r="B67" i="43"/>
  <c r="D23" i="15"/>
  <c r="D22" i="15"/>
  <c r="E4" i="4"/>
  <c r="B5" i="62" s="1"/>
  <c r="B73" i="72" s="1"/>
  <c r="C4" i="4"/>
  <c r="O6" i="1"/>
  <c r="T11" i="1"/>
  <c r="AR11" i="1"/>
  <c r="T13" i="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Q8" i="1"/>
  <c r="R22" i="31"/>
  <c r="L27" i="6"/>
  <c r="AP7" i="1"/>
  <c r="AB45" i="21"/>
  <c r="AC33" i="21"/>
  <c r="W33" i="21"/>
  <c r="S33" i="21"/>
  <c r="AA33" i="21"/>
  <c r="W32" i="21"/>
  <c r="AC32" i="21"/>
  <c r="AB9" i="21"/>
  <c r="U9" i="21"/>
  <c r="AA32" i="21"/>
  <c r="S32" i="21"/>
  <c r="W9" i="21"/>
  <c r="AC9" i="21"/>
  <c r="AB32" i="21"/>
  <c r="U32" i="21"/>
  <c r="AA10" i="21"/>
  <c r="S10" i="2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R8" i="1"/>
  <c r="AE7" i="1"/>
  <c r="AE8" i="1"/>
  <c r="AG6" i="1"/>
  <c r="H109" i="9"/>
  <c r="H110" i="9"/>
  <c r="D18" i="53" s="1"/>
  <c r="B35" i="72" s="1"/>
  <c r="D124" i="9"/>
  <c r="D16" i="53"/>
  <c r="B34" i="72" s="1"/>
  <c r="D10" i="52"/>
  <c r="H14" i="74"/>
  <c r="D17" i="53"/>
  <c r="B36" i="72" s="1"/>
  <c r="D125" i="9"/>
  <c r="D11" i="52" s="1"/>
  <c r="B7" i="74"/>
  <c r="H112" i="9"/>
  <c r="D21" i="53" s="1"/>
  <c r="B39" i="72" s="1"/>
  <c r="H111" i="9"/>
  <c r="D126" i="9"/>
  <c r="I14" i="74" s="1"/>
  <c r="B8" i="74" s="1"/>
  <c r="D19" i="53"/>
  <c r="B38" i="72"/>
  <c r="D20" i="53"/>
  <c r="B40" i="72"/>
  <c r="AD3" i="71"/>
  <c r="J1" i="73"/>
  <c r="H77" i="43"/>
  <c r="H76" i="43"/>
  <c r="H51" i="43"/>
  <c r="H67" i="43"/>
  <c r="H59" i="43"/>
  <c r="H60" i="43"/>
  <c r="H6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E41" i="43"/>
  <c r="C41" i="43" s="1"/>
  <c r="I59" i="34"/>
  <c r="J59" i="34" s="1"/>
  <c r="D15" i="71"/>
  <c r="T17" i="71"/>
  <c r="D16" i="71"/>
  <c r="D17" i="71"/>
  <c r="U17" i="71"/>
  <c r="C13" i="12"/>
  <c r="M24" i="67"/>
  <c r="B9" i="76"/>
  <c r="E13" i="76"/>
  <c r="AO12" i="1"/>
  <c r="M8" i="67"/>
  <c r="E9" i="76"/>
  <c r="L47" i="67"/>
  <c r="M22" i="67"/>
  <c r="F37" i="67"/>
  <c r="F42" i="67"/>
  <c r="M24" i="15"/>
  <c r="C76" i="67"/>
  <c r="M9" i="15"/>
  <c r="F7" i="15"/>
  <c r="M6" i="67"/>
  <c r="D3" i="73"/>
  <c r="M23" i="15"/>
  <c r="E2" i="69"/>
  <c r="AO11" i="1"/>
  <c r="F16" i="67"/>
  <c r="B12" i="76"/>
  <c r="M29" i="15"/>
  <c r="F13" i="15"/>
  <c r="D2" i="33"/>
  <c r="E7" i="76"/>
  <c r="E10" i="76"/>
  <c r="L48" i="67"/>
  <c r="E8" i="76"/>
  <c r="D6" i="73"/>
  <c r="F7" i="67"/>
  <c r="F40" i="67"/>
  <c r="AO7" i="1"/>
  <c r="F42" i="15"/>
  <c r="L48" i="15"/>
  <c r="F8" i="67"/>
  <c r="B13" i="76"/>
  <c r="F36" i="15"/>
  <c r="F26" i="15"/>
  <c r="F9" i="67"/>
  <c r="J15" i="67"/>
  <c r="M26" i="15"/>
  <c r="M26" i="67"/>
  <c r="F38" i="67"/>
  <c r="F13" i="67"/>
  <c r="M27" i="15"/>
  <c r="F7" i="73"/>
  <c r="M21" i="67"/>
  <c r="E12" i="76"/>
  <c r="F37" i="15"/>
  <c r="M8" i="15"/>
  <c r="C76" i="15"/>
  <c r="D2" i="21"/>
  <c r="AO10" i="1"/>
  <c r="F6" i="67"/>
  <c r="D2" i="36"/>
  <c r="M28" i="15"/>
  <c r="M29" i="67"/>
  <c r="F5" i="73"/>
  <c r="M28" i="67"/>
  <c r="F43" i="15"/>
  <c r="F6" i="73"/>
  <c r="F38" i="15"/>
  <c r="AO8" i="1"/>
  <c r="F9" i="15"/>
  <c r="B7" i="76"/>
  <c r="M23" i="67"/>
  <c r="D7" i="73"/>
  <c r="M22" i="15"/>
  <c r="F26" i="67"/>
  <c r="F35" i="67"/>
  <c r="AO13" i="1"/>
  <c r="J15" i="15"/>
  <c r="E2" i="68"/>
  <c r="L47" i="15"/>
  <c r="AO9" i="1"/>
  <c r="F4" i="73"/>
  <c r="M6" i="15"/>
  <c r="D2" i="34"/>
  <c r="F6" i="15"/>
  <c r="B10" i="76"/>
  <c r="F43" i="67"/>
  <c r="M9" i="67"/>
  <c r="F20" i="31"/>
  <c r="D5" i="73"/>
  <c r="F40" i="15"/>
  <c r="D4" i="73"/>
  <c r="B8" i="76"/>
  <c r="F16" i="15"/>
  <c r="B11" i="76"/>
  <c r="F36" i="67"/>
  <c r="F8" i="15"/>
  <c r="D2" i="35"/>
  <c r="M27" i="67"/>
  <c r="D2" i="37"/>
  <c r="F41" i="67"/>
  <c r="E11" i="76"/>
  <c r="F3" i="73"/>
  <c r="C70" i="39" l="1"/>
  <c r="D68" i="39"/>
  <c r="C24" i="12"/>
  <c r="C21" i="68"/>
  <c r="C40" i="69"/>
  <c r="H83" i="43"/>
  <c r="H86" i="43"/>
  <c r="H87" i="43"/>
  <c r="H85" i="43"/>
  <c r="H84" i="43"/>
  <c r="H82" i="43"/>
  <c r="H81" i="43"/>
  <c r="H88" i="43"/>
  <c r="AC32" i="40"/>
  <c r="W32" i="40"/>
  <c r="S14" i="40"/>
  <c r="F11" i="40"/>
  <c r="G76" i="40"/>
  <c r="H76" i="40" s="1"/>
  <c r="I76" i="40" s="1"/>
  <c r="J76" i="40" s="1"/>
  <c r="K76" i="40" s="1"/>
  <c r="L76" i="40" s="1"/>
  <c r="M76" i="40" s="1"/>
  <c r="H11" i="40"/>
  <c r="J11" i="40"/>
  <c r="W11" i="40" s="1"/>
  <c r="B66" i="43"/>
  <c r="C23" i="40"/>
  <c r="C15" i="40"/>
  <c r="C21" i="39"/>
  <c r="U25" i="40"/>
  <c r="J23" i="40"/>
  <c r="F23" i="40"/>
  <c r="AA23" i="40" s="1"/>
  <c r="F92" i="40"/>
  <c r="G92" i="40" s="1"/>
  <c r="H23" i="40"/>
  <c r="AB23" i="40" s="1"/>
  <c r="F21" i="40"/>
  <c r="AA21" i="40" s="1"/>
  <c r="H21" i="40"/>
  <c r="AB21" i="40" s="1"/>
  <c r="F90" i="40"/>
  <c r="G90" i="40" s="1"/>
  <c r="J21" i="40"/>
  <c r="W21" i="40" s="1"/>
  <c r="J17" i="40"/>
  <c r="F86" i="40"/>
  <c r="G86" i="40" s="1"/>
  <c r="H17" i="40"/>
  <c r="F17" i="40"/>
  <c r="AA17" i="40" s="1"/>
  <c r="H15" i="40"/>
  <c r="AB15" i="40" s="1"/>
  <c r="F84" i="40"/>
  <c r="G84" i="40" s="1"/>
  <c r="J15" i="40"/>
  <c r="F15" i="40"/>
  <c r="W25" i="40"/>
  <c r="S25" i="40"/>
  <c r="W37" i="40"/>
  <c r="AB37" i="40"/>
  <c r="U34" i="40"/>
  <c r="U35" i="40"/>
  <c r="U36" i="40"/>
  <c r="W35" i="40"/>
  <c r="W19" i="40"/>
  <c r="G17" i="43"/>
  <c r="C16" i="43" s="1"/>
  <c r="C5" i="43" s="1"/>
  <c r="P61" i="15"/>
  <c r="C92" i="9"/>
  <c r="C94" i="9"/>
  <c r="F54" i="9"/>
  <c r="F28" i="15"/>
  <c r="C28" i="15" s="1"/>
  <c r="F31" i="12"/>
  <c r="M18" i="67"/>
  <c r="F30" i="68"/>
  <c r="C48" i="68" s="1"/>
  <c r="D68" i="9"/>
  <c r="M18" i="15"/>
  <c r="F32" i="15"/>
  <c r="F60" i="15" s="1"/>
  <c r="F30" i="69"/>
  <c r="F32" i="67"/>
  <c r="F60" i="67" s="1"/>
  <c r="F52" i="9"/>
  <c r="F28" i="67"/>
  <c r="C28" i="67" s="1"/>
  <c r="F30" i="11"/>
  <c r="F53" i="9"/>
  <c r="C21" i="69"/>
  <c r="D22" i="67"/>
  <c r="F30" i="6"/>
  <c r="E29" i="6"/>
  <c r="K15" i="1" s="1"/>
  <c r="AZ17" i="3"/>
  <c r="E56" i="39"/>
  <c r="G28" i="6"/>
  <c r="BL5" i="3"/>
  <c r="AR7" i="1"/>
  <c r="H16" i="1"/>
  <c r="AQ7" i="1"/>
  <c r="AZ15" i="3"/>
  <c r="O7" i="1"/>
  <c r="P7" i="1" s="1"/>
  <c r="D9" i="69"/>
  <c r="C9" i="69" s="1"/>
  <c r="F31" i="6"/>
  <c r="O9" i="1"/>
  <c r="P9" i="1" s="1"/>
  <c r="E28" i="6"/>
  <c r="G30" i="6"/>
  <c r="G31" i="6" s="1"/>
  <c r="T8" i="1"/>
  <c r="D9" i="68"/>
  <c r="C9" i="68" s="1"/>
  <c r="P13" i="1"/>
  <c r="AQ12" i="1"/>
  <c r="T12" i="1"/>
  <c r="AR12" i="1"/>
  <c r="M10" i="1"/>
  <c r="C36" i="69"/>
  <c r="AR9" i="1"/>
  <c r="AQ9" i="1"/>
  <c r="T9" i="1"/>
  <c r="AQ10" i="1"/>
  <c r="AR10" i="1"/>
  <c r="Q16" i="1"/>
  <c r="O11" i="1"/>
  <c r="P11" i="1" s="1"/>
  <c r="T10" i="1"/>
  <c r="P6" i="1"/>
  <c r="G5" i="3"/>
  <c r="B3" i="3" s="1"/>
  <c r="M6" i="3" s="1"/>
  <c r="BA14" i="3"/>
  <c r="AZ14" i="3" s="1"/>
  <c r="BD5" i="3"/>
  <c r="BA13" i="3"/>
  <c r="BB5" i="3"/>
  <c r="AR13" i="1"/>
  <c r="AQ13" i="1"/>
  <c r="P12" i="1"/>
  <c r="P8" i="1"/>
  <c r="F22" i="43"/>
  <c r="K101" i="43"/>
  <c r="F101" i="43"/>
  <c r="N101" i="43"/>
  <c r="E22" i="43"/>
  <c r="H22" i="43"/>
  <c r="D101" i="43"/>
  <c r="M101" i="43"/>
  <c r="I101" i="43"/>
  <c r="E101" i="43"/>
  <c r="J22"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50" i="43"/>
  <c r="D12" i="52"/>
  <c r="D127" i="9"/>
  <c r="D13" i="52" s="1"/>
  <c r="AA5" i="71"/>
  <c r="AB5" i="71"/>
  <c r="X5" i="71"/>
  <c r="Y5" i="71"/>
  <c r="Z5" i="71" s="1"/>
  <c r="G13" i="1"/>
  <c r="G9" i="1"/>
  <c r="C20" i="43"/>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D19" i="12"/>
  <c r="C14" i="15"/>
  <c r="C16" i="15"/>
  <c r="C16" i="67"/>
  <c r="G1" i="73"/>
  <c r="C14" i="67"/>
  <c r="C17" i="67"/>
  <c r="C17" i="15"/>
  <c r="G16" i="1" l="1"/>
  <c r="D70" i="39"/>
  <c r="E68" i="39"/>
  <c r="AC21" i="40"/>
  <c r="D5" i="43"/>
  <c r="C39" i="43" s="1"/>
  <c r="S23" i="40"/>
  <c r="S21" i="40"/>
  <c r="S17" i="40"/>
  <c r="AC11" i="40"/>
  <c r="AB11" i="40"/>
  <c r="U11" i="40"/>
  <c r="AA11" i="40"/>
  <c r="S11" i="40"/>
  <c r="U23" i="40"/>
  <c r="AC23" i="40"/>
  <c r="W23" i="40"/>
  <c r="U21" i="40"/>
  <c r="U17" i="40"/>
  <c r="AB17" i="40"/>
  <c r="W17" i="40"/>
  <c r="AC17" i="40"/>
  <c r="U15" i="40"/>
  <c r="S15" i="40"/>
  <c r="AA15" i="40"/>
  <c r="W15" i="40"/>
  <c r="AC15" i="40"/>
  <c r="T11" i="43"/>
  <c r="V11" i="43" s="1"/>
  <c r="T9" i="43"/>
  <c r="V9" i="43" s="1"/>
  <c r="T14" i="43"/>
  <c r="V14" i="43" s="1"/>
  <c r="T13" i="43"/>
  <c r="V13" i="43" s="1"/>
  <c r="C36" i="43"/>
  <c r="E36" i="43" s="1"/>
  <c r="C19" i="12"/>
  <c r="F48" i="68"/>
  <c r="C30" i="68"/>
  <c r="C30" i="11"/>
  <c r="C48" i="11"/>
  <c r="F48" i="69"/>
  <c r="C30" i="69"/>
  <c r="C48" i="69"/>
  <c r="T10" i="43"/>
  <c r="V10" i="43" s="1"/>
  <c r="C18" i="15"/>
  <c r="C15" i="15"/>
  <c r="K14" i="1"/>
  <c r="E30" i="6"/>
  <c r="E12" i="6"/>
  <c r="E13" i="6"/>
  <c r="E11" i="6"/>
  <c r="E14" i="6"/>
  <c r="E15" i="6"/>
  <c r="E10" i="6"/>
  <c r="E13" i="3"/>
  <c r="F27" i="69"/>
  <c r="F27" i="11"/>
  <c r="F27" i="68"/>
  <c r="O10" i="1"/>
  <c r="P10" i="1" s="1"/>
  <c r="BA5" i="3"/>
  <c r="E27" i="6" s="1"/>
  <c r="AZ13" i="3"/>
  <c r="AZ5" i="3"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37" i="3"/>
  <c r="E261" i="3"/>
  <c r="E304" i="3"/>
  <c r="E528" i="3"/>
  <c r="E565" i="3"/>
  <c r="E183" i="3"/>
  <c r="E213" i="3"/>
  <c r="E361" i="3"/>
  <c r="E17" i="3"/>
  <c r="E503" i="3"/>
  <c r="E302" i="3"/>
  <c r="E329" i="3"/>
  <c r="E539" i="3"/>
  <c r="E545" i="3"/>
  <c r="E567" i="3"/>
  <c r="E510" i="3"/>
  <c r="E461" i="3"/>
  <c r="E352" i="3"/>
  <c r="E227" i="3"/>
  <c r="E205" i="3"/>
  <c r="E165" i="3"/>
  <c r="E128" i="3"/>
  <c r="E270" i="3"/>
  <c r="E311" i="3"/>
  <c r="E390" i="3"/>
  <c r="E358" i="3"/>
  <c r="E533" i="3"/>
  <c r="E514" i="3"/>
  <c r="S6" i="3"/>
  <c r="E559" i="3"/>
  <c r="AR6" i="3"/>
  <c r="E570" i="3"/>
  <c r="E523" i="3"/>
  <c r="E551" i="3"/>
  <c r="E561"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114" i="3"/>
  <c r="E415" i="3"/>
  <c r="E395" i="3"/>
  <c r="E260" i="3"/>
  <c r="E550" i="3"/>
  <c r="E583" i="3"/>
  <c r="X6" i="3"/>
  <c r="E336" i="3"/>
  <c r="E246" i="3"/>
  <c r="E293"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563" i="3"/>
  <c r="E445" i="3"/>
  <c r="E347" i="3"/>
  <c r="E399" i="3"/>
  <c r="E124" i="3"/>
  <c r="E397" i="3"/>
  <c r="E568" i="3"/>
  <c r="I6" i="3"/>
  <c r="E536" i="3"/>
  <c r="E549" i="3"/>
  <c r="E453" i="3"/>
  <c r="E368" i="3"/>
  <c r="E244" i="3"/>
  <c r="E196" i="3"/>
  <c r="E156" i="3"/>
  <c r="E148" i="3"/>
  <c r="E122" i="3"/>
  <c r="E120" i="3"/>
  <c r="E277" i="3"/>
  <c r="E177" i="3"/>
  <c r="E133" i="3"/>
  <c r="E312" i="3"/>
  <c r="AD6" i="3"/>
  <c r="E542" i="3"/>
  <c r="E552" i="3"/>
  <c r="E421" i="3"/>
  <c r="E464" i="3"/>
  <c r="E487" i="3"/>
  <c r="E398" i="3"/>
  <c r="E416" i="3"/>
  <c r="E459" i="3"/>
  <c r="E374" i="3"/>
  <c r="E566" i="3"/>
  <c r="E500" i="3"/>
  <c r="E582"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78" i="3"/>
  <c r="E535" i="3"/>
  <c r="E280" i="3"/>
  <c r="E314" i="3"/>
  <c r="E16" i="3"/>
  <c r="E434" i="3"/>
  <c r="E296" i="3"/>
  <c r="E136" i="3"/>
  <c r="E269" i="3"/>
  <c r="E89" i="3"/>
  <c r="E45" i="3"/>
  <c r="E224" i="3"/>
  <c r="E193" i="3"/>
  <c r="E286" i="3"/>
  <c r="E575" i="3"/>
  <c r="E499" i="3"/>
  <c r="R6" i="3"/>
  <c r="E502" i="3"/>
  <c r="E442" i="3"/>
  <c r="E466" i="3"/>
  <c r="E541" i="3"/>
  <c r="E430" i="3"/>
  <c r="E449" i="3"/>
  <c r="E255" i="3"/>
  <c r="I3" i="6"/>
  <c r="AP6" i="3"/>
  <c r="E554" i="3"/>
  <c r="E517"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33" i="3"/>
  <c r="E144" i="3"/>
  <c r="E184" i="3"/>
  <c r="E233" i="3"/>
  <c r="E355" i="3"/>
  <c r="E381" i="3"/>
  <c r="E68" i="3"/>
  <c r="E63" i="3"/>
  <c r="E118" i="3"/>
  <c r="E283" i="3"/>
  <c r="E513" i="3"/>
  <c r="E172" i="3"/>
  <c r="AA6" i="3"/>
  <c r="E511" i="3"/>
  <c r="AK6" i="3"/>
  <c r="E306" i="3"/>
  <c r="E262" i="3"/>
  <c r="E236" i="3"/>
  <c r="E67" i="3"/>
  <c r="E81" i="3"/>
  <c r="E264" i="3"/>
  <c r="E309" i="3"/>
  <c r="E21" i="3"/>
  <c r="L109" i="43"/>
  <c r="L102" i="43"/>
  <c r="L105" i="43"/>
  <c r="L104" i="43"/>
  <c r="L106" i="43"/>
  <c r="L107" i="43"/>
  <c r="L103" i="43"/>
  <c r="J104" i="43"/>
  <c r="J105" i="43"/>
  <c r="J103" i="43"/>
  <c r="J106" i="43"/>
  <c r="J109" i="43"/>
  <c r="J107" i="43"/>
  <c r="J102" i="43"/>
  <c r="G105" i="43"/>
  <c r="G102" i="43"/>
  <c r="G103" i="43"/>
  <c r="G107" i="43"/>
  <c r="G104" i="43"/>
  <c r="G106" i="43"/>
  <c r="G109" i="43"/>
  <c r="E104" i="43"/>
  <c r="E107" i="43"/>
  <c r="E105" i="43"/>
  <c r="E109" i="43"/>
  <c r="E106" i="43"/>
  <c r="E102" i="43"/>
  <c r="E103" i="43"/>
  <c r="M109" i="43"/>
  <c r="M104" i="43"/>
  <c r="M107" i="43"/>
  <c r="M105" i="43"/>
  <c r="M102" i="43"/>
  <c r="M103" i="43"/>
  <c r="M106" i="43"/>
  <c r="N103" i="43"/>
  <c r="N106" i="43"/>
  <c r="N107" i="43"/>
  <c r="N109" i="43"/>
  <c r="N102" i="43"/>
  <c r="N105" i="43"/>
  <c r="N104" i="43"/>
  <c r="K107" i="43"/>
  <c r="K104" i="43"/>
  <c r="K106" i="43"/>
  <c r="K109" i="43"/>
  <c r="K103" i="43"/>
  <c r="K102" i="43"/>
  <c r="K105" i="43"/>
  <c r="H107" i="43"/>
  <c r="H106" i="43"/>
  <c r="H105" i="43"/>
  <c r="H103" i="43"/>
  <c r="H102"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5" i="43"/>
  <c r="I107" i="43"/>
  <c r="D109" i="43"/>
  <c r="D103" i="43"/>
  <c r="D104" i="43"/>
  <c r="D107" i="43"/>
  <c r="D105" i="43"/>
  <c r="D106" i="43"/>
  <c r="D102" i="43"/>
  <c r="D22" i="43"/>
  <c r="F107" i="43"/>
  <c r="F106" i="43"/>
  <c r="F103" i="43"/>
  <c r="F109" i="43"/>
  <c r="F104" i="43"/>
  <c r="F102" i="43"/>
  <c r="F105" i="43"/>
  <c r="C38" i="43"/>
  <c r="G38" i="43" s="1"/>
  <c r="I38" i="43" s="1"/>
  <c r="C37" i="43"/>
  <c r="E37" i="43" s="1"/>
  <c r="C35" i="43"/>
  <c r="E35" i="43" s="1"/>
  <c r="C33" i="43"/>
  <c r="E33" i="43" s="1"/>
  <c r="C34" i="43"/>
  <c r="E34" i="43" s="1"/>
  <c r="T12" i="43"/>
  <c r="V12" i="43" s="1"/>
  <c r="F10" i="40"/>
  <c r="S10" i="40" s="1"/>
  <c r="H10" i="40"/>
  <c r="U10" i="40" s="1"/>
  <c r="F10" i="39"/>
  <c r="AA10" i="39" s="1"/>
  <c r="J10" i="39"/>
  <c r="W10" i="39" s="1"/>
  <c r="H10" i="39"/>
  <c r="U10" i="39" s="1"/>
  <c r="J10" i="40"/>
  <c r="AC10" i="40" s="1"/>
  <c r="G36" i="43"/>
  <c r="I36" i="43" s="1"/>
  <c r="J7" i="37"/>
  <c r="AC7" i="37" s="1"/>
  <c r="V42" i="37" s="1"/>
  <c r="I42" i="37" s="1"/>
  <c r="H7" i="36"/>
  <c r="F7" i="34"/>
  <c r="AA7" i="34" s="1"/>
  <c r="R49" i="34" s="1"/>
  <c r="T8" i="43"/>
  <c r="V8" i="43" s="1"/>
  <c r="T16" i="43"/>
  <c r="V16" i="43" s="1"/>
  <c r="T15" i="43"/>
  <c r="V15" i="43" s="1"/>
  <c r="F59" i="67"/>
  <c r="G35" i="43"/>
  <c r="I35" i="43" s="1"/>
  <c r="H7" i="37"/>
  <c r="AB7" i="37" s="1"/>
  <c r="T42" i="37" s="1"/>
  <c r="G42" i="37" s="1"/>
  <c r="B40" i="1"/>
  <c r="AB10" i="40"/>
  <c r="S10" i="39"/>
  <c r="H7" i="33"/>
  <c r="J7" i="33"/>
  <c r="D65" i="40"/>
  <c r="E63" i="40"/>
  <c r="F48" i="35"/>
  <c r="S7" i="36"/>
  <c r="AA7" i="36"/>
  <c r="R36" i="36" s="1"/>
  <c r="W7" i="37"/>
  <c r="AB7" i="36"/>
  <c r="T36" i="36" s="1"/>
  <c r="G36" i="36" s="1"/>
  <c r="U7" i="36"/>
  <c r="AB7" i="34"/>
  <c r="T49" i="34" s="1"/>
  <c r="G49" i="34" s="1"/>
  <c r="U7" i="34"/>
  <c r="S7" i="34"/>
  <c r="AB10" i="39"/>
  <c r="W10" i="40"/>
  <c r="AA10" i="40"/>
  <c r="F7" i="33"/>
  <c r="E58" i="21"/>
  <c r="AC7" i="36"/>
  <c r="V36" i="36" s="1"/>
  <c r="I36" i="36" s="1"/>
  <c r="W7" i="36"/>
  <c r="F7" i="37"/>
  <c r="W7" i="34"/>
  <c r="AC7" i="34"/>
  <c r="V49" i="34" s="1"/>
  <c r="I49" i="34" s="1"/>
  <c r="D11" i="71"/>
  <c r="C10" i="71"/>
  <c r="M17" i="67"/>
  <c r="M17" i="15"/>
  <c r="F59" i="15"/>
  <c r="P24" i="43"/>
  <c r="B66" i="40" s="1"/>
  <c r="P21" i="43"/>
  <c r="C49" i="67"/>
  <c r="E39" i="43"/>
  <c r="G39" i="43"/>
  <c r="I39" i="43" s="1"/>
  <c r="P25" i="43"/>
  <c r="P23" i="43"/>
  <c r="B71" i="39" s="1"/>
  <c r="E38"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28" i="12"/>
  <c r="F68" i="39" l="1"/>
  <c r="E70" i="39"/>
  <c r="C29" i="12"/>
  <c r="D28" i="12" s="1"/>
  <c r="G33" i="43"/>
  <c r="I33" i="43" s="1"/>
  <c r="G37" i="43"/>
  <c r="I37" i="43" s="1"/>
  <c r="C19" i="15"/>
  <c r="C20" i="15" s="1"/>
  <c r="C26" i="15" s="1"/>
  <c r="M14" i="1"/>
  <c r="K16" i="1"/>
  <c r="C34" i="69"/>
  <c r="AC10" i="39"/>
  <c r="AC6" i="3"/>
  <c r="K20" i="6"/>
  <c r="M20" i="6" s="1"/>
  <c r="I20" i="6" s="1"/>
  <c r="S20" i="6" s="1"/>
  <c r="E31" i="6"/>
  <c r="K26" i="6"/>
  <c r="M26" i="6" s="1"/>
  <c r="I26" i="6" s="1"/>
  <c r="S26" i="6" s="1"/>
  <c r="K19" i="6"/>
  <c r="S6" i="1" s="1"/>
  <c r="K25" i="6"/>
  <c r="M25" i="6" s="1"/>
  <c r="I25" i="6" s="1"/>
  <c r="S25" i="6" s="1"/>
  <c r="K23" i="6"/>
  <c r="M23" i="6" s="1"/>
  <c r="I23" i="6" s="1"/>
  <c r="S23" i="6" s="1"/>
  <c r="K22" i="6"/>
  <c r="M22" i="6" s="1"/>
  <c r="I22" i="6" s="1"/>
  <c r="S22" i="6" s="1"/>
  <c r="K24" i="6"/>
  <c r="M24" i="6" s="1"/>
  <c r="I24" i="6" s="1"/>
  <c r="S24" i="6" s="1"/>
  <c r="K21" i="6"/>
  <c r="M21" i="6" s="1"/>
  <c r="I21" i="6" s="1"/>
  <c r="S21" i="6" s="1"/>
  <c r="C47" i="11"/>
  <c r="D45" i="11" s="1"/>
  <c r="C29" i="11"/>
  <c r="D27" i="11" s="1"/>
  <c r="F45" i="69"/>
  <c r="C29" i="69"/>
  <c r="D27" i="69" s="1"/>
  <c r="C47" i="69"/>
  <c r="D45" i="69" s="1"/>
  <c r="E16" i="6"/>
  <c r="E59" i="40"/>
  <c r="E64" i="39"/>
  <c r="E63" i="39"/>
  <c r="E58" i="40"/>
  <c r="H6" i="3"/>
  <c r="E6" i="3" s="1"/>
  <c r="E3" i="6"/>
  <c r="AY6" i="3"/>
  <c r="F45" i="68"/>
  <c r="C29" i="68"/>
  <c r="D27" i="68" s="1"/>
  <c r="C47" i="68"/>
  <c r="D45" i="68" s="1"/>
  <c r="E60" i="40"/>
  <c r="E65" i="39"/>
  <c r="E56" i="40"/>
  <c r="E61" i="39"/>
  <c r="E57" i="40"/>
  <c r="E62" i="39"/>
  <c r="C115" i="43"/>
  <c r="D113" i="43" s="1"/>
  <c r="S5" i="43"/>
  <c r="T5" i="43" s="1"/>
  <c r="V5" i="43" s="1"/>
  <c r="S3" i="43"/>
  <c r="T3" i="43" s="1"/>
  <c r="V3" i="43" s="1"/>
  <c r="S2" i="43"/>
  <c r="T2" i="43" s="1"/>
  <c r="V2" i="43" s="1"/>
  <c r="S6" i="43"/>
  <c r="T6" i="43" s="1"/>
  <c r="V6" i="43" s="1"/>
  <c r="S7" i="43"/>
  <c r="T7" i="43" s="1"/>
  <c r="V7" i="43" s="1"/>
  <c r="C23" i="43"/>
  <c r="C21" i="43" s="1"/>
  <c r="C29" i="43" s="1"/>
  <c r="E29" i="43" s="1"/>
  <c r="S4" i="43"/>
  <c r="T4" i="43" s="1"/>
  <c r="V4" i="43" s="1"/>
  <c r="G34" i="43"/>
  <c r="I34" i="43" s="1"/>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G68" i="39" l="1"/>
  <c r="F70" i="39"/>
  <c r="F69" i="15"/>
  <c r="J29" i="15"/>
  <c r="C26" i="43"/>
  <c r="B2" i="43" s="1"/>
  <c r="AQ6" i="1"/>
  <c r="T6" i="1"/>
  <c r="S16" i="1"/>
  <c r="AR6" i="1"/>
  <c r="C35" i="69"/>
  <c r="C38" i="69"/>
  <c r="O14" i="1"/>
  <c r="O16" i="1" s="1"/>
  <c r="M16" i="1"/>
  <c r="T16" i="1"/>
  <c r="N16" i="1"/>
  <c r="C30" i="43"/>
  <c r="E30" i="43" s="1"/>
  <c r="C27" i="43" s="1"/>
  <c r="E66" i="39"/>
  <c r="D3" i="34"/>
  <c r="D3" i="33"/>
  <c r="E6" i="6"/>
  <c r="D37" i="11"/>
  <c r="M18" i="9"/>
  <c r="B118" i="9" s="1"/>
  <c r="B14" i="74" s="1"/>
  <c r="B1" i="74" s="1"/>
  <c r="D3" i="21"/>
  <c r="C17" i="4"/>
  <c r="B4" i="52" s="1"/>
  <c r="B43" i="72" s="1"/>
  <c r="L18" i="9"/>
  <c r="D19" i="11"/>
  <c r="C19" i="11" s="1"/>
  <c r="D3" i="37"/>
  <c r="M19" i="6"/>
  <c r="K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75" i="3"/>
  <c r="AY199" i="3"/>
  <c r="AY355" i="3"/>
  <c r="AY481" i="3"/>
  <c r="AY404" i="3"/>
  <c r="AY562" i="3"/>
  <c r="BO6" i="3"/>
  <c r="AY555" i="3"/>
  <c r="AY85" i="3"/>
  <c r="AY53" i="3"/>
  <c r="AY36" i="3"/>
  <c r="AY25" i="3"/>
  <c r="AY178" i="3"/>
  <c r="AY157" i="3"/>
  <c r="AY117" i="3"/>
  <c r="AY271" i="3"/>
  <c r="AY239" i="3"/>
  <c r="AY270" i="3"/>
  <c r="AY238" i="3"/>
  <c r="AY222" i="3"/>
  <c r="AY211" i="3"/>
  <c r="AY389" i="3"/>
  <c r="AY365" i="3"/>
  <c r="AY368" i="3"/>
  <c r="AY507" i="3"/>
  <c r="BB6" i="3"/>
  <c r="AY88" i="3"/>
  <c r="AY57" i="3"/>
  <c r="AY40" i="3"/>
  <c r="AY186" i="3"/>
  <c r="AY150" i="3"/>
  <c r="AY130" i="3"/>
  <c r="AY279" i="3"/>
  <c r="AY275" i="3"/>
  <c r="AY258" i="3"/>
  <c r="AY226" i="3"/>
  <c r="AY393" i="3"/>
  <c r="AY356" i="3"/>
  <c r="AY325" i="3"/>
  <c r="AY340" i="3"/>
  <c r="AY308" i="3"/>
  <c r="AY483" i="3"/>
  <c r="AY480" i="3"/>
  <c r="AY449" i="3"/>
  <c r="AY454" i="3"/>
  <c r="AY422" i="3"/>
  <c r="AY406" i="3"/>
  <c r="AY419" i="3"/>
  <c r="AY403" i="3"/>
  <c r="AY525" i="3"/>
  <c r="AY516" i="3"/>
  <c r="BN6" i="3"/>
  <c r="AY536" i="3"/>
  <c r="AY520" i="3"/>
  <c r="AY518" i="3"/>
  <c r="AY559" i="3"/>
  <c r="AY543" i="3"/>
  <c r="AY508" i="3"/>
  <c r="AY556" i="3"/>
  <c r="AY496" i="3"/>
  <c r="AY523" i="3"/>
  <c r="AY81" i="3"/>
  <c r="AY64" i="3"/>
  <c r="AY21" i="3"/>
  <c r="AY174" i="3"/>
  <c r="AY98" i="3"/>
  <c r="AY82" i="3"/>
  <c r="AY18" i="3"/>
  <c r="AY191" i="3"/>
  <c r="AY171" i="3"/>
  <c r="AY132" i="3"/>
  <c r="AY90" i="3"/>
  <c r="AY31" i="3"/>
  <c r="AY163" i="3"/>
  <c r="AY292" i="3"/>
  <c r="AY147" i="3"/>
  <c r="AY237" i="3"/>
  <c r="AY220" i="3"/>
  <c r="AY387" i="3"/>
  <c r="AY350" i="3"/>
  <c r="AY334" i="3"/>
  <c r="AY486" i="3"/>
  <c r="AY444" i="3"/>
  <c r="AY425" i="3"/>
  <c r="AY526" i="3"/>
  <c r="AY269" i="3"/>
  <c r="AY244" i="3"/>
  <c r="AY390" i="3"/>
  <c r="AY311" i="3"/>
  <c r="AY447" i="3"/>
  <c r="AY535" i="3"/>
  <c r="AY574" i="3"/>
  <c r="AY89" i="3"/>
  <c r="AY68" i="3"/>
  <c r="AY182" i="3"/>
  <c r="AY146" i="3"/>
  <c r="AY126" i="3"/>
  <c r="AY302" i="3"/>
  <c r="AY255" i="3"/>
  <c r="AY254" i="3"/>
  <c r="AY227" i="3"/>
  <c r="AY384" i="3"/>
  <c r="AY373" i="3"/>
  <c r="BS6" i="3"/>
  <c r="BI6" i="3"/>
  <c r="AY93" i="3"/>
  <c r="AY72" i="3"/>
  <c r="AY29" i="3"/>
  <c r="AY181" i="3"/>
  <c r="AY161" i="3"/>
  <c r="AY121" i="3"/>
  <c r="AY243" i="3"/>
  <c r="AY215" i="3"/>
  <c r="AY370" i="3"/>
  <c r="AY341" i="3"/>
  <c r="AY309" i="3"/>
  <c r="AY324" i="3"/>
  <c r="AY467" i="3"/>
  <c r="AY464" i="3"/>
  <c r="AY438" i="3"/>
  <c r="AY435" i="3"/>
  <c r="AY503" i="3"/>
  <c r="AY580" i="3"/>
  <c r="AY572" i="3"/>
  <c r="AY527" i="3"/>
  <c r="AY552" i="3"/>
  <c r="AY532" i="3"/>
  <c r="AY577" i="3"/>
  <c r="AY112" i="3"/>
  <c r="AY49" i="3"/>
  <c r="AY32"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205"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D14" i="12"/>
  <c r="B6" i="76"/>
  <c r="E6" i="76"/>
  <c r="G70" i="39" l="1"/>
  <c r="H68" i="39"/>
  <c r="F34" i="11"/>
  <c r="C36" i="11" s="1"/>
  <c r="F34" i="68"/>
  <c r="C36" i="68" s="1"/>
  <c r="P14" i="1"/>
  <c r="P16" i="1" s="1"/>
  <c r="F50" i="11"/>
  <c r="F50" i="69"/>
  <c r="F50" i="68"/>
  <c r="L16" i="1"/>
  <c r="E2" i="76"/>
  <c r="D25" i="6"/>
  <c r="D15" i="6"/>
  <c r="D22" i="6"/>
  <c r="D21" i="6"/>
  <c r="D24" i="6"/>
  <c r="D20" i="6"/>
  <c r="D5" i="6"/>
  <c r="D12" i="6"/>
  <c r="D11" i="6"/>
  <c r="D13" i="6"/>
  <c r="D28" i="6"/>
  <c r="E61" i="40"/>
  <c r="H22" i="6"/>
  <c r="H21" i="6"/>
  <c r="H24" i="6"/>
  <c r="R24" i="6" s="1"/>
  <c r="H20" i="6"/>
  <c r="D19" i="6"/>
  <c r="C18" i="4"/>
  <c r="D23" i="6"/>
  <c r="M19" i="9"/>
  <c r="C118" i="9" s="1"/>
  <c r="C14" i="74" s="1"/>
  <c r="B2" i="74" s="1"/>
  <c r="D26" i="6"/>
  <c r="D8" i="6"/>
  <c r="D14" i="6"/>
  <c r="D6" i="6"/>
  <c r="D10" i="6"/>
  <c r="D29" i="6"/>
  <c r="H23" i="6"/>
  <c r="D9" i="6"/>
  <c r="L19" i="9"/>
  <c r="H25" i="6"/>
  <c r="H26" i="6"/>
  <c r="C20" i="11"/>
  <c r="C25" i="11" s="1"/>
  <c r="C22" i="11" s="1"/>
  <c r="C8" i="74"/>
  <c r="C7" i="74"/>
  <c r="I19" i="6"/>
  <c r="H19" i="6" s="1"/>
  <c r="H27" i="6" s="1"/>
  <c r="M27" i="6"/>
  <c r="D17" i="12"/>
  <c r="C17" i="12" s="1"/>
  <c r="D10" i="11"/>
  <c r="C10" i="11" s="1"/>
  <c r="D10" i="69"/>
  <c r="D10" i="68"/>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36" i="67"/>
  <c r="C33" i="67"/>
  <c r="C31" i="67" s="1"/>
  <c r="J14" i="67"/>
  <c r="C13" i="67"/>
  <c r="J19" i="67"/>
  <c r="J17" i="67" s="1"/>
  <c r="C57" i="67"/>
  <c r="C61" i="67" s="1"/>
  <c r="Q49" i="67"/>
  <c r="J59" i="67"/>
  <c r="J60" i="67" s="1"/>
  <c r="D20" i="12"/>
  <c r="C11" i="12"/>
  <c r="F11" i="12"/>
  <c r="H70" i="39" l="1"/>
  <c r="I68" i="39"/>
  <c r="C20" i="12"/>
  <c r="C18" i="12" s="1"/>
  <c r="C34" i="11"/>
  <c r="C35" i="11" s="1"/>
  <c r="C14" i="12"/>
  <c r="C34" i="68"/>
  <c r="C38" i="68" s="1"/>
  <c r="C37" i="11"/>
  <c r="R25" i="6"/>
  <c r="B3" i="76"/>
  <c r="D30" i="6"/>
  <c r="D16" i="6"/>
  <c r="C12" i="12"/>
  <c r="C15" i="12"/>
  <c r="C10" i="69"/>
  <c r="C8" i="69" s="1"/>
  <c r="C5" i="69" s="1"/>
  <c r="D19" i="69"/>
  <c r="S19" i="6"/>
  <c r="S27" i="6" s="1"/>
  <c r="I27" i="6"/>
  <c r="C28" i="11"/>
  <c r="C27" i="11" s="1"/>
  <c r="C31" i="11" s="1"/>
  <c r="R26" i="6"/>
  <c r="R23" i="6"/>
  <c r="D27" i="6"/>
  <c r="R19" i="6"/>
  <c r="R22" i="6"/>
  <c r="C10" i="68"/>
  <c r="D19" i="68"/>
  <c r="D8" i="74"/>
  <c r="D7" i="74"/>
  <c r="A7" i="51"/>
  <c r="B7" i="72" s="1"/>
  <c r="A10" i="51"/>
  <c r="B9" i="72" s="1"/>
  <c r="C4" i="52"/>
  <c r="B45" i="72" s="1"/>
  <c r="R20" i="6"/>
  <c r="R21" i="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J68" i="39" l="1"/>
  <c r="I70" i="39"/>
  <c r="C35" i="68"/>
  <c r="C38" i="11"/>
  <c r="D31" i="6"/>
  <c r="I6" i="6" s="1"/>
  <c r="R27" i="6"/>
  <c r="R6" i="1"/>
  <c r="C33" i="11"/>
  <c r="C42" i="11" s="1"/>
  <c r="C16" i="12"/>
  <c r="C21" i="12" s="1"/>
  <c r="C22" i="12" s="1"/>
  <c r="C39" i="11"/>
  <c r="C19" i="68"/>
  <c r="D37" i="68"/>
  <c r="C37" i="68" s="1"/>
  <c r="C23" i="69"/>
  <c r="I5" i="6"/>
  <c r="C19" i="69"/>
  <c r="C24" i="69" s="1"/>
  <c r="D37" i="69"/>
  <c r="C37" i="69" s="1"/>
  <c r="C33" i="69" s="1"/>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J70" i="39" l="1"/>
  <c r="K68" i="39"/>
  <c r="C33" i="68"/>
  <c r="C42" i="68" s="1"/>
  <c r="C34" i="15"/>
  <c r="C31" i="15" s="1"/>
  <c r="C30" i="15" s="1"/>
  <c r="C39" i="15" s="1"/>
  <c r="F63" i="15"/>
  <c r="C62" i="15" s="1"/>
  <c r="C59" i="15" s="1"/>
  <c r="C58" i="15" s="1"/>
  <c r="C67" i="15" s="1"/>
  <c r="C68" i="15" s="1"/>
  <c r="C71" i="15" s="1"/>
  <c r="J20" i="15"/>
  <c r="J17" i="15" s="1"/>
  <c r="J16" i="15" s="1"/>
  <c r="J25" i="15" s="1"/>
  <c r="R16" i="1"/>
  <c r="C46" i="11"/>
  <c r="C45" i="11" s="1"/>
  <c r="C43" i="11"/>
  <c r="C41" i="11" s="1"/>
  <c r="C20" i="69"/>
  <c r="C24" i="68"/>
  <c r="C39" i="69"/>
  <c r="C43" i="69" s="1"/>
  <c r="C42" i="69"/>
  <c r="J7" i="35"/>
  <c r="AC7" i="35" s="1"/>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K70" i="39" l="1"/>
  <c r="L68" i="39"/>
  <c r="C39" i="68"/>
  <c r="C46" i="68" s="1"/>
  <c r="C45" i="68" s="1"/>
  <c r="Q67" i="15"/>
  <c r="L57" i="15"/>
  <c r="L60" i="15" s="1"/>
  <c r="L46" i="15" s="1"/>
  <c r="C40" i="15"/>
  <c r="C80" i="15"/>
  <c r="C79" i="15" s="1"/>
  <c r="Q69" i="15"/>
  <c r="Q68" i="15" s="1"/>
  <c r="C41" i="69"/>
  <c r="C49" i="11"/>
  <c r="C51" i="11" s="1"/>
  <c r="C52" i="11" s="1"/>
  <c r="B2" i="11" s="1"/>
  <c r="B3" i="11" s="1"/>
  <c r="C46" i="69"/>
  <c r="C45" i="69" s="1"/>
  <c r="C28" i="69"/>
  <c r="C27" i="69" s="1"/>
  <c r="C25" i="69"/>
  <c r="C22" i="69" s="1"/>
  <c r="W7" i="35"/>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M68" i="39" l="1"/>
  <c r="L70" i="39"/>
  <c r="C43" i="68"/>
  <c r="C41" i="68" s="1"/>
  <c r="C49" i="68" s="1"/>
  <c r="C51" i="68" s="1"/>
  <c r="Q57" i="15"/>
  <c r="Q66" i="15"/>
  <c r="B2" i="15"/>
  <c r="C8" i="12" s="1"/>
  <c r="C4" i="12" s="1"/>
  <c r="Q65" i="15"/>
  <c r="Q75" i="15" s="1"/>
  <c r="Q47" i="15"/>
  <c r="Q53" i="15" s="1"/>
  <c r="C46" i="15"/>
  <c r="Q56" i="15"/>
  <c r="Q62" i="15" s="1"/>
  <c r="C43" i="15"/>
  <c r="C83" i="15"/>
  <c r="C82" i="15" s="1"/>
  <c r="C49" i="69"/>
  <c r="C51" i="69" s="1"/>
  <c r="C31" i="69"/>
  <c r="C56" i="11"/>
  <c r="C57" i="11" s="1"/>
  <c r="R39" i="35"/>
  <c r="E38" i="35"/>
  <c r="M63" i="40"/>
  <c r="L65" i="40"/>
  <c r="AO6" i="1"/>
  <c r="M70" i="39" l="1"/>
  <c r="N68" i="39"/>
  <c r="C31" i="12"/>
  <c r="C23" i="12"/>
  <c r="B6" i="70"/>
  <c r="B2" i="70" s="1"/>
  <c r="B3" i="70" s="1"/>
  <c r="B3" i="15"/>
  <c r="C6" i="12" s="1"/>
  <c r="C52" i="69"/>
  <c r="B2" i="69" s="1"/>
  <c r="B3" i="69" s="1"/>
  <c r="C39" i="35"/>
  <c r="B2" i="35" s="1"/>
  <c r="B3" i="35" s="1"/>
  <c r="C38" i="35"/>
  <c r="N63" i="40"/>
  <c r="M65" i="40"/>
  <c r="E43" i="35"/>
  <c r="F43" i="35" s="1"/>
  <c r="E42" i="35"/>
  <c r="F42" i="35" s="1"/>
  <c r="I43" i="35"/>
  <c r="J43" i="35" s="1"/>
  <c r="O68" i="39" l="1"/>
  <c r="O70" i="39" s="1"/>
  <c r="N70" i="39"/>
  <c r="F7" i="39" s="1"/>
  <c r="J7" i="39"/>
  <c r="H7" i="39"/>
  <c r="C30" i="12"/>
  <c r="C28" i="12" s="1"/>
  <c r="C27" i="12"/>
  <c r="C25" i="12" s="1"/>
  <c r="C57" i="69"/>
  <c r="C56" i="69" s="1"/>
  <c r="O63" i="40"/>
  <c r="O65" i="40" s="1"/>
  <c r="N65" i="40"/>
  <c r="AB7" i="39" l="1"/>
  <c r="T47" i="39" s="1"/>
  <c r="G47" i="39" s="1"/>
  <c r="U7" i="39"/>
  <c r="S7" i="39"/>
  <c r="AA7" i="39"/>
  <c r="R47" i="39" s="1"/>
  <c r="AC7" i="39"/>
  <c r="V47" i="39" s="1"/>
  <c r="I47" i="39" s="1"/>
  <c r="W7" i="39"/>
  <c r="C32" i="12"/>
  <c r="B2" i="12" s="1"/>
  <c r="J7" i="40"/>
  <c r="F7" i="40"/>
  <c r="H7" i="40"/>
  <c r="D19" i="9"/>
  <c r="B3" i="12"/>
  <c r="R48" i="39" l="1"/>
  <c r="E47" i="39"/>
  <c r="I52" i="39"/>
  <c r="J52" i="39" s="1"/>
  <c r="I51" i="39"/>
  <c r="J51" i="39" s="1"/>
  <c r="G52" i="39"/>
  <c r="H52" i="39" s="1"/>
  <c r="G51" i="39"/>
  <c r="H51" i="39" s="1"/>
  <c r="D102" i="9"/>
  <c r="D21" i="9"/>
  <c r="U7" i="40"/>
  <c r="AB7" i="40"/>
  <c r="T42" i="40" s="1"/>
  <c r="G42" i="40" s="1"/>
  <c r="AA7" i="40"/>
  <c r="R42" i="40" s="1"/>
  <c r="S7" i="40"/>
  <c r="AC7" i="40"/>
  <c r="V42" i="40" s="1"/>
  <c r="I42" i="40" s="1"/>
  <c r="W7" i="40"/>
  <c r="D20" i="9"/>
  <c r="E51" i="39" l="1"/>
  <c r="F51" i="39" s="1"/>
  <c r="E52" i="39"/>
  <c r="F52" i="39" s="1"/>
  <c r="C47" i="39"/>
  <c r="C48" i="39"/>
  <c r="D103" i="9"/>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6" i="68"/>
  <c r="C7" i="68" s="1"/>
  <c r="C5" i="68" s="1"/>
  <c r="C23" i="68" l="1"/>
  <c r="C20" i="68"/>
  <c r="C25" i="68" s="1"/>
  <c r="C28" i="68" l="1"/>
  <c r="C27" i="68" s="1"/>
  <c r="C22" i="68"/>
  <c r="C31" i="68" l="1"/>
  <c r="C52" i="68" s="1"/>
  <c r="B2" i="68" s="1"/>
  <c r="B3" i="68" s="1"/>
  <c r="C20" i="9"/>
  <c r="C19" i="9"/>
  <c r="C102" i="9" l="1"/>
  <c r="D22" i="9"/>
  <c r="C21" i="9"/>
  <c r="G19" i="9"/>
  <c r="D37" i="1" s="1"/>
  <c r="C57" i="68"/>
  <c r="C103" i="9"/>
  <c r="G20" i="9"/>
  <c r="D35" i="9"/>
  <c r="G21" i="9" l="1"/>
  <c r="C32" i="9"/>
  <c r="H118" i="9" s="1"/>
  <c r="C56" i="68"/>
  <c r="D34" i="9"/>
  <c r="C35" i="9" l="1"/>
  <c r="C34" i="9" s="1"/>
  <c r="D118" i="9" s="1"/>
  <c r="H4" i="52"/>
  <c r="D14" i="74"/>
  <c r="H101" i="9"/>
  <c r="H119" i="9"/>
  <c r="H5" i="52" s="1"/>
  <c r="C104" i="9"/>
  <c r="I118" i="9"/>
  <c r="F118" i="9" l="1"/>
  <c r="G118" i="9" s="1"/>
  <c r="G4" i="52" s="1"/>
  <c r="B52" i="72" s="1"/>
  <c r="F14" i="74"/>
  <c r="B5" i="74"/>
  <c r="E14" i="74"/>
  <c r="F4" i="52"/>
  <c r="B51" i="72" s="1"/>
  <c r="C105" i="9"/>
  <c r="H102" i="9"/>
  <c r="D7" i="53" s="1"/>
  <c r="B21" i="72" s="1"/>
  <c r="I4" i="52"/>
  <c r="D5" i="53"/>
  <c r="M48" i="9"/>
  <c r="D45" i="9"/>
  <c r="H107" i="9"/>
  <c r="D4" i="52"/>
  <c r="B47" i="72" s="1"/>
  <c r="D119" i="9"/>
  <c r="D5" i="52" s="1"/>
  <c r="B49" i="72" s="1"/>
  <c r="F119" i="9" l="1"/>
  <c r="F5" i="52" s="1"/>
  <c r="B53" i="72" s="1"/>
  <c r="E118" i="9"/>
  <c r="E4" i="52" s="1"/>
  <c r="B48" i="72" s="1"/>
  <c r="C5" i="74"/>
  <c r="D5" i="74"/>
  <c r="D13" i="53"/>
  <c r="H108" i="9"/>
  <c r="D15" i="53" s="1"/>
  <c r="B31" i="72" s="1"/>
  <c r="D122" i="9"/>
  <c r="M49" i="9"/>
  <c r="D52" i="9"/>
  <c r="C85" i="9"/>
  <c r="C93" i="9"/>
  <c r="C86" i="9" s="1"/>
  <c r="D55" i="9"/>
  <c r="M53" i="9" s="1"/>
  <c r="D53" i="9"/>
  <c r="C64" i="9"/>
  <c r="C63" i="9" s="1"/>
  <c r="C67" i="9" s="1"/>
  <c r="C72" i="9"/>
  <c r="C78" i="9"/>
  <c r="C73" i="9" s="1"/>
  <c r="B20" i="72"/>
  <c r="D6" i="53"/>
  <c r="B22" i="72" s="1"/>
  <c r="C79" i="9" l="1"/>
  <c r="D59" i="9"/>
  <c r="M55" i="9" s="1"/>
  <c r="C68" i="9"/>
  <c r="D54" i="9" s="1"/>
  <c r="C95" i="9"/>
  <c r="L65" i="9"/>
  <c r="M65" i="9" s="1"/>
  <c r="L68" i="9"/>
  <c r="M68" i="9" s="1"/>
  <c r="L67" i="9"/>
  <c r="M67" i="9" s="1"/>
  <c r="L63" i="9"/>
  <c r="M63" i="9" s="1"/>
  <c r="L66" i="9"/>
  <c r="M66" i="9" s="1"/>
  <c r="L64" i="9"/>
  <c r="M64" i="9" s="1"/>
  <c r="C80" i="9"/>
  <c r="E80" i="9" s="1"/>
  <c r="E81" i="9" s="1"/>
  <c r="G14" i="74"/>
  <c r="B6" i="74" s="1"/>
  <c r="D123" i="9"/>
  <c r="D9" i="52" s="1"/>
  <c r="D8" i="52"/>
  <c r="B30" i="72"/>
  <c r="D14" i="53"/>
  <c r="B32" i="72" s="1"/>
  <c r="C81" i="9" l="1"/>
  <c r="C6" i="74"/>
  <c r="D6" i="74"/>
  <c r="M69" i="9"/>
  <c r="N69" i="9" s="1"/>
  <c r="C96" i="9"/>
  <c r="E96" i="9" s="1"/>
  <c r="E97" i="9" s="1"/>
  <c r="C97" i="9" l="1"/>
  <c r="D58" i="9" s="1"/>
  <c r="D56" i="9" s="1"/>
  <c r="M54" i="9" s="1"/>
  <c r="N57" i="9" s="1"/>
  <c r="P57" i="9" l="1"/>
  <c r="N58" i="9"/>
  <c r="N59" i="9"/>
  <c r="N60" i="9" l="1"/>
  <c r="N61" i="9"/>
  <c r="E12" i="81"/>
  <c r="F12" i="81" s="1"/>
  <c r="F17" i="81" l="1"/>
  <c r="G17" i="81" s="1"/>
  <c r="F18" i="81"/>
  <c r="G18" i="81" s="1"/>
  <c r="F16" i="81"/>
  <c r="F20" i="81" l="1"/>
  <c r="G16" i="81"/>
  <c r="G20" i="81"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<sst xmlns="http://schemas.openxmlformats.org/spreadsheetml/2006/main" count="7703" uniqueCount="3326">
  <si>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</si>
  <si>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</si>
  <si>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</si>
  <si>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</si>
  <si>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</si>
  <si>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</si>
  <si>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</si>
  <si>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</si>
  <si>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</si>
  <si>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</si>
  <si>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</si>
  <si>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</si>
  <si>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</si>
  <si>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</si>
  <si>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</si>
  <si>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</si>
  <si>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</si>
  <si>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</si>
  <si>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</si>
  <si>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</si>
  <si>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</si>
  <si>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</si>
  <si>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</si>
  <si>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</si>
  <si>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</si>
  <si>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</si>
  <si>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</si>
  <si>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</si>
  <si>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</si>
  <si>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</si>
  <si>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</si>
  <si>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</si>
  <si>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</si>
  <si>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</si>
  <si>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</si>
  <si>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</si>
  <si>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</si>
  <si>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</si>
  <si>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</si>
  <si>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</si>
  <si>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</si>
  <si>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</si>
  <si>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</si>
  <si>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</si>
  <si>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</si>
  <si>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</si>
  <si>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</si>
  <si>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</si>
  <si>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</si>
  <si>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</si>
  <si>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</si>
  <si>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</si>
  <si>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</si>
  <si>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</si>
  <si>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</si>
  <si>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</si>
  <si>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</si>
  <si>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</si>
  <si>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</si>
  <si>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</si>
  <si>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</si>
  <si>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</si>
  <si>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</si>
  <si>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</si>
  <si>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</si>
  <si>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</si>
  <si>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</si>
  <si>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</si>
  <si>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</si>
  <si>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</si>
  <si>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</si>
  <si>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</si>
  <si>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</si>
  <si>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</si>
  <si>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</si>
  <si>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</si>
  <si>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</si>
  <si>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</si>
  <si>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</si>
  <si>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</si>
  <si>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</si>
  <si>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</si>
  <si>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</si>
  <si>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</si>
  <si>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</si>
  <si>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</si>
  <si>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</si>
  <si>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</si>
  <si>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</si>
  <si>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</si>
  <si>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</si>
  <si>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</si>
  <si>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</si>
  <si>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</si>
  <si>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</si>
  <si>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</si>
  <si>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</si>
  <si>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</si>
  <si>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</si>
  <si>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</si>
  <si>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</si>
  <si>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</si>
  <si>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</si>
  <si>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</si>
  <si>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</si>
  <si>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</si>
  <si>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</si>
  <si>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</si>
  <si>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</si>
  <si>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</si>
  <si>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</si>
  <si>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</si>
  <si>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</si>
  <si>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</si>
  <si>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</si>
  <si>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</si>
  <si>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</si>
  <si>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</si>
  <si>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</si>
  <si>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</si>
  <si>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</si>
  <si>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</si>
  <si>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</si>
  <si>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</si>
  <si>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</si>
  <si>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</si>
  <si>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</si>
  <si>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</si>
  <si>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</si>
  <si>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</si>
  <si>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</si>
  <si>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</si>
  <si>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</si>
  <si>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</si>
  <si>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</si>
  <si>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</si>
  <si>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</si>
  <si>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</si>
  <si>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</si>
  <si>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</si>
  <si>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</si>
  <si>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</si>
  <si>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</si>
  <si>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</si>
  <si>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</si>
  <si>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</si>
  <si>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</si>
  <si>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</si>
  <si>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</si>
  <si>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</si>
  <si>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</si>
  <si>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</si>
  <si>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</si>
  <si>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</si>
  <si>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</si>
  <si>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</si>
  <si>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</si>
  <si>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</si>
  <si>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</si>
  <si>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</si>
  <si>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</si>
  <si>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</si>
  <si>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</si>
  <si>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</si>
  <si>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</si>
  <si>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</si>
  <si>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</si>
  <si>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</si>
  <si>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</si>
  <si>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</si>
  <si>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</si>
  <si>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</si>
  <si>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</si>
  <si>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</si>
  <si>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</si>
  <si>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</si>
  <si>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</si>
  <si>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</si>
  <si>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</si>
  <si>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</si>
  <si>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</si>
  <si>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</si>
  <si>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</si>
  <si>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</si>
  <si>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</si>
  <si>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</si>
  <si>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</si>
  <si>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</si>
  <si>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</si>
  <si>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</si>
  <si>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</si>
  <si>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</si>
  <si>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</si>
  <si>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</si>
  <si>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</si>
  <si>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</si>
  <si>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</si>
  <si>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</si>
  <si>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</si>
  <si>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</si>
  <si>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</si>
  <si>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</si>
  <si>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</si>
  <si>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</si>
  <si>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</si>
  <si>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</si>
  <si>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</si>
  <si>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</si>
  <si>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</si>
  <si>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</si>
  <si>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</si>
  <si>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</si>
  <si>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</si>
  <si>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</si>
  <si>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</si>
  <si>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</si>
  <si>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</si>
  <si>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</si>
  <si>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</si>
  <si>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</si>
  <si>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</si>
  <si>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</si>
  <si>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</si>
  <si>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</si>
  <si>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</si>
  <si>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</si>
  <si>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</si>
  <si>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</si>
  <si>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</si>
  <si>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</si>
  <si>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</si>
  <si>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</si>
  <si>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</si>
  <si>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</si>
  <si>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</si>
  <si>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</si>
  <si>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</si>
  <si>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</si>
  <si>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</si>
  <si>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</si>
  <si>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</si>
  <si>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</si>
  <si>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</si>
  <si>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</si>
  <si>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</si>
  <si>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</si>
  <si>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</si>
  <si>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</si>
  <si>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</si>
  <si>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</si>
  <si>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</si>
  <si>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</si>
  <si>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</si>
  <si>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</si>
  <si>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</si>
  <si>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</si>
  <si>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</si>
  <si>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</si>
  <si>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</si>
  <si>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</si>
  <si>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</si>
  <si>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</si>
  <si>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</si>
  <si>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</si>
  <si>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</si>
  <si>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</si>
  <si>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</si>
  <si>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</si>
  <si>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</si>
  <si>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</si>
  <si>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</si>
  <si>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</si>
  <si>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</si>
  <si>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</si>
  <si>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</si>
  <si>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</si>
  <si>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</si>
  <si>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</si>
  <si>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</si>
  <si>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</si>
  <si>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</si>
  <si>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</si>
  <si>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</si>
  <si>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</si>
  <si>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</si>
  <si>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</si>
  <si>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</si>
  <si>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</si>
  <si>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</si>
  <si>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</si>
  <si>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</si>
  <si>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</si>
  <si>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</si>
  <si>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</si>
  <si>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</si>
  <si>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</si>
  <si>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</si>
  <si>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</si>
  <si>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</si>
  <si>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</si>
  <si>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</si>
  <si>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</si>
  <si>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</si>
  <si>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</si>
  <si>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</si>
  <si>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</si>
  <si>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</si>
  <si>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</si>
  <si>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</si>
  <si>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</si>
  <si>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</si>
  <si>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</si>
  <si>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</si>
  <si>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</si>
  <si>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</si>
  <si>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</si>
  <si>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</si>
  <si>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</si>
  <si>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</si>
  <si>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</si>
  <si>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</si>
  <si>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</si>
  <si>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</si>
  <si>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</si>
  <si>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</si>
  <si>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</si>
  <si>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</si>
  <si>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</si>
  <si>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</si>
  <si>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</si>
  <si>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</si>
  <si>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</si>
  <si>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</si>
  <si>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</si>
  <si>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</si>
  <si>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</si>
  <si>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</si>
  <si>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</si>
  <si>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</si>
  <si>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</si>
  <si>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</si>
  <si>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</si>
  <si>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</si>
  <si>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</si>
  <si>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</si>
  <si>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</si>
  <si>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</si>
  <si>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</si>
  <si>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</si>
  <si>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</si>
  <si>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</si>
  <si>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</si>
  <si>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</si>
  <si>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</si>
  <si>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</si>
  <si>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</si>
  <si>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</si>
  <si>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</si>
  <si>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</si>
  <si>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</si>
  <si>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</si>
  <si>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</si>
  <si>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</si>
  <si>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</si>
  <si>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</si>
  <si>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</si>
  <si>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</si>
  <si>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</si>
  <si>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</si>
  <si>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</si>
  <si>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</si>
  <si>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</si>
  <si>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</si>
  <si>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</si>
  <si>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</si>
  <si>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</si>
  <si>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</si>
  <si>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</si>
  <si>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</si>
  <si>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</si>
  <si>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</si>
  <si>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</si>
  <si>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</si>
  <si>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</si>
  <si>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</si>
  <si>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</si>
  <si>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</si>
  <si>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</si>
  <si>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</si>
  <si>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</si>
  <si>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</si>
  <si>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</si>
  <si>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</si>
  <si>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</si>
  <si>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</si>
  <si>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</si>
  <si>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</si>
  <si>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</si>
  <si>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</si>
  <si>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</si>
  <si>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</si>
  <si>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</si>
  <si>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</si>
  <si>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</si>
  <si>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</si>
  <si>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</si>
  <si>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</si>
  <si>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</si>
  <si>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</si>
  <si>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</si>
  <si>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</si>
  <si>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</si>
  <si>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</si>
  <si>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</si>
  <si>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</si>
  <si>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</si>
  <si>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</si>
  <si>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</si>
  <si>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</si>
  <si>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</si>
  <si>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</si>
  <si>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</si>
  <si>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</si>
  <si>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</si>
  <si>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</si>
  <si>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</si>
  <si>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</si>
  <si>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</si>
  <si>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</si>
  <si>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</si>
  <si>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</si>
  <si>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</si>
  <si>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</si>
  <si>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</si>
  <si>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</si>
  <si>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</si>
  <si>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</si>
  <si>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</si>
  <si>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</si>
  <si>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</si>
  <si>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</si>
  <si>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</si>
  <si>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</si>
  <si>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</si>
  <si>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</si>
  <si>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</si>
  <si>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</si>
  <si>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</si>
  <si>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</si>
  <si>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</si>
  <si>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</si>
  <si>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</si>
  <si>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</si>
  <si>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</si>
  <si>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</si>
  <si>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</si>
  <si>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</si>
  <si>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</si>
  <si>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</si>
  <si>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</si>
  <si>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</si>
  <si>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</si>
  <si>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</si>
  <si>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</si>
  <si>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</si>
  <si>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</si>
  <si>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</si>
  <si>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</si>
  <si>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</si>
  <si>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</si>
  <si>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</si>
  <si>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</si>
  <si>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</si>
  <si>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</si>
  <si>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</si>
  <si>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</si>
  <si>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</si>
  <si>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</si>
  <si>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</si>
  <si>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</si>
  <si>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</si>
  <si>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</si>
  <si>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</si>
  <si>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</si>
  <si>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</si>
  <si>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</si>
  <si>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</si>
  <si>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</si>
  <si>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</si>
  <si>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</si>
  <si>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</si>
  <si>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</si>
  <si>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</si>
  <si>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</si>
  <si>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</si>
  <si>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</si>
  <si>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</si>
  <si>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</si>
  <si>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</si>
  <si>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</si>
  <si>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</si>
  <si>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</si>
  <si>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</si>
  <si>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</si>
  <si>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</si>
  <si>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</si>
  <si>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</si>
  <si>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</si>
  <si>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</si>
  <si>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</si>
  <si>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</si>
  <si>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</si>
  <si>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</si>
  <si>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</si>
  <si>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</si>
  <si>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</si>
  <si>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</si>
  <si>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</si>
  <si>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</si>
  <si>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</si>
  <si>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</si>
  <si>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</si>
  <si>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</si>
  <si>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</si>
  <si>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</si>
  <si>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</si>
  <si>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</si>
  <si>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</si>
  <si>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</si>
  <si>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</si>
  <si>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</si>
  <si>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</si>
  <si>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</si>
  <si>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</si>
  <si>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</si>
  <si>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</si>
  <si>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</si>
  <si>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</si>
  <si>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</si>
  <si>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</si>
  <si>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</si>
  <si>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</si>
  <si>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</si>
  <si>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</si>
  <si>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</si>
  <si>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</si>
  <si>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</si>
  <si>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</si>
  <si>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</si>
  <si>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</si>
  <si>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</si>
  <si>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</si>
  <si>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</si>
  <si>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</si>
  <si>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</si>
  <si>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</si>
  <si>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</si>
  <si>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</si>
  <si>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</si>
  <si>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</si>
  <si>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</si>
  <si>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</si>
  <si>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</si>
  <si>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</si>
  <si>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</si>
  <si>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</si>
  <si>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</si>
  <si>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</si>
  <si>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</si>
  <si>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</si>
  <si>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</si>
  <si>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</si>
  <si>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</si>
  <si>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</si>
  <si>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</si>
  <si>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</si>
  <si>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</si>
  <si>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</si>
  <si>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</si>
  <si>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</si>
  <si>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</si>
  <si>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</si>
  <si>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</si>
  <si>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</si>
  <si>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</si>
  <si>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</si>
  <si>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</si>
  <si>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</si>
  <si>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</si>
  <si>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</si>
  <si>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</si>
  <si>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</si>
  <si>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</si>
  <si>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</si>
  <si>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</si>
  <si>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</si>
  <si>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</si>
  <si>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</si>
  <si>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</si>
  <si>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</si>
  <si>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</si>
  <si>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</si>
  <si>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</si>
  <si>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</si>
  <si>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</si>
  <si>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</si>
  <si>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</si>
  <si>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</si>
  <si>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</si>
  <si>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</si>
  <si>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</si>
  <si>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</si>
  <si>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</si>
  <si>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</si>
  <si>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</si>
  <si>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</si>
  <si>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</si>
  <si>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</si>
  <si>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</si>
  <si>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</si>
  <si>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</si>
  <si>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</si>
  <si>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</si>
  <si>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</si>
  <si>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</si>
  <si>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</si>
  <si>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</si>
  <si>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</si>
  <si>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</si>
  <si>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</si>
  <si>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</si>
  <si>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</si>
  <si>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</si>
  <si>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</si>
  <si>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</si>
  <si>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</si>
  <si>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</si>
  <si>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</si>
  <si>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</si>
  <si>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</si>
  <si>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</si>
  <si>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</si>
  <si>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</si>
  <si>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</si>
  <si>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</si>
  <si>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</si>
  <si>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</si>
  <si>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</si>
  <si>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</si>
  <si>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</si>
  <si>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</si>
  <si>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</si>
  <si>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</si>
  <si>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</si>
  <si>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</si>
  <si>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</si>
  <si>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</si>
  <si>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</si>
  <si>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</si>
  <si>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</si>
  <si>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</si>
  <si>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</si>
  <si>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</si>
  <si>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</si>
  <si>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</si>
  <si>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</si>
  <si>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</si>
  <si>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</si>
  <si>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</si>
  <si>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</si>
  <si>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</si>
  <si>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</si>
  <si>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</si>
  <si>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</si>
  <si>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</si>
  <si>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</si>
  <si>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</si>
  <si>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</si>
  <si>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</si>
  <si>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</si>
  <si>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</si>
  <si>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</si>
  <si>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</si>
  <si>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</si>
  <si>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</si>
  <si>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</si>
  <si>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</si>
  <si>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</si>
  <si>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</si>
  <si>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</si>
  <si>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</si>
  <si>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</si>
  <si>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</si>
  <si>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</si>
  <si>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</si>
  <si>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</si>
  <si>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</si>
  <si>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</si>
  <si>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</si>
  <si>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</si>
  <si>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</si>
  <si>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</si>
  <si>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</si>
  <si>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</si>
  <si>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</si>
  <si>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</si>
  <si>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</si>
  <si>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</si>
  <si>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</si>
  <si>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</si>
  <si>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</si>
  <si>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</si>
  <si>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</si>
  <si>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</si>
  <si>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</si>
  <si>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</si>
  <si>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</si>
  <si>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</si>
  <si>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</si>
  <si>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</si>
  <si>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</si>
  <si>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</si>
  <si>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</si>
  <si>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</si>
  <si>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</si>
  <si>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</si>
  <si>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</si>
  <si>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</si>
  <si>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</si>
  <si>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</si>
  <si>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</si>
  <si>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</si>
  <si>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</si>
  <si>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</si>
  <si>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</si>
  <si>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</si>
  <si>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</si>
  <si>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</si>
  <si>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</si>
  <si>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</si>
  <si>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</si>
  <si>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</si>
  <si>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</si>
  <si>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</si>
  <si>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</si>
  <si>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</si>
  <si>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</si>
  <si>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</si>
  <si>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</si>
  <si>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</si>
  <si>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</si>
  <si>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</si>
  <si>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</si>
  <si>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</si>
  <si>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</si>
  <si>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</si>
  <si>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</si>
  <si>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</si>
  <si>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</si>
  <si>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</si>
  <si>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</si>
  <si>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</si>
  <si>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</si>
  <si>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</si>
  <si>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</si>
  <si>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</si>
  <si>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</si>
  <si>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</si>
  <si>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</si>
  <si>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</si>
  <si>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</si>
  <si>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</si>
  <si>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</si>
  <si>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</si>
  <si>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</si>
  <si>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</si>
  <si>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</si>
  <si>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</si>
  <si>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</si>
  <si>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</si>
  <si>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</si>
  <si>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</si>
  <si>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</si>
  <si>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</si>
  <si>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</si>
  <si>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</si>
  <si>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</si>
  <si>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</si>
  <si>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</si>
  <si>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</si>
  <si>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</si>
  <si>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</si>
  <si>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</si>
  <si>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</si>
  <si>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</si>
  <si>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</si>
  <si>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</si>
  <si>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</si>
  <si>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</si>
  <si>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</si>
  <si>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</si>
  <si>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</si>
  <si>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</si>
  <si>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</si>
  <si>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</si>
  <si>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</si>
  <si>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</si>
  <si>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</si>
  <si>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</si>
  <si>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</si>
  <si>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</si>
  <si>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</si>
  <si>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</si>
  <si>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</si>
  <si>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</si>
  <si>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</si>
  <si>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</si>
  <si>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</si>
  <si>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</si>
  <si>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</si>
  <si>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</si>
  <si>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</si>
  <si>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</si>
  <si>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</si>
  <si>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</si>
  <si>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</si>
  <si>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</si>
  <si>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</si>
  <si>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</si>
  <si>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</si>
  <si>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</si>
  <si>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</si>
  <si>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</si>
  <si>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</si>
  <si>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</si>
  <si>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</si>
  <si>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</si>
  <si>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</si>
  <si>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</si>
  <si>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</si>
  <si>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</si>
  <si>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</si>
  <si>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</si>
  <si>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</si>
  <si>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</si>
  <si>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</si>
  <si>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</si>
  <si>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</si>
  <si>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</si>
  <si>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</si>
  <si>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</si>
  <si>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</si>
  <si>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</si>
  <si>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</si>
  <si>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</si>
  <si>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</si>
  <si>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</si>
  <si>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</si>
  <si>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</si>
  <si>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</si>
  <si>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</si>
  <si>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</si>
  <si>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</si>
  <si>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</si>
  <si>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</si>
  <si>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</si>
  <si>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</si>
  <si>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</si>
  <si>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</si>
  <si>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</si>
  <si>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</si>
  <si>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</si>
  <si>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</si>
  <si>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</si>
  <si>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</si>
  <si>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</si>
  <si>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</si>
  <si>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</si>
  <si>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</si>
  <si>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</si>
  <si>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</si>
  <si>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</si>
  <si>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</si>
  <si>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</si>
  <si>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</si>
  <si>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</si>
  <si>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</si>
  <si>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</si>
  <si>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</si>
  <si>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</si>
  <si>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</si>
  <si>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</si>
  <si>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</si>
  <si>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</si>
  <si>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</si>
  <si>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</si>
  <si>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</si>
  <si>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</si>
  <si>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</si>
  <si>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</si>
  <si>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</si>
  <si>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</si>
  <si>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</si>
  <si>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</si>
  <si>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</si>
  <si>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</si>
  <si>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</si>
  <si>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</si>
  <si>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</si>
  <si>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</si>
  <si>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</si>
  <si>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</si>
  <si>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</si>
  <si>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</si>
  <si>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</si>
  <si>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</si>
  <si>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</si>
  <si>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</si>
  <si>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</si>
  <si>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</si>
  <si>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</si>
  <si>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</si>
  <si>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</si>
  <si>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</si>
  <si>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</si>
  <si>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</si>
  <si>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</si>
  <si>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</si>
  <si>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</si>
  <si>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</si>
  <si>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</si>
  <si>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</si>
  <si>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</si>
  <si>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</si>
  <si>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</si>
  <si>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</si>
  <si>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</si>
  <si>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</si>
  <si>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</si>
  <si>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</si>
  <si>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</si>
  <si>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</si>
  <si>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</si>
  <si>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</si>
  <si>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</si>
  <si>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</si>
  <si>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</si>
  <si>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</si>
  <si>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</si>
  <si>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</si>
  <si>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</si>
  <si>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</si>
  <si>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</si>
  <si>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</si>
  <si>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</si>
  <si>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</si>
  <si>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</si>
  <si>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</si>
  <si>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</si>
  <si>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</si>
  <si>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</si>
  <si>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</si>
  <si>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</si>
  <si>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</si>
  <si>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</si>
  <si>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</si>
  <si>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</si>
  <si>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</si>
  <si>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</si>
  <si>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</si>
  <si>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</si>
  <si>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</si>
  <si>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</si>
  <si>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</si>
  <si>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</si>
  <si>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</si>
  <si>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</si>
  <si>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</si>
  <si>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</si>
  <si>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</si>
  <si>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</si>
  <si>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</si>
  <si>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</si>
  <si>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</si>
  <si>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</si>
  <si>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</si>
  <si>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</si>
  <si>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</si>
  <si>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</si>
  <si>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</si>
  <si>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</si>
  <si>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</si>
  <si>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</si>
  <si>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</si>
  <si>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</si>
  <si>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</si>
  <si>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</si>
  <si>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</si>
  <si>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</si>
  <si>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</si>
  <si>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</si>
  <si>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</si>
  <si>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</si>
  <si>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</si>
  <si>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</si>
  <si>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</si>
  <si>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</si>
  <si>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</si>
  <si>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</si>
  <si>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</si>
  <si>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</si>
  <si>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</si>
  <si>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</si>
  <si>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</si>
  <si>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</si>
  <si>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</si>
  <si>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</si>
  <si>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</si>
  <si>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</si>
  <si>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</si>
  <si>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</si>
  <si>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</si>
  <si>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</si>
  <si>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</si>
  <si>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</si>
  <si>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</si>
  <si>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</si>
  <si>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</si>
  <si>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</si>
  <si>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</si>
  <si>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</si>
  <si>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</si>
  <si>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</si>
  <si>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</si>
  <si>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</si>
  <si>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</si>
  <si>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</si>
  <si>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</si>
  <si>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</si>
  <si>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</si>
  <si>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</si>
  <si>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</si>
  <si>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</si>
  <si>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</si>
  <si>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</si>
  <si>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</si>
  <si>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</si>
  <si>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</si>
  <si>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</si>
  <si>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</si>
  <si>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</si>
  <si>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</si>
  <si>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</si>
  <si>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</si>
  <si>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</si>
  <si>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</si>
  <si>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</si>
  <si>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</si>
  <si>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</si>
  <si>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</si>
  <si>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</si>
  <si>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</si>
  <si>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</si>
  <si>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</si>
  <si>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</si>
  <si>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</si>
  <si>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</si>
  <si>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</si>
  <si>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</si>
  <si>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</si>
  <si>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</si>
  <si>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</si>
  <si>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</si>
  <si>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</si>
  <si>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</si>
  <si>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</si>
  <si>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</si>
  <si>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</si>
  <si>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</si>
  <si>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</si>
  <si>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</si>
  <si>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</si>
  <si>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</si>
  <si>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</si>
  <si>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</si>
  <si>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</si>
  <si>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</si>
  <si>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</si>
  <si>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</si>
  <si>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</si>
  <si>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</si>
  <si>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</si>
  <si>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</si>
  <si>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</si>
  <si>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</si>
  <si>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</si>
  <si>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</si>
  <si>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</si>
  <si>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</si>
  <si>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</si>
  <si>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</si>
  <si>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</si>
  <si>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</si>
  <si>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</si>
  <si>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</si>
  <si>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</si>
  <si>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</si>
  <si>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</si>
  <si>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</si>
  <si>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</si>
  <si>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</si>
  <si>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</si>
  <si>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</si>
  <si>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</si>
  <si>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</si>
  <si>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</si>
  <si>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</si>
  <si>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</si>
  <si>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</si>
  <si>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</si>
  <si>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</si>
  <si>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</si>
  <si>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</si>
  <si>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</si>
  <si>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</si>
  <si>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</si>
  <si>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</si>
  <si>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</si>
  <si>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</si>
  <si>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</si>
  <si>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</si>
  <si>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</si>
  <si>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</si>
  <si>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</si>
  <si>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</si>
  <si>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</si>
  <si>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</si>
  <si>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</si>
  <si>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</si>
  <si>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</si>
  <si>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</si>
  <si>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</si>
  <si>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</si>
  <si>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</si>
  <si>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</si>
  <si>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</si>
  <si>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</si>
  <si>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</si>
  <si>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</si>
  <si>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</si>
  <si>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</si>
  <si>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</si>
  <si>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</si>
  <si>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</si>
  <si>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</si>
  <si>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</si>
  <si>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</si>
  <si>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</si>
  <si>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</si>
  <si>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</si>
  <si>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</si>
  <si>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</si>
  <si>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</si>
  <si>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</si>
  <si>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</si>
  <si>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</si>
  <si>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</si>
  <si>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</si>
  <si>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</si>
  <si>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</si>
  <si>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</si>
  <si>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</si>
  <si>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</si>
  <si>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</si>
  <si>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</si>
  <si>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</si>
  <si>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</si>
  <si>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</si>
  <si>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</si>
  <si>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</si>
  <si>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</si>
  <si>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</si>
  <si>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</si>
  <si>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</si>
  <si>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</si>
  <si>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</si>
  <si>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</si>
  <si>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</si>
  <si>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</si>
  <si>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</si>
  <si>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</si>
  <si>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</si>
  <si>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</si>
  <si>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</si>
  <si>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</si>
  <si>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</si>
  <si>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</si>
  <si>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</si>
  <si>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</si>
  <si>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</si>
  <si>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</si>
  <si>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</si>
  <si>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</si>
  <si>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</si>
  <si>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</si>
  <si>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</si>
  <si>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</si>
  <si>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</si>
  <si>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</si>
  <si>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</si>
  <si>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</si>
  <si>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</si>
  <si>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</si>
  <si>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</si>
  <si>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</si>
  <si>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</si>
  <si>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</si>
  <si>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</si>
  <si>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</si>
  <si>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</si>
  <si>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</si>
  <si>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</si>
  <si>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</si>
  <si>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</si>
  <si>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</si>
  <si>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</si>
  <si>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</si>
  <si>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</si>
  <si>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</si>
  <si>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</si>
  <si>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</si>
  <si>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</si>
  <si>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</si>
  <si>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</si>
  <si>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</si>
  <si>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</si>
  <si>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</si>
  <si>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</si>
  <si>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</si>
  <si>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</si>
  <si>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</si>
  <si>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</si>
  <si>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</si>
  <si>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</si>
  <si>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</si>
  <si>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</si>
  <si>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</si>
  <si>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</si>
  <si>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</si>
  <si>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</si>
  <si>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</si>
  <si>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</si>
  <si>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</si>
  <si>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</si>
  <si>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</si>
  <si>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</si>
  <si>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</si>
  <si>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</si>
  <si>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</si>
  <si>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</si>
  <si>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</si>
  <si>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</si>
  <si>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</si>
  <si>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</si>
  <si>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</si>
  <si>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</si>
  <si>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</si>
  <si>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</si>
  <si>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</si>
  <si>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</si>
  <si>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</si>
  <si>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</si>
  <si>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</si>
  <si>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</si>
  <si>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</si>
  <si>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</si>
  <si>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</si>
  <si>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</si>
  <si>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</si>
  <si>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</si>
  <si>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</si>
  <si>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</si>
  <si>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</si>
  <si>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</si>
  <si>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</si>
  <si>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</si>
  <si>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</si>
  <si>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</si>
  <si>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</si>
  <si>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</si>
  <si>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</si>
  <si>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</si>
  <si>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</si>
  <si>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</si>
  <si>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</si>
  <si>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</si>
  <si>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</si>
  <si>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</si>
  <si>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</si>
  <si>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</si>
  <si>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</si>
  <si>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</si>
  <si>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</si>
  <si>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</si>
  <si>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</si>
  <si>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</si>
  <si>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</si>
  <si>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</si>
  <si>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</si>
  <si>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</si>
  <si>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</si>
  <si>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</si>
  <si>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</si>
  <si>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</si>
  <si>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</si>
  <si>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</si>
  <si>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</si>
  <si>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</si>
  <si>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</si>
  <si>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</si>
  <si>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</si>
  <si>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</si>
  <si>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</si>
  <si>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</si>
  <si>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</si>
  <si>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</si>
  <si>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</si>
  <si>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</si>
  <si>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</si>
  <si>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</si>
  <si>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</si>
  <si>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</si>
  <si>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</si>
  <si>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</si>
  <si>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</si>
  <si>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</si>
  <si>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</si>
  <si>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</si>
  <si>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</si>
  <si>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</si>
  <si>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</si>
  <si>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</si>
  <si>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</si>
  <si>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</si>
  <si>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</si>
  <si>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</si>
  <si>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</si>
  <si>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</si>
  <si>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</si>
  <si>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</si>
  <si>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</si>
  <si>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</si>
  <si>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</si>
  <si>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</si>
  <si>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</si>
  <si>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</si>
  <si>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</si>
  <si>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</si>
  <si>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</si>
  <si>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</si>
  <si>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</si>
  <si>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</si>
  <si>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</si>
  <si>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</si>
  <si>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</si>
  <si>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</si>
  <si>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</si>
  <si>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</si>
  <si>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</si>
  <si>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</si>
  <si>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</si>
  <si>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</si>
  <si>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</si>
  <si>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</si>
  <si>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</si>
  <si>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</si>
  <si>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</si>
  <si>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</si>
  <si>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</si>
  <si>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</si>
  <si>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</si>
  <si>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</si>
  <si>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</si>
  <si>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</si>
  <si>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</si>
  <si>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</si>
  <si>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</si>
  <si>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</si>
  <si>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</si>
  <si>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</si>
  <si>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</si>
  <si>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</si>
  <si>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</si>
  <si>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</si>
  <si>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</si>
  <si>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</si>
  <si>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</si>
  <si>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</si>
  <si>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</si>
  <si>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</si>
  <si>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</si>
  <si>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</si>
  <si>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</si>
  <si>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</si>
  <si>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</si>
  <si>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</si>
  <si>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</si>
  <si>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</si>
  <si>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</si>
  <si>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</si>
  <si>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</si>
  <si>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</si>
  <si>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</si>
  <si>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</si>
  <si>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</si>
  <si>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</si>
  <si>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</si>
  <si>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</si>
  <si>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</si>
  <si>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</si>
  <si>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</si>
  <si>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</si>
  <si>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</si>
  <si>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</si>
  <si>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</si>
  <si>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</si>
  <si>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</si>
  <si>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</si>
  <si>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</si>
  <si>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</si>
  <si>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</si>
  <si>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</si>
  <si>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</si>
  <si>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</si>
  <si>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</si>
  <si>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</si>
  <si>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</si>
  <si>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</si>
  <si>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</si>
  <si>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</si>
  <si>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</si>
  <si>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</si>
  <si>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</si>
  <si>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</si>
  <si>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</si>
  <si>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</si>
  <si>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</si>
  <si>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</si>
  <si>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</si>
  <si>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</si>
  <si>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</si>
  <si>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</si>
  <si>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</si>
  <si>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</si>
  <si>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</si>
  <si>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</si>
  <si>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</si>
  <si>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</si>
  <si>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</si>
  <si>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</si>
  <si>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</si>
  <si>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</si>
  <si>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</si>
  <si>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</si>
  <si>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</si>
  <si>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</si>
  <si>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</si>
  <si>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</si>
  <si>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</si>
  <si>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</si>
  <si>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</si>
  <si>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</si>
  <si>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</si>
  <si>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</si>
  <si>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</si>
  <si>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</si>
  <si>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</si>
  <si>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</si>
  <si>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</si>
  <si>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</si>
  <si>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</si>
  <si>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</si>
  <si>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</si>
  <si>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</si>
  <si>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</si>
  <si>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</si>
  <si>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</si>
  <si>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</si>
  <si>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</si>
  <si>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</si>
  <si>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</si>
  <si>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</si>
  <si>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</si>
  <si>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</si>
  <si>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</si>
  <si>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</si>
  <si>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</si>
  <si>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</si>
  <si>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</si>
  <si>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</si>
  <si>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</si>
  <si>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</si>
  <si>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</si>
  <si>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</si>
  <si>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</si>
  <si>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</si>
  <si>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</si>
  <si>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</si>
  <si>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</si>
  <si>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</si>
  <si>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</si>
  <si>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</si>
  <si>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</si>
  <si>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</si>
  <si>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</si>
  <si>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</si>
  <si>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</si>
  <si>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</si>
  <si>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</si>
  <si>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</si>
  <si>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</si>
  <si>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</si>
  <si>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</si>
  <si>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</si>
  <si>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</si>
  <si>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</si>
  <si>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</si>
  <si>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</si>
  <si>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</si>
  <si>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</si>
  <si>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</si>
  <si>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</si>
  <si>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</si>
  <si>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</si>
  <si>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</si>
  <si>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</si>
  <si>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</si>
  <si>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</si>
  <si>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</si>
  <si>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</si>
  <si>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</si>
  <si>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</si>
  <si>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</si>
  <si>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</si>
  <si>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</si>
  <si>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</si>
  <si>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</si>
  <si>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</si>
  <si>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</si>
  <si>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</si>
  <si>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</si>
  <si>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</si>
  <si>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</si>
  <si>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</si>
  <si>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</si>
  <si>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</si>
  <si>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</si>
  <si>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</si>
  <si>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</si>
  <si>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</si>
  <si>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</si>
  <si>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</si>
  <si>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</si>
  <si>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</si>
  <si>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</si>
  <si>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</si>
  <si>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</si>
  <si>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</si>
  <si>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</si>
  <si>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</si>
  <si>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</si>
  <si>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</si>
  <si>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</si>
  <si>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</si>
  <si>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</si>
  <si>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</si>
  <si>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</si>
  <si>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</si>
  <si>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</si>
  <si>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</si>
  <si>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</si>
  <si>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</si>
  <si>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</si>
  <si>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</si>
  <si>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</si>
  <si>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</si>
  <si>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</si>
  <si>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</si>
  <si>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</si>
  <si>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</si>
  <si>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</si>
  <si>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</si>
  <si>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</si>
  <si>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</si>
  <si>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</si>
  <si>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</si>
  <si>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</si>
  <si>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</si>
  <si>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</si>
  <si>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</si>
  <si>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</si>
  <si>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</si>
  <si>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</si>
  <si>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</si>
  <si>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</si>
  <si>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</si>
  <si>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</si>
  <si>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</si>
  <si>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</si>
  <si>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</si>
  <si>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</si>
  <si>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</si>
  <si>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</si>
  <si>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</si>
  <si>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</si>
  <si>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</si>
  <si>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</si>
  <si>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</si>
  <si>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</si>
  <si>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</si>
  <si>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</si>
  <si>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</si>
  <si>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</si>
  <si>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</si>
  <si>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</si>
  <si>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</si>
  <si>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</si>
  <si>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</si>
  <si>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</si>
  <si>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</si>
  <si>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</si>
  <si>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</si>
  <si>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</si>
  <si>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</si>
  <si>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</si>
  <si>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</si>
  <si>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</si>
  <si>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</si>
  <si>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</si>
  <si>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</si>
  <si>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</si>
  <si>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</si>
  <si>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</si>
  <si>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</si>
  <si>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</si>
  <si>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</si>
  <si>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</si>
  <si>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</si>
  <si>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</si>
  <si>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</si>
  <si>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</si>
  <si>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</si>
  <si>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</si>
  <si>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</si>
  <si>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</si>
  <si>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</si>
  <si>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</si>
  <si>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</si>
  <si>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</si>
  <si>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</si>
  <si>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</si>
  <si>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</si>
  <si>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</si>
  <si>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</si>
  <si>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</si>
  <si>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</si>
  <si>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</si>
  <si>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</si>
  <si>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</si>
  <si>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</si>
  <si>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</si>
  <si>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</si>
  <si>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</si>
  <si>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</si>
  <si>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</si>
  <si>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</si>
  <si>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</si>
  <si>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</si>
  <si>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</si>
  <si>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</si>
  <si>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</si>
  <si>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</si>
  <si>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</si>
  <si>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</si>
  <si>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</si>
  <si>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</si>
  <si>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</si>
  <si>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</si>
  <si>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</si>
  <si>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</si>
  <si>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</si>
  <si>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</si>
  <si>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</si>
  <si>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</si>
  <si>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</si>
  <si>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</si>
  <si>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</si>
  <si>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</si>
  <si>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</si>
  <si>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</si>
  <si>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</si>
  <si>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</si>
  <si>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</si>
  <si>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</si>
  <si>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</si>
  <si>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</si>
  <si>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</si>
  <si>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</si>
  <si>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</si>
  <si>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</si>
  <si>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</si>
  <si>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</si>
  <si>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</si>
  <si>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</si>
  <si>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</si>
  <si>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</si>
  <si>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</si>
  <si>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</si>
  <si>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</si>
  <si>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</si>
  <si>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</si>
  <si>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</si>
  <si>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</si>
  <si>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</si>
  <si>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</si>
  <si>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</si>
  <si>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</si>
  <si>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</si>
  <si>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</si>
  <si>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</si>
  <si>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</si>
  <si>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</si>
  <si>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</si>
  <si>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</si>
  <si>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</si>
  <si>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</si>
  <si>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</si>
  <si>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</si>
  <si>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</si>
  <si>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</si>
  <si>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</si>
  <si>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</si>
  <si>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</si>
  <si>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</si>
  <si>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</si>
  <si>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</si>
  <si>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</si>
  <si>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</si>
  <si>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</si>
  <si>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</si>
  <si>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</si>
  <si>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</si>
  <si>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</si>
  <si>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</si>
  <si>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</si>
  <si>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</si>
  <si>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</si>
  <si>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</si>
  <si>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</si>
  <si>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</si>
  <si>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</si>
  <si>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</si>
  <si>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</si>
  <si>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</si>
  <si>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</si>
  <si>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</si>
  <si>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</si>
  <si>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</si>
  <si>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</si>
  <si>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</si>
  <si>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</si>
  <si>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</si>
  <si>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</si>
  <si>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</si>
  <si>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</si>
  <si>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</si>
  <si>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</si>
  <si>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</si>
  <si>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</si>
  <si>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</si>
  <si>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</si>
  <si>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</si>
  <si>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</si>
  <si>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</si>
  <si>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</si>
  <si>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</si>
  <si>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</si>
  <si>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</si>
  <si>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</si>
  <si>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</si>
  <si>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</si>
  <si>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</si>
  <si>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</si>
  <si>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</si>
  <si>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</si>
  <si>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</si>
  <si>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</si>
  <si>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</si>
  <si>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</si>
  <si>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</si>
  <si>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</si>
  <si>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</si>
  <si>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</si>
  <si>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</si>
  <si>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</si>
  <si>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</si>
  <si>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</si>
  <si>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</si>
  <si>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</si>
  <si>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</si>
  <si>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</si>
  <si>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</si>
  <si>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</si>
  <si>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</si>
  <si>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</si>
  <si>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</si>
  <si>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</si>
  <si>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</si>
  <si>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</si>
  <si>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</si>
  <si>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</si>
  <si>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</si>
  <si>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</si>
  <si>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</si>
  <si>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</si>
  <si>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</si>
  <si>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</si>
  <si>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</si>
  <si>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</si>
  <si>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</si>
  <si>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</si>
  <si>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</si>
  <si>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</si>
  <si>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</si>
  <si>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</si>
  <si>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</si>
  <si>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</si>
  <si>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</si>
  <si>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</si>
  <si>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</si>
  <si>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</si>
  <si>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</si>
  <si>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</si>
  <si>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</si>
  <si>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</si>
  <si>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</si>
  <si>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</si>
  <si>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</si>
  <si>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</si>
  <si>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</si>
  <si>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</si>
  <si>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</si>
  <si>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</si>
  <si>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</si>
  <si>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</si>
  <si>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</si>
  <si>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</si>
  <si>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</si>
  <si>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</si>
  <si>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</si>
  <si>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</si>
  <si>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</si>
  <si>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</si>
  <si>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</si>
  <si>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</si>
  <si>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</si>
  <si>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</si>
  <si>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</si>
  <si>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</si>
  <si>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</si>
  <si>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</si>
  <si>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</si>
  <si>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</si>
  <si>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</si>
  <si>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</si>
  <si>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</si>
  <si>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</si>
  <si>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</si>
  <si>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</si>
  <si>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</si>
  <si>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</si>
  <si>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</si>
  <si>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</si>
  <si>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</si>
  <si>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</si>
  <si>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</si>
  <si>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</si>
  <si>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</si>
  <si>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</si>
  <si>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</si>
  <si>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</si>
  <si>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</si>
  <si>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</si>
  <si>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</si>
  <si>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</si>
  <si>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</si>
  <si>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</si>
  <si>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</si>
  <si>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</si>
  <si>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</si>
  <si>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</si>
  <si>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</si>
  <si>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</si>
  <si>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</si>
  <si>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</si>
  <si>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</si>
  <si>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</si>
  <si>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</si>
  <si>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</si>
  <si>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</si>
  <si>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</si>
  <si>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</si>
  <si>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</si>
  <si>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</si>
  <si>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</si>
  <si>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</si>
  <si>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</si>
  <si>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</si>
  <si>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</si>
  <si>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</si>
  <si>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</si>
  <si>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</si>
  <si>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</si>
  <si>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</si>
  <si>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</si>
  <si>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</si>
  <si>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</si>
  <si>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</si>
  <si>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</si>
  <si>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</si>
  <si>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</si>
  <si>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</si>
  <si>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</si>
  <si>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</si>
  <si>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</si>
  <si>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</si>
  <si>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</si>
  <si>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</si>
  <si>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</si>
  <si>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</si>
  <si>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</si>
  <si>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</si>
  <si>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</si>
  <si>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</si>
  <si>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</si>
  <si>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</si>
  <si>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</si>
  <si>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</si>
  <si>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</si>
  <si>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</si>
  <si>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</si>
  <si>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</si>
  <si>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</si>
  <si>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</si>
  <si>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</si>
  <si>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</si>
  <si>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</si>
  <si>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</si>
  <si>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</si>
  <si>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</si>
  <si>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</si>
  <si>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</si>
  <si>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</si>
  <si>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</si>
  <si>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</si>
  <si>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</si>
  <si>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</si>
  <si>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</si>
  <si>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</si>
  <si>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</si>
  <si>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</si>
  <si>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</si>
  <si>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</si>
  <si>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</si>
  <si>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</si>
  <si>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</si>
  <si>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</si>
  <si>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</si>
  <si>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</si>
  <si>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</si>
  <si>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</si>
  <si>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</si>
  <si>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</si>
  <si>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</si>
  <si>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</si>
  <si>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</si>
  <si>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</si>
  <si>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</si>
  <si>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</si>
  <si>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</si>
  <si>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</si>
  <si>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</si>
  <si>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</si>
  <si>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</si>
  <si>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</si>
  <si>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</si>
  <si>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</si>
  <si>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</si>
  <si>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</si>
  <si>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</si>
  <si>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</si>
  <si>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</si>
  <si>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</si>
  <si>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</si>
  <si>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</si>
  <si>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</si>
  <si>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</si>
  <si>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</si>
  <si>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</si>
  <si>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</si>
  <si>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</si>
  <si>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</si>
  <si>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</si>
  <si>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</si>
  <si>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</si>
  <si>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</si>
  <si>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</si>
  <si>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</si>
  <si>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</si>
  <si>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</si>
  <si>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</si>
  <si>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</si>
  <si>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</si>
  <si>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</si>
  <si>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</si>
  <si>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</si>
  <si>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</si>
  <si>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</si>
  <si>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</si>
  <si>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</si>
  <si>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</si>
  <si>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</si>
  <si>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</si>
  <si>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</si>
  <si>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</si>
  <si>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</si>
  <si>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</si>
  <si>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</si>
  <si>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</si>
  <si>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</si>
  <si>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</si>
  <si>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</si>
  <si>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</si>
  <si>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</si>
  <si>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</si>
  <si>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</si>
  <si>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</si>
  <si>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</si>
  <si>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</si>
  <si>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</si>
  <si>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</si>
  <si>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</si>
  <si>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</si>
  <si>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</si>
  <si>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</si>
  <si>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</si>
  <si>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</si>
  <si>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</si>
  <si>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</si>
  <si>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</si>
  <si>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</si>
  <si>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</si>
  <si>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</si>
  <si>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</si>
  <si>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</si>
  <si>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</si>
  <si>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</si>
  <si>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</si>
  <si>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</si>
  <si>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</si>
  <si>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</si>
  <si>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</si>
  <si>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</si>
  <si>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</si>
  <si>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</si>
  <si>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</si>
  <si>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</si>
  <si>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</si>
  <si>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</si>
  <si>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</si>
  <si>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</si>
  <si>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</si>
  <si>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</si>
  <si>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</si>
  <si>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</si>
  <si>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</si>
  <si>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</si>
  <si>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</si>
  <si>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</si>
  <si>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</si>
  <si>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</si>
  <si>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</si>
  <si>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</si>
  <si>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</si>
  <si>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</si>
  <si>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</si>
  <si>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</si>
  <si>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</si>
  <si>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</si>
  <si>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</si>
  <si>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</si>
  <si>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</si>
  <si>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</si>
  <si>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</si>
  <si>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</si>
  <si>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</si>
  <si>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</si>
  <si>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</si>
  <si>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</si>
  <si>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</si>
  <si>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</si>
  <si>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</si>
  <si>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</si>
  <si>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</si>
  <si>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</si>
  <si>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</si>
  <si>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</si>
  <si>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</si>
  <si>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</si>
  <si>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</si>
  <si>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</si>
  <si>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</si>
  <si>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</si>
  <si>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</si>
  <si>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</si>
  <si>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</si>
  <si>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</si>
  <si>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</si>
  <si>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</si>
  <si>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</si>
  <si>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</si>
  <si>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</si>
  <si>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</si>
  <si>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</si>
  <si>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</si>
  <si>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</si>
  <si>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</si>
  <si>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</si>
  <si>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</si>
  <si>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</si>
  <si>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</si>
  <si>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</si>
  <si>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</si>
  <si>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</si>
  <si>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</si>
  <si>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</si>
  <si>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</si>
  <si>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</si>
  <si>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</si>
  <si>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</si>
  <si>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</si>
  <si>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</si>
  <si>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</si>
  <si>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</si>
  <si>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</si>
  <si>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</si>
  <si>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</si>
  <si>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</si>
  <si>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</si>
  <si>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</si>
  <si>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</si>
  <si>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</si>
  <si>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</si>
  <si>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</si>
  <si>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</si>
  <si>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</si>
  <si>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</si>
  <si>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</si>
  <si>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</si>
  <si>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</si>
  <si>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</si>
  <si>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</si>
  <si>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</si>
  <si>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</si>
  <si>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</si>
  <si>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</si>
  <si>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</si>
  <si>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</si>
  <si>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</si>
  <si>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</si>
  <si>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</si>
  <si>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</si>
  <si>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</si>
  <si>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</si>
  <si>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</si>
  <si>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</si>
  <si>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</si>
  <si>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</si>
  <si>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</si>
  <si>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</si>
  <si>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</si>
  <si>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</si>
  <si>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</si>
  <si>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</si>
  <si>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</si>
  <si>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</si>
  <si>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</si>
  <si>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</si>
  <si>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</si>
  <si>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</si>
  <si>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</si>
  <si>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</si>
  <si>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</si>
  <si>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</si>
  <si>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</si>
  <si>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</si>
  <si>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</si>
  <si>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</si>
  <si>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</si>
  <si>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</si>
  <si>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</si>
  <si>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</si>
  <si>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</si>
  <si>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</si>
  <si>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</si>
  <si>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</si>
  <si>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</si>
  <si>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</si>
  <si>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</si>
  <si>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</si>
  <si>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</si>
  <si>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</si>
  <si>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</si>
  <si>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</si>
  <si>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</si>
  <si>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</si>
  <si>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</si>
  <si>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</si>
  <si>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</si>
  <si>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</si>
  <si>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</si>
  <si>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</si>
  <si>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</si>
  <si>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</si>
  <si>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</si>
  <si>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</si>
  <si>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</si>
  <si>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</si>
  <si>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</si>
  <si>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</si>
  <si>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</si>
  <si>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</si>
  <si>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</si>
  <si>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</si>
  <si>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</si>
  <si>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</si>
  <si>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</si>
  <si>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</si>
  <si>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</si>
  <si>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</si>
  <si>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</si>
  <si>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</si>
  <si>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</si>
  <si>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</si>
  <si>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</si>
  <si>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</si>
  <si>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</si>
  <si>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</si>
  <si>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</si>
  <si>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</si>
  <si>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</si>
  <si>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</si>
  <si>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</si>
  <si>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</si>
  <si>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</si>
  <si>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</si>
  <si>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</si>
  <si>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</si>
  <si>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</si>
  <si>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</si>
  <si>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</si>
  <si>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</si>
  <si>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</si>
  <si>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</si>
  <si>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</si>
  <si>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</si>
  <si>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</si>
  <si>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</si>
  <si>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</si>
  <si>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</si>
  <si>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</si>
  <si>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</si>
  <si>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</si>
  <si>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</si>
  <si>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</si>
  <si>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</si>
  <si>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</si>
  <si>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</si>
  <si>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</si>
  <si>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</si>
  <si>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</si>
  <si>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</si>
  <si>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</si>
  <si>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</si>
  <si>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</si>
  <si>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</si>
  <si>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</si>
  <si>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</si>
  <si>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</si>
  <si>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</si>
  <si>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</si>
  <si>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</si>
  <si>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</si>
  <si>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</si>
  <si>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</si>
  <si>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</si>
  <si>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</si>
  <si>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</si>
  <si>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</si>
  <si>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</si>
  <si>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</si>
  <si>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</si>
  <si>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</si>
  <si>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</si>
  <si>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</si>
  <si>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</si>
  <si>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</si>
  <si>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</si>
  <si>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</si>
  <si>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</si>
  <si>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</si>
  <si>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</si>
  <si>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</si>
  <si>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</si>
  <si>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</si>
  <si>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</si>
  <si>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</si>
  <si>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</si>
  <si>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</si>
  <si>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</si>
  <si>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</si>
  <si>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</si>
  <si>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</si>
  <si>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</si>
  <si>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</si>
  <si>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</si>
  <si>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</si>
  <si>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</si>
  <si>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</si>
  <si>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</si>
  <si>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</si>
  <si>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</si>
  <si>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</si>
  <si>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</si>
  <si>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</si>
  <si>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</si>
  <si>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</si>
  <si>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</si>
  <si>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</si>
  <si>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</si>
  <si>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</si>
  <si>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</si>
  <si>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</si>
  <si>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</si>
  <si>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</si>
  <si>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</si>
  <si>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</si>
  <si>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</si>
  <si>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</si>
  <si>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</si>
  <si>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</si>
  <si>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</si>
  <si>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</si>
  <si>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</si>
  <si>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</si>
  <si>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</si>
  <si>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</si>
  <si>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</si>
  <si>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</si>
  <si>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</si>
  <si>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</si>
  <si>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</si>
  <si>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</si>
  <si>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</si>
  <si>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</si>
  <si>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</si>
  <si>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</si>
  <si>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</si>
  <si>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</si>
  <si>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</si>
  <si>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</si>
  <si>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</si>
  <si>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</si>
  <si>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</si>
  <si>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</si>
  <si>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</si>
  <si>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</si>
  <si>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</si>
  <si>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</si>
  <si>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</si>
  <si>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</si>
  <si>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</si>
  <si>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</si>
  <si>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</si>
  <si>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</si>
  <si>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</si>
  <si>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</si>
  <si>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</si>
  <si>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</si>
  <si>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</si>
  <si>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</si>
  <si>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</si>
  <si>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</si>
  <si>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</si>
  <si>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</si>
  <si>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</si>
  <si>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</si>
  <si>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</si>
  <si>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</si>
  <si>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</si>
  <si>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</si>
  <si>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</si>
  <si>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</si>
  <si>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</si>
  <si>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</si>
  <si>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</si>
  <si>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</si>
  <si>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</si>
  <si>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</si>
  <si>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</si>
  <si>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</si>
  <si>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</si>
  <si>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</si>
  <si>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</si>
  <si>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</si>
  <si>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</si>
  <si>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</si>
  <si>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</si>
  <si>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</si>
  <si>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</si>
  <si>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</si>
  <si>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</si>
  <si>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</si>
  <si>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</si>
  <si>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</si>
  <si>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</si>
  <si>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</si>
  <si>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</si>
  <si>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</si>
  <si>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</si>
  <si>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</si>
  <si>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</si>
  <si>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</si>
  <si>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</si>
  <si>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</si>
  <si>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</si>
  <si>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</si>
  <si>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</si>
  <si>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</si>
  <si>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</si>
  <si>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</si>
  <si>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</si>
  <si>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</si>
  <si>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</si>
  <si>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</si>
  <si>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</si>
  <si>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</si>
  <si>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</si>
  <si>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</si>
  <si>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</si>
  <si>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</si>
  <si>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</si>
  <si>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</si>
  <si>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</si>
  <si>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</si>
  <si>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</si>
  <si>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</si>
  <si>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</si>
  <si>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</si>
  <si>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</si>
  <si>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</si>
  <si>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</si>
  <si>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</si>
  <si>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</si>
  <si>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</si>
  <si>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</si>
  <si>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</si>
  <si>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</si>
  <si>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</si>
  <si>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</si>
  <si>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</si>
  <si>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</si>
  <si>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</si>
  <si>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</si>
  <si>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</si>
  <si>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</si>
  <si>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</si>
  <si>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</si>
  <si>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</si>
  <si>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</si>
  <si>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</si>
  <si>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</si>
  <si>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</si>
  <si>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</si>
  <si>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</si>
  <si>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</si>
  <si>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</si>
  <si>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</si>
  <si>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</si>
  <si>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</si>
  <si>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</si>
  <si>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</si>
  <si>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</si>
  <si>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</si>
  <si>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</si>
  <si>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</si>
  <si>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</si>
  <si>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</si>
  <si>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</si>
  <si>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</si>
  <si>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</si>
  <si>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</si>
  <si>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</si>
  <si>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</si>
  <si>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</si>
  <si>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</si>
  <si>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</si>
  <si>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</si>
  <si>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</si>
  <si>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</si>
  <si>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</si>
  <si>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</si>
  <si>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</si>
  <si>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</si>
  <si>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</si>
  <si>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</si>
  <si>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</si>
  <si>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</si>
  <si>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</si>
  <si>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</si>
  <si>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</si>
  <si>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</si>
  <si>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</si>
  <si>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</si>
  <si>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</si>
  <si>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</si>
  <si>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</si>
  <si>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</si>
  <si>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</si>
  <si>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</si>
  <si>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</si>
  <si>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</si>
  <si>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</si>
  <si>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</si>
  <si>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</si>
  <si>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</si>
  <si>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</si>
  <si>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</si>
  <si>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</si>
  <si>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</si>
  <si>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</si>
  <si>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</si>
  <si>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</si>
  <si>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</si>
  <si>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</si>
  <si>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</si>
  <si>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</si>
  <si>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</si>
  <si>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</si>
  <si>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</si>
  <si>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</si>
  <si>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</si>
  <si>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</si>
  <si>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</si>
  <si>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</si>
  <si>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</si>
  <si>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</si>
  <si>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</si>
  <si>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</si>
  <si>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</si>
  <si>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</si>
  <si>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</si>
  <si>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</si>
  <si>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</si>
  <si>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</si>
  <si>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</si>
  <si>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</si>
  <si>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</si>
  <si>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</si>
  <si>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</si>
  <si>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</si>
  <si>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</si>
  <si>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</si>
  <si>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</si>
  <si>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</si>
  <si>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</si>
  <si>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</si>
  <si>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</si>
  <si>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</si>
  <si>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</si>
  <si>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</si>
  <si>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</si>
  <si>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</si>
  <si>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</si>
  <si>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</si>
  <si>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</si>
  <si>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</si>
  <si>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</si>
  <si>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</si>
  <si>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</si>
  <si>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</si>
  <si>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</si>
  <si>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</si>
  <si>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</si>
  <si>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</si>
  <si>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</si>
  <si>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</si>
  <si>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</si>
  <si>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</si>
  <si>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</si>
  <si>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</si>
  <si>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</si>
  <si>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</si>
  <si>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</si>
  <si>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</si>
  <si>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</si>
  <si>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</si>
  <si>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</si>
  <si>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</si>
  <si>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</si>
  <si>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</si>
  <si>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</si>
  <si>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</si>
  <si>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</si>
  <si>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</si>
  <si>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</si>
  <si>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</si>
  <si>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</si>
  <si>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</si>
  <si>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</si>
  <si>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</si>
  <si>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</si>
  <si>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</si>
  <si>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</si>
  <si>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</si>
  <si>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</si>
  <si>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</si>
  <si>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</si>
  <si>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</si>
  <si>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</si>
  <si>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</si>
  <si>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</si>
  <si>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</si>
  <si>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</si>
  <si>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</si>
  <si>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</si>
  <si>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</si>
  <si>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</si>
  <si>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</si>
  <si>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</si>
  <si>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</si>
  <si>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</si>
  <si>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</si>
  <si>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</si>
  <si>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</si>
  <si>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</si>
  <si>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</si>
  <si>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</si>
  <si>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</si>
  <si>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</si>
  <si>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</si>
  <si>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</si>
  <si>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</si>
  <si>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</si>
  <si>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</si>
  <si>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</si>
  <si>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</si>
  <si>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</si>
  <si>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</si>
  <si>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</si>
  <si>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</si>
  <si>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</si>
  <si>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</si>
  <si>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</si>
  <si>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</si>
  <si>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</si>
  <si>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</si>
  <si>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</si>
  <si>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</si>
  <si>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</si>
  <si>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</si>
  <si>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</si>
  <si>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</si>
  <si>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</si>
  <si>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</si>
  <si>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</si>
  <si>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</si>
  <si>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</si>
  <si>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</si>
  <si>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</si>
  <si>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</si>
  <si>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</si>
  <si>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</si>
  <si>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</si>
  <si>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</si>
  <si>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</si>
  <si>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</si>
  <si>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</si>
  <si>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</si>
  <si>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</si>
  <si>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</si>
  <si>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</si>
  <si>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</si>
  <si>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</si>
  <si>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</si>
  <si>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</si>
  <si>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</si>
  <si>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</si>
  <si>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</si>
  <si>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</si>
  <si>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</si>
  <si>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</si>
  <si>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</si>
  <si>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</si>
  <si>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</si>
  <si>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</si>
  <si>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</si>
  <si>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</si>
  <si>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</si>
  <si>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</si>
  <si>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</si>
  <si>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</si>
  <si>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</si>
  <si>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</si>
  <si>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</si>
  <si>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</si>
  <si>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</si>
  <si>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</si>
  <si>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</si>
  <si>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</si>
  <si>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</si>
  <si>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</si>
  <si>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</si>
  <si>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</si>
  <si>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</si>
  <si>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</si>
  <si>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</si>
  <si>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</si>
  <si>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</si>
  <si>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</si>
  <si>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</si>
  <si>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</si>
  <si>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</si>
  <si>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</si>
  <si>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</si>
  <si>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</si>
  <si>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</si>
  <si>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</si>
  <si>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</si>
  <si>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</si>
  <si>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</si>
  <si>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</si>
  <si>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</si>
  <si>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</si>
  <si>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</si>
  <si>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</si>
  <si>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</si>
  <si>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</si>
  <si>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</si>
  <si>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</si>
  <si>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</si>
  <si>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</si>
  <si>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</si>
  <si>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</si>
  <si>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</si>
  <si>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</si>
  <si>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</si>
  <si>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</si>
  <si>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</si>
  <si>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</si>
  <si>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</si>
  <si>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</si>
  <si>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</si>
  <si>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</si>
  <si>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</si>
  <si>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</si>
  <si>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</si>
  <si>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</si>
  <si>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</si>
  <si>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</si>
  <si>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</si>
  <si>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</si>
  <si>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</si>
  <si>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</si>
  <si>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</si>
  <si>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</si>
  <si>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</si>
  <si>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</si>
  <si>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</si>
  <si>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</si>
  <si>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</si>
  <si>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</si>
  <si>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</si>
  <si>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</si>
  <si>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</si>
  <si>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</si>
  <si>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</si>
  <si>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</si>
  <si>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</si>
  <si>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</si>
  <si>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</si>
  <si>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</si>
  <si>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</si>
  <si>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</si>
  <si>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</si>
  <si>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</si>
  <si>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</si>
  <si>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</si>
  <si>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</si>
  <si>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</si>
  <si>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</si>
  <si>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</si>
  <si>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</si>
  <si>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</si>
  <si>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</si>
  <si>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</si>
  <si>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</si>
  <si>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</si>
  <si>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</si>
  <si>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</si>
  <si>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</si>
  <si>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</si>
  <si>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</si>
  <si>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</si>
  <si>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</si>
  <si>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</si>
  <si>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</si>
  <si>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</si>
  <si>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</si>
  <si>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</si>
  <si>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</si>
  <si>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</si>
  <si>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</si>
  <si>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</si>
  <si>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</si>
  <si>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</si>
  <si>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</si>
  <si>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</si>
  <si>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</si>
  <si>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</si>
  <si>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</si>
  <si>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</si>
  <si>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</si>
  <si>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</si>
  <si>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</si>
  <si>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</si>
  <si>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</si>
  <si>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</si>
  <si>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</si>
  <si>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</si>
  <si>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</si>
  <si>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</si>
  <si>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</si>
  <si>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</si>
  <si>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</si>
  <si>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</si>
  <si>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</si>
  <si>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</si>
  <si>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</si>
  <si>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</si>
  <si>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</si>
  <si>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</si>
  <si>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</si>
  <si>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</si>
  <si>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</si>
  <si>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</si>
  <si>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</si>
  <si>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</si>
  <si>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</si>
  <si>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</si>
  <si>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</si>
  <si>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</si>
  <si>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</si>
  <si>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</si>
  <si>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</si>
  <si>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</si>
  <si>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</si>
  <si>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</si>
  <si>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</si>
  <si>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</si>
  <si>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</si>
  <si>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</si>
  <si>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</si>
  <si>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</si>
  <si>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</si>
  <si>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</si>
  <si>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</si>
  <si>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</si>
  <si>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</si>
  <si>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</si>
  <si>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</si>
  <si>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</si>
  <si>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</si>
  <si>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</si>
  <si>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</si>
  <si>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</si>
  <si>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</si>
  <si>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</si>
  <si>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</si>
  <si>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</si>
  <si>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</si>
  <si>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</si>
  <si>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</si>
  <si>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</si>
  <si>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</si>
  <si>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</si>
  <si>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</si>
  <si>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</si>
  <si>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</si>
  <si>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</si>
  <si>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</si>
  <si>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</si>
  <si>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</si>
  <si>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</si>
  <si>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</si>
  <si>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</si>
  <si>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</si>
  <si>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</si>
  <si>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</si>
  <si>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</si>
  <si>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</si>
  <si>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</si>
  <si>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</si>
  <si>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</si>
  <si>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</si>
  <si>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</si>
  <si>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</si>
  <si>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</si>
  <si>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</si>
  <si>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</si>
  <si>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</si>
  <si>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</si>
  <si>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</si>
  <si>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</si>
  <si>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</si>
  <si>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</si>
  <si>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</si>
  <si>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</si>
  <si>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</si>
  <si>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</si>
  <si>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</si>
  <si>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</si>
  <si>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</si>
  <si>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</si>
  <si>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</si>
  <si>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</si>
  <si>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</si>
  <si>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</si>
  <si>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</si>
  <si>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</si>
  <si>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</si>
  <si>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</si>
  <si>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</si>
  <si>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</si>
  <si>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</si>
  <si>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</si>
  <si>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</si>
  <si>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</si>
  <si>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</si>
  <si>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</si>
  <si>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</si>
  <si>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</si>
  <si>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</si>
  <si>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</si>
  <si>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</si>
  <si>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</si>
  <si>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</si>
  <si>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</si>
  <si>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</si>
  <si>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</si>
  <si>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</si>
  <si>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</si>
  <si>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</si>
  <si>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</si>
  <si>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</si>
  <si>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</si>
  <si>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</si>
  <si>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</si>
  <si>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</si>
  <si>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</si>
  <si>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</si>
  <si>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</si>
  <si>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</si>
  <si>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</si>
  <si>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</si>
  <si>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</si>
  <si>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</si>
  <si>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</si>
  <si>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</si>
  <si>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</si>
  <si>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</si>
  <si>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</si>
  <si>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</si>
  <si>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</si>
  <si>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</si>
  <si>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</si>
  <si>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</si>
  <si>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</si>
  <si>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</si>
  <si>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</si>
  <si>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</si>
  <si>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</si>
  <si>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</si>
  <si>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</si>
  <si>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</si>
  <si>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</si>
  <si>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</si>
  <si>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</si>
  <si>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</si>
  <si>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</si>
  <si>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</si>
  <si>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</si>
  <si>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</si>
  <si>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</si>
  <si>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</si>
  <si>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</si>
  <si>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</si>
  <si>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</si>
  <si>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</si>
  <si>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</si>
  <si>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</si>
  <si>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</si>
  <si>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</si>
  <si>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</si>
  <si>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</si>
  <si>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</si>
  <si>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</si>
  <si>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</si>
  <si>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</si>
  <si>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</si>
  <si>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</si>
  <si>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</si>
  <si>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</si>
  <si>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</si>
  <si>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</si>
  <si>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</si>
  <si>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</si>
  <si>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</si>
  <si>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</si>
  <si>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</si>
  <si>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</si>
  <si>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</si>
  <si>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</si>
  <si>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</si>
  <si>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</si>
  <si>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</si>
  <si>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</si>
  <si>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</si>
  <si>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</si>
  <si>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</si>
  <si>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</si>
  <si>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</si>
  <si>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</si>
  <si>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</si>
  <si>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</si>
  <si>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</si>
  <si>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</si>
  <si>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</si>
  <si>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</si>
  <si>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</si>
  <si>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</si>
  <si>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</si>
  <si>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</si>
  <si>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</si>
  <si>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</si>
  <si>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</si>
  <si>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</si>
  <si>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</si>
  <si>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</si>
  <si>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</si>
  <si>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</si>
  <si>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</si>
  <si>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</si>
  <si>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</si>
  <si>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</si>
  <si>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</si>
  <si>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</si>
  <si>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</si>
  <si>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</si>
  <si>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</si>
  <si>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</si>
  <si>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</si>
  <si>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</si>
  <si>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</si>
  <si>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</si>
  <si>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</si>
  <si>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</si>
  <si>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</si>
  <si>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</si>
  <si>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</si>
  <si>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</si>
  <si>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</si>
  <si>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</si>
  <si>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</si>
  <si>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</si>
  <si>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</si>
  <si>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</si>
  <si>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</si>
  <si>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</si>
  <si>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</si>
  <si>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</si>
  <si>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</si>
  <si>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</si>
  <si>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</si>
  <si>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</si>
  <si>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</si>
  <si>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</si>
  <si>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</si>
  <si>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</si>
  <si>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</si>
  <si>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</si>
  <si>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</si>
  <si>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</si>
  <si>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</si>
  <si>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</si>
  <si>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北京市</t>
  </si>
  <si>
    <t>企业</t>
  </si>
  <si>
    <t>出让</t>
  </si>
  <si>
    <t>抵押</t>
  </si>
  <si>
    <t>房地产抵押价值</t>
  </si>
  <si>
    <t>在建</t>
  </si>
  <si>
    <r>
      <rPr>
        <sz val="10"/>
        <color rgb="FF000000"/>
        <rFont val="Arial"/>
        <family val="2"/>
      </rPr>
      <t>1</t>
    </r>
    <r>
      <rPr>
        <sz val="10"/>
        <color rgb="FF000000"/>
        <rFont val="宋体"/>
        <family val="3"/>
        <charset val="134"/>
      </rPr>
      <t>号楼</t>
    </r>
  </si>
  <si>
    <r>
      <rPr>
        <sz val="10"/>
        <color rgb="FF000000"/>
        <rFont val="Arial"/>
        <family val="2"/>
      </rPr>
      <t>2</t>
    </r>
    <r>
      <rPr>
        <sz val="10"/>
        <color rgb="FF000000"/>
        <rFont val="宋体"/>
        <family val="3"/>
        <charset val="134"/>
      </rPr>
      <t>号楼</t>
    </r>
  </si>
  <si>
    <r>
      <rPr>
        <sz val="10"/>
        <color rgb="FF000000"/>
        <rFont val="Arial"/>
        <family val="2"/>
      </rPr>
      <t>3</t>
    </r>
    <r>
      <rPr>
        <sz val="10"/>
        <color rgb="FF000000"/>
        <rFont val="宋体"/>
        <family val="3"/>
        <charset val="134"/>
      </rPr>
      <t>号楼</t>
    </r>
  </si>
  <si>
    <r>
      <rPr>
        <sz val="10"/>
        <color rgb="FF000000"/>
        <rFont val="Arial"/>
        <family val="2"/>
      </rPr>
      <t>4</t>
    </r>
    <r>
      <rPr>
        <sz val="10"/>
        <color rgb="FF000000"/>
        <rFont val="宋体"/>
        <family val="3"/>
        <charset val="134"/>
      </rPr>
      <t>号楼</t>
    </r>
  </si>
  <si>
    <t>是</t>
  </si>
  <si>
    <t>地上</t>
  </si>
  <si>
    <t>地下</t>
  </si>
  <si>
    <t>车库</t>
  </si>
  <si>
    <t>工业</t>
    <phoneticPr fontId="7" type="noConversion"/>
  </si>
  <si>
    <t>利息：取LPR加浮动点数</t>
  </si>
  <si>
    <t>3.6米钢混办公楼</t>
  </si>
  <si>
    <t>精装交付</t>
  </si>
  <si>
    <t>1#</t>
  </si>
  <si>
    <t>正挖坑</t>
  </si>
  <si>
    <t>系数</t>
  </si>
  <si>
    <t>2#</t>
  </si>
  <si>
    <t>3#</t>
  </si>
  <si>
    <t>基础建安</t>
  </si>
  <si>
    <t>4#</t>
  </si>
  <si>
    <t>公共区域装修</t>
  </si>
  <si>
    <r>
      <t>楼层</t>
    </r>
    <r>
      <rPr>
        <sz val="9"/>
        <color rgb="FF000000"/>
        <rFont val="Arial"/>
        <family val="2"/>
      </rPr>
      <t>1-2</t>
    </r>
    <r>
      <rPr>
        <sz val="9"/>
        <color rgb="FF000000"/>
        <rFont val="宋体"/>
        <family val="3"/>
        <charset val="134"/>
      </rPr>
      <t>层</t>
    </r>
  </si>
  <si>
    <r>
      <t>每层层高</t>
    </r>
    <r>
      <rPr>
        <sz val="9"/>
        <color rgb="FF000000"/>
        <rFont val="Arial"/>
        <family val="2"/>
      </rPr>
      <t>8</t>
    </r>
    <r>
      <rPr>
        <sz val="9"/>
        <color rgb="FF000000"/>
        <rFont val="宋体"/>
        <family val="3"/>
        <charset val="134"/>
      </rPr>
      <t>米</t>
    </r>
  </si>
  <si>
    <r>
      <t>地下</t>
    </r>
    <r>
      <rPr>
        <sz val="9"/>
        <color rgb="FF000000"/>
        <rFont val="Arial"/>
        <family val="2"/>
      </rPr>
      <t>1-2</t>
    </r>
    <r>
      <rPr>
        <sz val="9"/>
        <color rgb="FF000000"/>
        <rFont val="宋体"/>
        <family val="3"/>
        <charset val="134"/>
      </rPr>
      <t>层</t>
    </r>
  </si>
  <si>
    <r>
      <t>每层层高</t>
    </r>
    <r>
      <rPr>
        <sz val="9"/>
        <color rgb="FF000000"/>
        <rFont val="Arial"/>
        <family val="2"/>
      </rPr>
      <t>4</t>
    </r>
    <r>
      <rPr>
        <sz val="9"/>
        <color rgb="FF000000"/>
        <rFont val="宋体"/>
        <family val="3"/>
        <charset val="134"/>
      </rPr>
      <t>.5米</t>
    </r>
  </si>
  <si>
    <r>
      <t>施工至</t>
    </r>
    <r>
      <rPr>
        <sz val="9"/>
        <color rgb="FF000000"/>
        <rFont val="Arial"/>
        <family val="2"/>
      </rPr>
      <t>1</t>
    </r>
    <r>
      <rPr>
        <sz val="9"/>
        <color rgb="FF000000"/>
        <rFont val="宋体"/>
        <family val="3"/>
        <charset val="134"/>
      </rPr>
      <t>层顶板</t>
    </r>
  </si>
  <si>
    <r>
      <t>地下室增加</t>
    </r>
    <r>
      <rPr>
        <sz val="9"/>
        <color rgb="FF000000"/>
        <rFont val="Arial"/>
        <family val="2"/>
      </rPr>
      <t>1</t>
    </r>
    <r>
      <rPr>
        <sz val="9"/>
        <color rgb="FF000000"/>
        <rFont val="宋体"/>
        <family val="3"/>
        <charset val="134"/>
      </rPr>
      <t>层，上调</t>
    </r>
    <r>
      <rPr>
        <sz val="9"/>
        <color rgb="FF000000"/>
        <rFont val="Arial"/>
        <family val="2"/>
      </rPr>
      <t>5%</t>
    </r>
  </si>
  <si>
    <r>
      <t>施工至</t>
    </r>
    <r>
      <rPr>
        <sz val="9"/>
        <color rgb="FF000000"/>
        <rFont val="Arial"/>
        <family val="2"/>
      </rPr>
      <t>2</t>
    </r>
    <r>
      <rPr>
        <sz val="9"/>
        <color rgb="FF000000"/>
        <rFont val="宋体"/>
        <family val="3"/>
        <charset val="134"/>
      </rPr>
      <t>层顶板</t>
    </r>
  </si>
  <si>
    <r>
      <t>施工至</t>
    </r>
    <r>
      <rPr>
        <sz val="9"/>
        <color rgb="FF000000"/>
        <rFont val="Arial"/>
        <family val="2"/>
      </rPr>
      <t>2</t>
    </r>
    <r>
      <rPr>
        <sz val="9"/>
        <color rgb="FF000000"/>
        <rFont val="宋体"/>
        <family val="3"/>
        <charset val="134"/>
      </rPr>
      <t>层楼面</t>
    </r>
  </si>
  <si>
    <r>
      <t>层高</t>
    </r>
    <r>
      <rPr>
        <sz val="9"/>
        <color rgb="FF000000"/>
        <rFont val="Arial"/>
        <family val="2"/>
      </rPr>
      <t>10cm</t>
    </r>
    <r>
      <rPr>
        <sz val="9"/>
        <color rgb="FF000000"/>
        <rFont val="宋体"/>
        <family val="3"/>
        <charset val="134"/>
      </rPr>
      <t>，上调</t>
    </r>
    <r>
      <rPr>
        <sz val="9"/>
        <color rgb="FF000000"/>
        <rFont val="Arial"/>
        <family val="2"/>
      </rPr>
      <t>1.5%</t>
    </r>
  </si>
  <si>
    <r>
      <t>实际层高约</t>
    </r>
    <r>
      <rPr>
        <sz val="9"/>
        <color rgb="FF000000"/>
        <rFont val="Arial"/>
        <family val="2"/>
      </rPr>
      <t>8</t>
    </r>
    <r>
      <rPr>
        <sz val="9"/>
        <color rgb="FF000000"/>
        <rFont val="宋体"/>
        <family val="3"/>
        <charset val="134"/>
      </rPr>
      <t>米</t>
    </r>
  </si>
  <si>
    <t>普通写字楼</t>
  </si>
  <si>
    <t>2.5-3.0</t>
  </si>
  <si>
    <r>
      <rPr>
        <sz val="10"/>
        <color indexed="8"/>
        <rFont val="宋体"/>
        <family val="3"/>
        <charset val="134"/>
      </rPr>
      <t>地上</t>
    </r>
    <r>
      <rPr>
        <sz val="10"/>
        <color indexed="8"/>
        <rFont val="Arial"/>
        <family val="2"/>
      </rPr>
      <t>1-2</t>
    </r>
    <r>
      <rPr>
        <sz val="10"/>
        <color indexed="8"/>
        <rFont val="宋体"/>
        <family val="3"/>
        <charset val="134"/>
      </rPr>
      <t>层</t>
    </r>
  </si>
  <si>
    <t>低密写字楼</t>
  </si>
  <si>
    <r>
      <rPr>
        <sz val="10"/>
        <color indexed="8"/>
        <rFont val="宋体"/>
        <family val="3"/>
        <charset val="134"/>
      </rPr>
      <t>下沉式</t>
    </r>
    <r>
      <rPr>
        <sz val="10"/>
        <color indexed="8"/>
        <rFont val="Arial"/>
        <family val="2"/>
      </rPr>
      <t>1</t>
    </r>
    <r>
      <rPr>
        <sz val="10"/>
        <color indexed="8"/>
        <rFont val="宋体"/>
        <family val="3"/>
        <charset val="134"/>
      </rPr>
      <t>层</t>
    </r>
  </si>
  <si>
    <r>
      <rPr>
        <sz val="10"/>
        <color rgb="FF000000"/>
        <rFont val="宋体"/>
        <family val="3"/>
        <charset val="134"/>
      </rPr>
      <t>本项目按</t>
    </r>
    <r>
      <rPr>
        <sz val="10"/>
        <color rgb="FF000000"/>
        <rFont val="Arial"/>
        <family val="2"/>
      </rPr>
      <t>1</t>
    </r>
    <r>
      <rPr>
        <sz val="10"/>
        <color rgb="FF000000"/>
        <rFont val="宋体"/>
        <family val="3"/>
        <charset val="134"/>
      </rPr>
      <t>层</t>
    </r>
    <r>
      <rPr>
        <sz val="10"/>
        <color rgb="FF000000"/>
        <rFont val="Arial"/>
        <family val="2"/>
      </rPr>
      <t>3.5</t>
    </r>
    <r>
      <rPr>
        <sz val="10"/>
        <color rgb="FF000000"/>
        <rFont val="宋体"/>
        <family val="3"/>
        <charset val="134"/>
      </rPr>
      <t>租金计算</t>
    </r>
  </si>
  <si>
    <r>
      <rPr>
        <sz val="10"/>
        <color indexed="8"/>
        <rFont val="宋体"/>
        <family val="3"/>
        <charset val="134"/>
      </rPr>
      <t>地下</t>
    </r>
    <r>
      <rPr>
        <sz val="10"/>
        <color indexed="8"/>
        <rFont val="Arial"/>
        <family val="2"/>
      </rPr>
      <t>2</t>
    </r>
    <r>
      <rPr>
        <sz val="10"/>
        <color indexed="8"/>
        <rFont val="宋体"/>
        <family val="3"/>
        <charset val="134"/>
      </rPr>
      <t>层赠送</t>
    </r>
  </si>
  <si>
    <t>平均值</t>
  </si>
  <si>
    <t>收益法</t>
  </si>
  <si>
    <t>在建（套用方法）</t>
  </si>
  <si>
    <t>押一</t>
  </si>
  <si>
    <t>按租金收入计税</t>
  </si>
  <si>
    <t>钢混</t>
  </si>
  <si>
    <t>非生产用房</t>
  </si>
  <si>
    <t>已包含在土地取得成本中</t>
  </si>
  <si>
    <t>地块名称</t>
  </si>
  <si>
    <t>城市</t>
  </si>
  <si>
    <t>用地性质</t>
  </si>
  <si>
    <t>建设用地面积(㎡)</t>
  </si>
  <si>
    <t>规划建筑面积(㎡)</t>
  </si>
  <si>
    <t>容积率</t>
  </si>
  <si>
    <t>出让方式</t>
  </si>
  <si>
    <t>详细规划</t>
  </si>
  <si>
    <t>集中供地</t>
  </si>
  <si>
    <t>成交日期</t>
  </si>
  <si>
    <t>受让单位</t>
  </si>
  <si>
    <t>成交价(万元)</t>
  </si>
  <si>
    <t>成交每亩价(万元/亩)</t>
  </si>
  <si>
    <t>成交楼面价(元/㎡)</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</si>
  <si>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</si>
  <si>
    <t>溢价率</t>
  </si>
  <si>
    <t>出让年限</t>
  </si>
  <si>
    <t>土地星级</t>
  </si>
  <si>
    <r>
      <rPr>
        <sz val="10"/>
        <rFont val="Arial"/>
        <family val="2"/>
      </rPr>
      <t>50</t>
    </r>
    <r>
      <rPr>
        <sz val="10"/>
        <rFont val="宋体"/>
        <family val="3"/>
        <charset val="134"/>
      </rPr>
      <t>年成交地面价</t>
    </r>
  </si>
  <si>
    <t>顺义区马坡聚源工业区A02-2-2地块</t>
  </si>
  <si>
    <t>工业用地</t>
  </si>
  <si>
    <t>≤1.6</t>
  </si>
  <si>
    <t>挂牌</t>
  </si>
  <si>
    <t>M1工业用地</t>
  </si>
  <si>
    <t>2021-09-07</t>
  </si>
  <si>
    <t>北京奕承科技有限公司</t>
  </si>
  <si>
    <t>20年</t>
  </si>
  <si>
    <t>0星</t>
  </si>
  <si>
    <t>顺义区赵全营镇SY04-0100-6006-1-2地块</t>
  </si>
  <si>
    <t>≤1.80</t>
  </si>
  <si>
    <t>北京理工华创电动车技术有限公司</t>
  </si>
  <si>
    <t>北京市顺义临空国际(科创功能区)6-1-1地块M1一类工业用地国有建设用地</t>
  </si>
  <si>
    <t>≥0.8;≤2</t>
  </si>
  <si>
    <t>一类工业用地</t>
  </si>
  <si>
    <t>2021-04-21</t>
  </si>
  <si>
    <t>中电科光电科技有限公司、中国电子科技集团公司第十一研究所联合体</t>
  </si>
  <si>
    <t>顺义区赵全营板桥SY04-0100-6006-2地块M4工业研发用地</t>
  </si>
  <si>
    <t>≤1.8</t>
  </si>
  <si>
    <t>工业研发M4</t>
  </si>
  <si>
    <t>2020-02-12</t>
  </si>
  <si>
    <t>北京怡和中源科技有限公司</t>
  </si>
  <si>
    <t>顺义区赵全营镇SY04-0100-6006-3地块M4工业研发项目</t>
  </si>
  <si>
    <t>M4工业研发</t>
  </si>
  <si>
    <t>2019-07-16</t>
  </si>
  <si>
    <t>北京吉源医药科技有限公司</t>
  </si>
  <si>
    <t>顺义区SY02-0200-6001、6002地块M4工业研发项目</t>
  </si>
  <si>
    <t>2019-04-22</t>
  </si>
  <si>
    <t>北京控制工程研究所</t>
  </si>
  <si>
    <t>顺义区赵全营镇SY04-0100-6006-4地块M4工业研发项目</t>
  </si>
  <si>
    <t>北京连山科技股份有限公司</t>
  </si>
  <si>
    <t>顺义新城第14街区SY00-0014-6001M1一类工业用地项目</t>
  </si>
  <si>
    <t>M1一类工业用地</t>
  </si>
  <si>
    <t>2017-12-25</t>
  </si>
  <si>
    <t>北京星汉特种印刷有限公司</t>
  </si>
  <si>
    <t>50年</t>
  </si>
  <si>
    <t>顺义区天竺综合保税区3-4(C12地块局部)地块</t>
  </si>
  <si>
    <t>W2普通仓储用地</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</si>
  <si>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</si>
  <si>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</si>
  <si>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</si>
  <si>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</si>
  <si>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</si>
  <si>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</si>
  <si>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</si>
  <si>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</si>
  <si>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</si>
  <si>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</si>
  <si>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顺义区高丽营镇中关村临空国际3-2-4(南区)地块工业项目</t>
  </si>
  <si>
    <t>2015-04-08</t>
  </si>
  <si>
    <t>北京聚利科技股份有限公司</t>
  </si>
  <si>
    <t>顺义区高丽营镇中关村临空国际5-3-2地块工业项目</t>
  </si>
  <si>
    <t>北京轩宇信息技术有限公司</t>
  </si>
  <si>
    <t>顺义区赵全营B5-02地块工业项目</t>
  </si>
  <si>
    <t>2015-03-16</t>
  </si>
  <si>
    <t>和仁顺通科技有限公司</t>
  </si>
  <si>
    <t>正常</t>
  </si>
  <si>
    <t>较好</t>
  </si>
  <si>
    <t>七通</t>
  </si>
  <si>
    <t>六通</t>
  </si>
  <si>
    <t>一般</t>
  </si>
  <si>
    <t>五通</t>
  </si>
  <si>
    <t>四通</t>
  </si>
  <si>
    <t>三通</t>
  </si>
  <si>
    <r>
      <t>50</t>
    </r>
    <r>
      <rPr>
        <sz val="10"/>
        <rFont val="宋体"/>
        <family val="3"/>
        <charset val="134"/>
      </rPr>
      <t>年成交楼面价</t>
    </r>
    <phoneticPr fontId="140" type="noConversion"/>
  </si>
  <si>
    <t>与级别开发程度一致</t>
  </si>
  <si>
    <t>按公示增长率计算</t>
  </si>
  <si>
    <t>容积率修正</t>
  </si>
  <si>
    <t>宗地容积率</t>
  </si>
  <si>
    <t>R1.8</t>
    <phoneticPr fontId="140" type="noConversion"/>
  </si>
  <si>
    <t>R1</t>
    <phoneticPr fontId="140" type="noConversion"/>
  </si>
  <si>
    <r>
      <t>R1</t>
    </r>
    <r>
      <rPr>
        <sz val="10"/>
        <rFont val="宋体"/>
        <family val="3"/>
        <charset val="134"/>
      </rPr>
      <t>对应楼面</t>
    </r>
    <phoneticPr fontId="140" type="noConversion"/>
  </si>
  <si>
    <r>
      <t>R1</t>
    </r>
    <r>
      <rPr>
        <sz val="10"/>
        <rFont val="宋体"/>
        <family val="3"/>
        <charset val="134"/>
      </rPr>
      <t>对应地面</t>
    </r>
    <phoneticPr fontId="140" type="noConversion"/>
  </si>
  <si>
    <t>单位面积地价</t>
  </si>
  <si>
    <t>成本法</t>
  </si>
  <si>
    <t>假设开发法</t>
  </si>
  <si>
    <t>单方造价</t>
  </si>
  <si>
    <r>
      <rPr>
        <sz val="11"/>
        <color theme="1"/>
        <rFont val="宋体"/>
        <family val="3"/>
        <charset val="134"/>
      </rPr>
      <t>序号</t>
    </r>
  </si>
  <si>
    <r>
      <rPr>
        <sz val="11"/>
        <color theme="1"/>
        <rFont val="宋体"/>
        <family val="3"/>
        <charset val="134"/>
      </rPr>
      <t>楼号</t>
    </r>
  </si>
  <si>
    <r>
      <rPr>
        <sz val="11"/>
        <color theme="1"/>
        <rFont val="宋体"/>
        <family val="3"/>
        <charset val="134"/>
      </rPr>
      <t>规划建筑面积</t>
    </r>
  </si>
  <si>
    <r>
      <rPr>
        <sz val="11"/>
        <color theme="1"/>
        <rFont val="宋体"/>
        <family val="3"/>
        <charset val="134"/>
      </rPr>
      <t>用途</t>
    </r>
  </si>
  <si>
    <r>
      <rPr>
        <sz val="11"/>
        <color theme="1"/>
        <rFont val="宋体"/>
        <family val="3"/>
        <charset val="134"/>
      </rPr>
      <t>厂房</t>
    </r>
  </si>
  <si>
    <r>
      <rPr>
        <sz val="10"/>
        <color rgb="FF000000"/>
        <rFont val="宋体"/>
        <family val="3"/>
        <charset val="134"/>
      </rPr>
      <t>地下车库</t>
    </r>
  </si>
  <si>
    <r>
      <rPr>
        <sz val="11"/>
        <color theme="1"/>
        <rFont val="宋体"/>
        <family val="3"/>
        <charset val="134"/>
      </rPr>
      <t>地下车库、设备用房</t>
    </r>
  </si>
  <si>
    <r>
      <rPr>
        <sz val="11"/>
        <color theme="1"/>
        <rFont val="宋体"/>
        <family val="3"/>
        <charset val="134"/>
      </rPr>
      <t>合计</t>
    </r>
  </si>
  <si>
    <r>
      <t>2022.2.10</t>
    </r>
    <r>
      <rPr>
        <sz val="9"/>
        <color indexed="8"/>
        <rFont val="宋体"/>
        <family val="3"/>
        <charset val="134"/>
      </rPr>
      <t>工程进度为</t>
    </r>
    <phoneticPr fontId="3" type="noConversion"/>
  </si>
  <si>
    <t>总价</t>
  </si>
  <si>
    <t>成本比率</t>
  </si>
  <si>
    <t>车库</t>
    <phoneticPr fontId="3" type="noConversion"/>
  </si>
  <si>
    <t>综合工程进度</t>
    <phoneticPr fontId="3" type="noConversion"/>
  </si>
  <si>
    <t>主体综合进度</t>
    <phoneticPr fontId="3" type="noConversion"/>
  </si>
  <si>
    <t>主体工程</t>
    <phoneticPr fontId="3" type="noConversion"/>
  </si>
  <si>
    <t>主体结构封顶，准备做二次结构，外立面，玻璃幕墙</t>
    <phoneticPr fontId="3" type="noConversion"/>
  </si>
  <si>
    <t>2#</t>
    <phoneticPr fontId="3"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</si>
  <si>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 type="noConversion"/>
  </si>
  <si>
    <t>地下1层</t>
    <phoneticPr fontId="3" type="noConversion"/>
  </si>
  <si>
    <r>
      <t>1</t>
    </r>
    <r>
      <rPr>
        <sz val="10"/>
        <color indexed="8"/>
        <rFont val="宋体"/>
        <family val="3"/>
        <charset val="134"/>
      </rPr>
      <t>层</t>
    </r>
    <phoneticPr fontId="3" type="noConversion"/>
  </si>
  <si>
    <t>地下车库</t>
    <phoneticPr fontId="3" type="noConversion"/>
  </si>
  <si>
    <r>
      <t>2</t>
    </r>
    <r>
      <rPr>
        <sz val="10"/>
        <color indexed="8"/>
        <rFont val="宋体"/>
        <family val="3"/>
        <charset val="134"/>
      </rPr>
      <t>层</t>
    </r>
    <phoneticPr fontId="3" type="noConversion"/>
  </si>
  <si>
    <t>出让国有建设用地使用权价值</t>
  </si>
  <si>
    <t>在建建筑物价值</t>
  </si>
  <si>
    <t>房地产价值</t>
  </si>
  <si>
    <t>楼面单价</t>
  </si>
  <si>
    <t>大写金额</t>
  </si>
  <si>
    <t>伍仟柒佰零肆万元整</t>
  </si>
  <si>
    <t>伍仟陆佰伍拾玖万元整</t>
  </si>
  <si>
    <t>壹亿壹仟叁佰陆拾叁万元整</t>
  </si>
  <si>
    <t>项目名称</t>
  </si>
  <si>
    <t>规划建筑面积</t>
  </si>
  <si>
    <t>出让国有建设用地使用权面积</t>
  </si>
  <si>
    <r>
      <t>总</t>
    </r>
    <r>
      <rPr>
        <sz val="9"/>
        <color theme="1"/>
        <rFont val="Arial"/>
        <family val="2"/>
      </rPr>
      <t xml:space="preserve"> </t>
    </r>
    <r>
      <rPr>
        <sz val="9"/>
        <color theme="1"/>
        <rFont val="华文细黑"/>
        <family val="3"/>
        <charset val="134"/>
      </rPr>
      <t>价</t>
    </r>
  </si>
  <si>
    <r>
      <t>北京市顺义区天竺大街</t>
    </r>
    <r>
      <rPr>
        <sz val="9"/>
        <color theme="1"/>
        <rFont val="Arial"/>
        <family val="2"/>
      </rPr>
      <t>23</t>
    </r>
    <r>
      <rPr>
        <sz val="9"/>
        <color theme="1"/>
        <rFont val="华文细黑"/>
        <family val="3"/>
        <charset val="134"/>
      </rPr>
      <t>号院“</t>
    </r>
    <r>
      <rPr>
        <sz val="9"/>
        <color theme="1"/>
        <rFont val="Arial"/>
        <family val="2"/>
      </rPr>
      <t>MAX</t>
    </r>
    <r>
      <rPr>
        <sz val="9"/>
        <color theme="1"/>
        <rFont val="华文细黑"/>
        <family val="3"/>
        <charset val="134"/>
      </rPr>
      <t>官璟台”全部工业用房出让国有建设用地使用权及在建建筑物房地产</t>
    </r>
  </si>
  <si>
    <t>估价师知悉的法定优先受偿款</t>
  </si>
  <si>
    <t>零元整</t>
  </si>
  <si>
    <t>土地价值</t>
    <phoneticPr fontId="140" type="noConversion"/>
  </si>
  <si>
    <t>建筑物价值</t>
    <phoneticPr fontId="140" type="noConversion"/>
  </si>
  <si>
    <t>总价</t>
    <phoneticPr fontId="140" type="noConversion"/>
  </si>
  <si>
    <t>楼号</t>
    <phoneticPr fontId="140" type="noConversion"/>
  </si>
  <si>
    <t>规划建筑面积</t>
    <phoneticPr fontId="140" type="noConversion"/>
  </si>
  <si>
    <t>价值类型</t>
    <phoneticPr fontId="140" type="noConversion"/>
  </si>
  <si>
    <t>单价</t>
    <phoneticPr fontId="140" type="noConversion"/>
  </si>
  <si>
    <t>工程进度</t>
    <phoneticPr fontId="140" type="noConversion"/>
  </si>
  <si>
    <t>地基施工</t>
    <phoneticPr fontId="140" type="noConversion"/>
  </si>
  <si>
    <t>封顶</t>
    <phoneticPr fontId="140" type="noConversion"/>
  </si>
  <si>
    <r>
      <t>1</t>
    </r>
    <r>
      <rPr>
        <sz val="10"/>
        <color rgb="FF000000"/>
        <rFont val="宋体"/>
        <family val="3"/>
        <charset val="134"/>
      </rPr>
      <t>号楼</t>
    </r>
  </si>
  <si>
    <r>
      <t>2</t>
    </r>
    <r>
      <rPr>
        <sz val="10"/>
        <color rgb="FF000000"/>
        <rFont val="宋体"/>
        <family val="3"/>
        <charset val="134"/>
      </rPr>
      <t>号楼</t>
    </r>
  </si>
  <si>
    <r>
      <t>3</t>
    </r>
    <r>
      <rPr>
        <sz val="10"/>
        <color rgb="FF000000"/>
        <rFont val="宋体"/>
        <family val="3"/>
        <charset val="134"/>
      </rPr>
      <t>号楼</t>
    </r>
  </si>
  <si>
    <r>
      <t>4</t>
    </r>
    <r>
      <rPr>
        <sz val="10"/>
        <color rgb="FF000000"/>
        <rFont val="宋体"/>
        <family val="3"/>
        <charset val="134"/>
      </rPr>
      <t>号楼</t>
    </r>
  </si>
  <si>
    <t>已完工建面</t>
    <phoneticPr fontId="140" type="noConversion"/>
  </si>
  <si>
    <t>合计</t>
    <phoneticPr fontId="140" type="noConversion"/>
  </si>
  <si>
    <t>一半封顶、一半地基</t>
    <phoneticPr fontId="140" type="noConversion"/>
  </si>
  <si>
    <t>地下车库建安</t>
    <phoneticPr fontId="140" type="noConversion"/>
  </si>
  <si>
    <r>
      <t>1</t>
    </r>
    <r>
      <rPr>
        <sz val="11"/>
        <color theme="1"/>
        <rFont val="宋体"/>
        <family val="3"/>
        <charset val="134"/>
        <scheme val="minor"/>
      </rPr>
      <t>#楼</t>
    </r>
    <r>
      <rPr>
        <sz val="11"/>
        <color theme="1"/>
        <rFont val="宋体"/>
        <charset val="134"/>
        <scheme val="minor"/>
      </rPr>
      <t>在地基施工，只有土地价值，无建筑物价值</t>
    </r>
    <phoneticPr fontId="140" type="noConversion"/>
  </si>
  <si>
    <t>地下车库不给土地价值，建筑物价值一半封顶、一半地基施工。封顶部分按3000元/平米匹配。</t>
    <phoneticPr fontId="140" type="noConversion"/>
  </si>
  <si>
    <t>剩余楼幢再按已完工建筑面积匹建筑物价值</t>
    <phoneticPr fontId="140" type="noConversion"/>
  </si>
  <si>
    <t>土地价值（万元）</t>
    <phoneticPr fontId="140" type="noConversion"/>
  </si>
  <si>
    <t>合计（万元）</t>
    <phoneticPr fontId="140" type="noConversion"/>
  </si>
  <si>
    <t>建筑物价值（万元）</t>
    <phoneticPr fontId="140" type="noConversion"/>
  </si>
  <si>
    <r>
      <t>结果表</t>
    </r>
    <r>
      <rPr>
        <sz val="12"/>
        <color theme="1"/>
        <rFont val="Arial"/>
        <family val="2"/>
      </rPr>
      <t>-2</t>
    </r>
    <r>
      <rPr>
        <sz val="12"/>
        <color theme="1"/>
        <rFont val="方正黑体简体"/>
        <family val="3"/>
        <charset val="134"/>
      </rPr>
      <t>（分房号房地产价值）</t>
    </r>
  </si>
  <si>
    <t>序号</t>
  </si>
  <si>
    <t>房地产市场价值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</si>
</sst>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rgb="FF000000"/>
      <name val="宋体"/>
      <family val="3"/>
      <charset val="134"/>
    </font>
    <font>
      <sz val="9"/>
      <color rgb="FF000000"/>
      <name val="Arial"/>
      <family val="2"/>
    </font>
    <font>
      <sz val="9"/>
      <color theme="1"/>
      <name val="华文细黑"/>
      <family val="3"/>
      <charset val="134"/>
    </font>
    <font>
      <sz val="9"/>
      <color theme="1"/>
      <name val="Arial"/>
      <family val="2"/>
    </font>
    <font>
      <b/>
      <sz val="9"/>
      <color theme="1"/>
      <name val="华文细黑"/>
      <family val="3"/>
      <charset val="134"/>
    </font>
    <font>
      <b/>
      <sz val="10"/>
      <color rgb="FF000000"/>
      <name val="Arial"/>
      <family val="2"/>
    </font>
    <font>
      <sz val="12"/>
      <color theme="1"/>
      <name val="方正黑体简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indexed="64"/>
      </left>
      <right style="dotted">
        <color indexed="64"/>
      </right>
      <top style="double">
        <color indexed="64"/>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70" fillId="0" borderId="1" xfId="0" applyFont="1" applyBorder="1" applyAlignment="1" applyProtection="1">
      <alignment horizontal="center" vertical="center" wrapText="1"/>
      <protection locked="0"/>
    </xf>
    <xf numFmtId="0" fontId="16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6" fillId="12" borderId="0" xfId="0" applyFont="1" applyFill="1" applyAlignment="1" applyProtection="1">
      <alignment horizontal="left" vertical="center"/>
      <protection locked="0"/>
    </xf>
    <xf numFmtId="0" fontId="57" fillId="12" borderId="0" xfId="0" applyFont="1" applyFill="1" applyAlignment="1" applyProtection="1">
      <alignment horizontal="left" vertical="center"/>
      <protection locked="0"/>
    </xf>
    <xf numFmtId="0" fontId="257" fillId="12" borderId="0" xfId="0" applyFont="1" applyFill="1" applyAlignment="1" applyProtection="1">
      <alignment horizontal="left" vertical="center"/>
      <protection locked="0"/>
    </xf>
    <xf numFmtId="0" fontId="57" fillId="12" borderId="0" xfId="17" applyNumberFormat="1" applyFont="1" applyFill="1" applyAlignment="1" applyProtection="1">
      <alignment horizontal="left" vertical="center"/>
      <protection locked="0"/>
    </xf>
    <xf numFmtId="9" fontId="256" fillId="12" borderId="0" xfId="0" applyNumberFormat="1" applyFont="1" applyFill="1" applyAlignment="1" applyProtection="1">
      <alignment horizontal="left" vertical="center"/>
      <protection locked="0"/>
    </xf>
    <xf numFmtId="9" fontId="256" fillId="12" borderId="0" xfId="17" applyFont="1" applyFill="1" applyAlignment="1" applyProtection="1">
      <alignment horizontal="left" vertical="center"/>
      <protection locked="0"/>
    </xf>
    <xf numFmtId="177" fontId="57" fillId="12" borderId="0" xfId="0" applyNumberFormat="1" applyFont="1" applyFill="1" applyAlignment="1" applyProtection="1">
      <alignment horizontal="left" vertical="center"/>
      <protection locked="0"/>
    </xf>
    <xf numFmtId="183" fontId="256" fillId="12" borderId="0" xfId="0" applyNumberFormat="1" applyFont="1" applyFill="1" applyAlignment="1" applyProtection="1">
      <alignment horizontal="left" vertical="center"/>
      <protection locked="0"/>
    </xf>
    <xf numFmtId="9" fontId="256" fillId="0" borderId="0" xfId="17" applyFont="1" applyFill="1" applyAlignment="1" applyProtection="1">
      <alignment horizontal="left" vertical="center"/>
      <protection locked="0"/>
    </xf>
    <xf numFmtId="0" fontId="231" fillId="12" borderId="0" xfId="0" applyFont="1" applyFill="1" applyAlignment="1" applyProtection="1">
      <alignment horizontal="left" vertical="center"/>
      <protection locked="0"/>
    </xf>
    <xf numFmtId="9" fontId="57" fillId="12" borderId="0" xfId="17" applyFont="1" applyFill="1" applyAlignment="1" applyProtection="1">
      <alignment horizontal="left" vertical="center"/>
      <protection locked="0"/>
    </xf>
    <xf numFmtId="0" fontId="256"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79" fillId="6" borderId="0" xfId="0" applyFont="1" applyFill="1" applyAlignment="1" applyProtection="1">
      <alignment horizontal="left" vertical="center"/>
      <protection locked="0"/>
    </xf>
    <xf numFmtId="0" fontId="169" fillId="6" borderId="0" xfId="0" applyFont="1" applyFill="1" applyAlignment="1" applyProtection="1">
      <alignment horizontal="left" vertical="center"/>
      <protection locked="0"/>
    </xf>
    <xf numFmtId="0" fontId="55" fillId="0" borderId="0" xfId="10" applyFont="1" applyFill="1" applyBorder="1" applyAlignment="1">
      <alignment horizontal="left"/>
    </xf>
    <xf numFmtId="0" fontId="19" fillId="0" borderId="0" xfId="10" applyFont="1" applyFill="1" applyBorder="1" applyAlignment="1">
      <alignment horizontal="left"/>
    </xf>
    <xf numFmtId="0" fontId="55" fillId="5" borderId="0" xfId="10" applyFont="1" applyFill="1" applyBorder="1" applyAlignment="1">
      <alignment horizontal="left"/>
    </xf>
    <xf numFmtId="0" fontId="98" fillId="0" borderId="0" xfId="10" applyFont="1">
      <alignment vertical="center"/>
    </xf>
    <xf numFmtId="0" fontId="98" fillId="0" borderId="0" xfId="10">
      <alignment vertical="center"/>
    </xf>
    <xf numFmtId="0" fontId="102" fillId="0" borderId="1" xfId="10" applyFont="1" applyBorder="1" applyAlignment="1">
      <alignment horizontal="left" vertical="center"/>
    </xf>
    <xf numFmtId="0" fontId="170" fillId="0" borderId="1" xfId="10" applyFont="1" applyBorder="1" applyAlignment="1" applyProtection="1">
      <alignment horizontal="left" vertical="center" wrapText="1"/>
      <protection locked="0"/>
    </xf>
    <xf numFmtId="0" fontId="57" fillId="5" borderId="0" xfId="0" applyFont="1" applyFill="1" applyAlignment="1" applyProtection="1">
      <alignment horizontal="left" vertical="center"/>
      <protection locked="0"/>
    </xf>
    <xf numFmtId="177" fontId="231" fillId="5" borderId="0" xfId="0" applyNumberFormat="1" applyFont="1" applyFill="1" applyAlignment="1" applyProtection="1">
      <alignment horizontal="left" vertical="center"/>
      <protection locked="0"/>
    </xf>
    <xf numFmtId="0" fontId="256" fillId="5" borderId="0" xfId="0" applyFont="1" applyFill="1" applyAlignment="1" applyProtection="1">
      <alignment horizontal="left" vertical="center"/>
      <protection locked="0"/>
    </xf>
    <xf numFmtId="9" fontId="57" fillId="5" borderId="0" xfId="17" applyFont="1" applyFill="1" applyAlignment="1" applyProtection="1">
      <alignment horizontal="left" vertical="center"/>
      <protection locked="0"/>
    </xf>
    <xf numFmtId="10" fontId="57" fillId="12" borderId="0" xfId="0" applyNumberFormat="1" applyFont="1" applyFill="1" applyAlignment="1" applyProtection="1">
      <alignment horizontal="lef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9" fillId="12" borderId="0" xfId="0" applyFont="1" applyFill="1" applyAlignment="1" applyProtection="1">
      <alignment horizontal="left" vertical="center"/>
      <protection locked="0"/>
    </xf>
    <xf numFmtId="0" fontId="79" fillId="12" borderId="0" xfId="0" applyFont="1" applyFill="1" applyAlignment="1" applyProtection="1">
      <alignment horizontal="left" vertical="center"/>
      <protection locked="0"/>
    </xf>
    <xf numFmtId="0" fontId="258" fillId="0" borderId="163" xfId="0" applyFont="1" applyBorder="1" applyAlignment="1">
      <alignment vertical="center" wrapText="1"/>
    </xf>
    <xf numFmtId="0" fontId="258" fillId="0" borderId="161" xfId="0" applyFont="1" applyBorder="1" applyAlignment="1">
      <alignment vertical="center" wrapText="1"/>
    </xf>
    <xf numFmtId="0" fontId="259" fillId="0" borderId="163" xfId="0" applyFont="1" applyBorder="1" applyAlignment="1">
      <alignment vertical="center" wrapText="1"/>
    </xf>
    <xf numFmtId="0" fontId="258" fillId="0" borderId="160" xfId="0" applyFont="1" applyBorder="1" applyAlignment="1">
      <alignment vertical="center" wrapText="1"/>
    </xf>
    <xf numFmtId="0" fontId="258" fillId="0" borderId="161" xfId="0" applyFont="1" applyBorder="1" applyAlignment="1">
      <alignment vertical="center" wrapText="1"/>
    </xf>
    <xf numFmtId="0" fontId="258" fillId="0" borderId="164" xfId="0" applyFont="1" applyBorder="1" applyAlignment="1">
      <alignment vertical="center" wrapText="1"/>
    </xf>
    <xf numFmtId="0" fontId="258" fillId="0" borderId="162" xfId="0" applyFont="1" applyBorder="1" applyAlignment="1">
      <alignment vertical="center" wrapText="1"/>
    </xf>
    <xf numFmtId="0" fontId="258" fillId="0" borderId="165" xfId="0" applyFont="1" applyBorder="1" applyAlignment="1">
      <alignment vertical="center" wrapText="1"/>
    </xf>
    <xf numFmtId="0" fontId="258" fillId="0" borderId="166" xfId="0" applyFont="1" applyBorder="1" applyAlignment="1">
      <alignment vertical="center" wrapText="1"/>
    </xf>
    <xf numFmtId="0" fontId="258" fillId="0" borderId="167" xfId="0" applyFont="1" applyBorder="1" applyAlignment="1">
      <alignment vertical="center" wrapText="1"/>
    </xf>
    <xf numFmtId="0" fontId="260" fillId="0" borderId="165" xfId="0" applyFont="1" applyBorder="1" applyAlignment="1">
      <alignment vertical="center" wrapText="1"/>
    </xf>
    <xf numFmtId="0" fontId="260" fillId="0" borderId="166" xfId="0" applyFont="1" applyBorder="1" applyAlignment="1">
      <alignment vertical="center" wrapText="1"/>
    </xf>
    <xf numFmtId="0" fontId="260" fillId="0" borderId="167" xfId="0" applyFont="1" applyBorder="1" applyAlignment="1">
      <alignment vertical="center" wrapText="1"/>
    </xf>
    <xf numFmtId="0" fontId="259" fillId="0" borderId="165" xfId="0" applyFont="1" applyBorder="1" applyAlignment="1">
      <alignment vertical="center" wrapText="1"/>
    </xf>
    <xf numFmtId="0" fontId="259" fillId="0" borderId="166" xfId="0" applyFont="1" applyBorder="1" applyAlignment="1">
      <alignment vertical="center" wrapText="1"/>
    </xf>
    <xf numFmtId="0" fontId="259" fillId="0" borderId="167" xfId="0" applyFont="1" applyBorder="1" applyAlignment="1">
      <alignment vertical="center" wrapText="1"/>
    </xf>
    <xf numFmtId="0" fontId="98" fillId="0" borderId="0" xfId="0" applyFont="1">
      <alignment vertical="center"/>
    </xf>
    <xf numFmtId="0" fontId="258" fillId="0" borderId="0" xfId="0" applyFont="1" applyBorder="1" applyAlignment="1">
      <alignment vertical="center" wrapText="1"/>
    </xf>
    <xf numFmtId="0" fontId="98" fillId="0" borderId="1" xfId="0" applyFont="1" applyBorder="1" applyAlignment="1">
      <alignment horizontal="left" vertical="center"/>
    </xf>
    <xf numFmtId="0" fontId="258" fillId="0" borderId="1" xfId="0" applyFont="1" applyBorder="1" applyAlignment="1">
      <alignment horizontal="left" vertical="center" wrapText="1"/>
    </xf>
    <xf numFmtId="0" fontId="170" fillId="0" borderId="1" xfId="0" applyFont="1" applyBorder="1" applyAlignment="1" applyProtection="1">
      <alignment horizontal="left" vertical="center" wrapText="1"/>
      <protection locked="0"/>
    </xf>
    <xf numFmtId="0" fontId="169" fillId="0" borderId="1" xfId="0" applyFont="1" applyBorder="1" applyAlignment="1" applyProtection="1">
      <alignment horizontal="left" vertical="center" wrapText="1"/>
      <protection locked="0"/>
    </xf>
    <xf numFmtId="0" fontId="111" fillId="0" borderId="1" xfId="0" applyFont="1" applyBorder="1" applyAlignment="1">
      <alignment horizontal="left" vertical="center"/>
    </xf>
    <xf numFmtId="0" fontId="98" fillId="5" borderId="0" xfId="0" applyFont="1" applyFill="1">
      <alignment vertical="center"/>
    </xf>
    <xf numFmtId="0" fontId="117" fillId="0" borderId="1" xfId="0" applyFont="1" applyBorder="1" applyAlignment="1">
      <alignment horizontal="left" vertical="center"/>
    </xf>
    <xf numFmtId="0" fontId="261" fillId="0" borderId="1" xfId="0" applyFont="1" applyBorder="1" applyAlignment="1" applyProtection="1">
      <alignment horizontal="left" vertical="center" wrapText="1"/>
      <protection locked="0"/>
    </xf>
    <xf numFmtId="0" fontId="99" fillId="0" borderId="0" xfId="0" applyFont="1">
      <alignment vertical="center"/>
    </xf>
    <xf numFmtId="0" fontId="262" fillId="0" borderId="0" xfId="0" applyFont="1" applyAlignment="1">
      <alignment horizontal="center" vertical="center"/>
    </xf>
    <xf numFmtId="0" fontId="258" fillId="0" borderId="171" xfId="0" applyFont="1" applyBorder="1" applyAlignment="1">
      <alignment horizontal="justify" vertical="center" wrapText="1"/>
    </xf>
    <xf numFmtId="0" fontId="259" fillId="0" borderId="169" xfId="0" applyFont="1" applyBorder="1" applyAlignment="1">
      <alignment horizontal="justify" vertical="center"/>
    </xf>
    <xf numFmtId="0" fontId="259" fillId="0" borderId="171" xfId="0" applyFont="1" applyBorder="1" applyAlignment="1">
      <alignment horizontal="justify" vertical="center"/>
    </xf>
    <xf numFmtId="0" fontId="258" fillId="0" borderId="168" xfId="0" applyFont="1" applyBorder="1" applyAlignment="1">
      <alignment horizontal="justify" vertical="center" wrapText="1"/>
    </xf>
    <xf numFmtId="0" fontId="258" fillId="0" borderId="169" xfId="0" applyFont="1" applyBorder="1" applyAlignment="1">
      <alignment horizontal="justify" vertical="center" wrapText="1"/>
    </xf>
    <xf numFmtId="0" fontId="258" fillId="0" borderId="172" xfId="0" applyFont="1" applyBorder="1" applyAlignment="1">
      <alignment horizontal="justify" vertical="center" wrapText="1"/>
    </xf>
    <xf numFmtId="0" fontId="258" fillId="0" borderId="170" xfId="0" applyFont="1" applyBorder="1" applyAlignment="1">
      <alignment horizontal="justify"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bmp"/><Relationship Id="rId1" Type="http://schemas.openxmlformats.org/officeDocument/2006/relationships/image" Target="../media/image10.bmp"/><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10</xdr:col>
      <xdr:colOff>756920</xdr:colOff>
      <xdr:row>26</xdr:row>
      <xdr:rowOff>142875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14650"/>
          <a:ext cx="8834120" cy="1438275"/>
        </a:xfrm>
        <a:prstGeom prst="rect">
          <a:avLst/>
        </a:prstGeom>
        <a:noFill/>
        <a:ln w="9525">
          <a:noFill/>
        </a:ln>
      </xdr:spPr>
    </xdr:pic>
    <xdr:clientData/>
  </xdr:twoCellAnchor>
  <xdr:twoCellAnchor editAs="oneCell">
    <xdr:from>
      <xdr:col>0</xdr:col>
      <xdr:colOff>47625</xdr:colOff>
      <xdr:row>27</xdr:row>
      <xdr:rowOff>0</xdr:rowOff>
    </xdr:from>
    <xdr:to>
      <xdr:col>10</xdr:col>
      <xdr:colOff>385445</xdr:colOff>
      <xdr:row>46</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47625" y="4371975"/>
          <a:ext cx="8415020" cy="3095625"/>
        </a:xfrm>
        <a:prstGeom prst="rect">
          <a:avLst/>
        </a:prstGeom>
        <a:noFill/>
        <a:ln w="9525">
          <a:noFill/>
        </a:ln>
      </xdr:spPr>
    </xdr:pic>
    <xdr:clientData/>
  </xdr:twoCellAnchor>
  <xdr:twoCellAnchor editAs="oneCell">
    <xdr:from>
      <xdr:col>0</xdr:col>
      <xdr:colOff>0</xdr:colOff>
      <xdr:row>46</xdr:row>
      <xdr:rowOff>0</xdr:rowOff>
    </xdr:from>
    <xdr:to>
      <xdr:col>10</xdr:col>
      <xdr:colOff>240665</xdr:colOff>
      <xdr:row>63</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448550"/>
          <a:ext cx="8317865" cy="2790825"/>
        </a:xfrm>
        <a:prstGeom prst="rect">
          <a:avLst/>
        </a:prstGeom>
        <a:noFill/>
        <a:ln w="9525">
          <a:noFill/>
        </a:ln>
      </xdr:spPr>
    </xdr:pic>
    <xdr:clientData/>
  </xdr:twoCellAnchor>
  <xdr:twoCellAnchor editAs="oneCell">
    <xdr:from>
      <xdr:col>0</xdr:col>
      <xdr:colOff>635</xdr:colOff>
      <xdr:row>88</xdr:row>
      <xdr:rowOff>66675</xdr:rowOff>
    </xdr:from>
    <xdr:to>
      <xdr:col>9</xdr:col>
      <xdr:colOff>301625</xdr:colOff>
      <xdr:row>110</xdr:row>
      <xdr:rowOff>27940</xdr:rowOff>
    </xdr:to>
    <xdr:pic>
      <xdr:nvPicPr>
        <xdr:cNvPr id="5" name="图片 4"/>
        <xdr:cNvPicPr>
          <a:picLocks noChangeAspect="1"/>
        </xdr:cNvPicPr>
      </xdr:nvPicPr>
      <xdr:blipFill>
        <a:blip xmlns:r="http://schemas.openxmlformats.org/officeDocument/2006/relationships" r:embed="rId4"/>
        <a:stretch>
          <a:fillRect/>
        </a:stretch>
      </xdr:blipFill>
      <xdr:spPr>
        <a:xfrm>
          <a:off x="635" y="14316075"/>
          <a:ext cx="7692390" cy="3523615"/>
        </a:xfrm>
        <a:prstGeom prst="rect">
          <a:avLst/>
        </a:prstGeom>
      </xdr:spPr>
    </xdr:pic>
    <xdr:clientData/>
  </xdr:twoCellAnchor>
  <xdr:twoCellAnchor editAs="oneCell">
    <xdr:from>
      <xdr:col>0</xdr:col>
      <xdr:colOff>0</xdr:colOff>
      <xdr:row>65</xdr:row>
      <xdr:rowOff>28575</xdr:rowOff>
    </xdr:from>
    <xdr:to>
      <xdr:col>9</xdr:col>
      <xdr:colOff>97155</xdr:colOff>
      <xdr:row>86</xdr:row>
      <xdr:rowOff>45720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553700"/>
          <a:ext cx="7488555" cy="3417570"/>
        </a:xfrm>
        <a:prstGeom prst="rect">
          <a:avLst/>
        </a:prstGeom>
      </xdr:spPr>
    </xdr:pic>
    <xdr:clientData/>
  </xdr:twoCellAnchor>
  <xdr:twoCellAnchor editAs="oneCell">
    <xdr:from>
      <xdr:col>12</xdr:col>
      <xdr:colOff>0</xdr:colOff>
      <xdr:row>18</xdr:row>
      <xdr:rowOff>0</xdr:rowOff>
    </xdr:from>
    <xdr:to>
      <xdr:col>25</xdr:col>
      <xdr:colOff>239395</xdr:colOff>
      <xdr:row>49</xdr:row>
      <xdr:rowOff>9525</xdr:rowOff>
    </xdr:to>
    <xdr:pic>
      <xdr:nvPicPr>
        <xdr:cNvPr id="7" name="图片 6"/>
        <xdr:cNvPicPr>
          <a:picLocks noChangeAspect="1"/>
        </xdr:cNvPicPr>
      </xdr:nvPicPr>
      <xdr:blipFill>
        <a:blip xmlns:r="http://schemas.openxmlformats.org/officeDocument/2006/relationships" r:embed="rId6"/>
        <a:stretch>
          <a:fillRect/>
        </a:stretch>
      </xdr:blipFill>
      <xdr:spPr>
        <a:xfrm>
          <a:off x="9896475" y="2914650"/>
          <a:ext cx="8421370" cy="5029200"/>
        </a:xfrm>
        <a:prstGeom prst="rect">
          <a:avLst/>
        </a:prstGeom>
        <a:noFill/>
        <a:ln w="9525">
          <a:noFill/>
        </a:ln>
      </xdr:spPr>
    </xdr:pic>
    <xdr:clientData/>
  </xdr:twoCellAnchor>
  <xdr:twoCellAnchor editAs="oneCell">
    <xdr:from>
      <xdr:col>12</xdr:col>
      <xdr:colOff>0</xdr:colOff>
      <xdr:row>50</xdr:row>
      <xdr:rowOff>0</xdr:rowOff>
    </xdr:from>
    <xdr:to>
      <xdr:col>25</xdr:col>
      <xdr:colOff>239395</xdr:colOff>
      <xdr:row>70</xdr:row>
      <xdr:rowOff>85725</xdr:rowOff>
    </xdr:to>
    <xdr:pic>
      <xdr:nvPicPr>
        <xdr:cNvPr id="8" name="图片 7"/>
        <xdr:cNvPicPr>
          <a:picLocks noChangeAspect="1"/>
        </xdr:cNvPicPr>
      </xdr:nvPicPr>
      <xdr:blipFill>
        <a:blip xmlns:r="http://schemas.openxmlformats.org/officeDocument/2006/relationships" r:embed="rId7"/>
        <a:stretch>
          <a:fillRect/>
        </a:stretch>
      </xdr:blipFill>
      <xdr:spPr>
        <a:xfrm>
          <a:off x="9896475" y="8096250"/>
          <a:ext cx="8421370" cy="33242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6</xdr:col>
      <xdr:colOff>570865</xdr:colOff>
      <xdr:row>19</xdr:row>
      <xdr:rowOff>123190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09550"/>
          <a:ext cx="4685665" cy="3237865"/>
        </a:xfrm>
        <a:prstGeom prst="rect">
          <a:avLst/>
        </a:prstGeom>
      </xdr:spPr>
    </xdr:pic>
    <xdr:clientData/>
  </xdr:twoCellAnchor>
  <xdr:twoCellAnchor editAs="oneCell">
    <xdr:from>
      <xdr:col>0</xdr:col>
      <xdr:colOff>0</xdr:colOff>
      <xdr:row>20</xdr:row>
      <xdr:rowOff>0</xdr:rowOff>
    </xdr:from>
    <xdr:to>
      <xdr:col>6</xdr:col>
      <xdr:colOff>580390</xdr:colOff>
      <xdr:row>22</xdr:row>
      <xdr:rowOff>18415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95675"/>
          <a:ext cx="4695190" cy="361315"/>
        </a:xfrm>
        <a:prstGeom prst="rect">
          <a:avLst/>
        </a:prstGeom>
      </xdr:spPr>
    </xdr:pic>
    <xdr:clientData/>
  </xdr:twoCellAnchor>
  <xdr:twoCellAnchor editAs="oneCell">
    <xdr:from>
      <xdr:col>0</xdr:col>
      <xdr:colOff>0</xdr:colOff>
      <xdr:row>24</xdr:row>
      <xdr:rowOff>0</xdr:rowOff>
    </xdr:from>
    <xdr:to>
      <xdr:col>13</xdr:col>
      <xdr:colOff>446497</xdr:colOff>
      <xdr:row>32</xdr:row>
      <xdr:rowOff>47448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181475"/>
          <a:ext cx="9428572" cy="1419048"/>
        </a:xfrm>
        <a:prstGeom prst="rect">
          <a:avLst/>
        </a:prstGeom>
      </xdr:spPr>
    </xdr:pic>
    <xdr:clientData/>
  </xdr:twoCellAnchor>
  <xdr:twoCellAnchor editAs="oneCell">
    <xdr:from>
      <xdr:col>0</xdr:col>
      <xdr:colOff>0</xdr:colOff>
      <xdr:row>33</xdr:row>
      <xdr:rowOff>0</xdr:rowOff>
    </xdr:from>
    <xdr:to>
      <xdr:col>13</xdr:col>
      <xdr:colOff>503640</xdr:colOff>
      <xdr:row>50</xdr:row>
      <xdr:rowOff>171064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724525"/>
          <a:ext cx="9485715" cy="3085714"/>
        </a:xfrm>
        <a:prstGeom prst="rect">
          <a:avLst/>
        </a:prstGeom>
      </xdr:spPr>
    </xdr:pic>
    <xdr:clientData/>
  </xdr:twoCellAnchor>
  <xdr:twoCellAnchor editAs="oneCell">
    <xdr:from>
      <xdr:col>0</xdr:col>
      <xdr:colOff>0</xdr:colOff>
      <xdr:row>51</xdr:row>
      <xdr:rowOff>0</xdr:rowOff>
    </xdr:from>
    <xdr:to>
      <xdr:col>13</xdr:col>
      <xdr:colOff>417926</xdr:colOff>
      <xdr:row>59</xdr:row>
      <xdr:rowOff>85543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8810625"/>
          <a:ext cx="9400001" cy="1457143"/>
        </a:xfrm>
        <a:prstGeom prst="rect">
          <a:avLst/>
        </a:prstGeom>
      </xdr:spPr>
    </xdr:pic>
    <xdr:clientData/>
  </xdr:twoCellAnchor>
  <xdr:twoCellAnchor editAs="oneCell">
    <xdr:from>
      <xdr:col>0</xdr:col>
      <xdr:colOff>0</xdr:colOff>
      <xdr:row>60</xdr:row>
      <xdr:rowOff>0</xdr:rowOff>
    </xdr:from>
    <xdr:to>
      <xdr:col>13</xdr:col>
      <xdr:colOff>456021</xdr:colOff>
      <xdr:row>68</xdr:row>
      <xdr:rowOff>56972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353675"/>
          <a:ext cx="9438096" cy="1428572"/>
        </a:xfrm>
        <a:prstGeom prst="rect">
          <a:avLst/>
        </a:prstGeom>
      </xdr:spPr>
    </xdr:pic>
    <xdr:clientData/>
  </xdr:twoCellAnchor>
  <xdr:twoCellAnchor editAs="oneCell">
    <xdr:from>
      <xdr:col>0</xdr:col>
      <xdr:colOff>0</xdr:colOff>
      <xdr:row>69</xdr:row>
      <xdr:rowOff>0</xdr:rowOff>
    </xdr:from>
    <xdr:to>
      <xdr:col>13</xdr:col>
      <xdr:colOff>494116</xdr:colOff>
      <xdr:row>77</xdr:row>
      <xdr:rowOff>28400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1896725"/>
          <a:ext cx="9476191" cy="1400000"/>
        </a:xfrm>
        <a:prstGeom prst="rect">
          <a:avLst/>
        </a:prstGeom>
      </xdr:spPr>
    </xdr:pic>
    <xdr:clientData/>
  </xdr:twoCellAnchor>
  <xdr:twoCellAnchor editAs="oneCell">
    <xdr:from>
      <xdr:col>0</xdr:col>
      <xdr:colOff>0</xdr:colOff>
      <xdr:row>77</xdr:row>
      <xdr:rowOff>0</xdr:rowOff>
    </xdr:from>
    <xdr:to>
      <xdr:col>13</xdr:col>
      <xdr:colOff>456021</xdr:colOff>
      <xdr:row>84</xdr:row>
      <xdr:rowOff>161755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268325"/>
          <a:ext cx="9438096" cy="1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52;&#23159;&#23159;\2020&#24180;\2020-1-0441&#39034;&#20041;&#24320;&#21457;&#36151;\&#26368;&#32456;\2020-1-0441-P01&#39034;&#20041;&#22825;&#31482;&#22303;&#22320;-&#24352;&#23159;&#23159;-&#20108;&#23457;-&#23828;&#38196;20200825-151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52;&#23159;&#23159;\2021&#24180;\2021-1-0567&#39034;&#20041;&#23448;&#29855;&#21488;\P03\&#26368;&#32456;\&#27979;&#31639;2021-1-0567-P02DYGJ2&#21271;&#20140;&#24066;&#39034;&#20041;&#21306;&#22825;&#31482;&#22823;&#34903;23&#21495;&#38498;&#8220;MAX&#23448;&#29855;&#21488;&#8221;&#20840;&#37096;&#24037;&#19994;&#29992;&#25151;&#20986;&#35753;&#22269;&#26377;&#24314;&#35774;&#29992;&#22320;&#20351;&#29992;&#26435;&#21450;&#22312;&#24314;&#24314;&#31569;&#29289;&#25151;&#22320;&#20135;&#25269;&#25276;&#20215;&#20540;&#39044;&#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352;&#23159;&#23159;\2020&#24180;\&#29616;&#25151;2019-1-0758&#39034;&#20041;&#27867;&#39567;&#21326;&#24037;&#19994;1&#26376;&#39044;&#35780;&#21450;&#25253;&#21578;\P01\&#32456;&#29256;\2019-1-0758-P01HDZC2-&#39034;&#20041;&#39034;&#39536;&#36335;19&#21495;&#20179;&#20648;&#29992;&#2515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剩余法-待开发"/>
      <sheetName val="不动产收益法"/>
      <sheetName val="不动产收益法 (车库)"/>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案例"/>
      <sheetName val="造价"/>
      <sheetName val="年期修正系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土地案例"/>
      <sheetName val="年期修正系数"/>
      <sheetName val="造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13">
          <cell r="K13">
            <v>1522.5</v>
          </cell>
        </row>
      </sheetData>
      <sheetData sheetId="12" refreshError="1"/>
      <sheetData sheetId="13">
        <row r="17">
          <cell r="C17" t="str">
            <v>项目类型</v>
          </cell>
        </row>
        <row r="19">
          <cell r="C19" t="str">
            <v>工业</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ow r="70">
          <cell r="B70" t="str">
            <v>用途</v>
          </cell>
        </row>
        <row r="97">
          <cell r="B97" t="str">
            <v>毗邻道路的类型与等级</v>
          </cell>
        </row>
        <row r="99">
          <cell r="B99" t="str">
            <v>土地级别</v>
          </cell>
        </row>
        <row r="110">
          <cell r="B110" t="str">
            <v>宗地形状</v>
          </cell>
        </row>
        <row r="112">
          <cell r="B112" t="str">
            <v>宗地开发程度</v>
          </cell>
          <cell r="C112" t="str">
            <v>七通</v>
          </cell>
          <cell r="D112" t="str">
            <v>六通</v>
          </cell>
          <cell r="E112" t="str">
            <v>五通</v>
          </cell>
          <cell r="F112" t="str">
            <v>四通</v>
          </cell>
          <cell r="G112" t="str">
            <v>三通</v>
          </cell>
        </row>
        <row r="114">
          <cell r="B114" t="str">
            <v>工程地质条件</v>
          </cell>
        </row>
      </sheetData>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t="str">
            <v>办公</v>
          </cell>
          <cell r="D64" t="str">
            <v>办公</v>
          </cell>
        </row>
        <row r="87">
          <cell r="B87" t="str">
            <v>毗邻道路的类型与等级</v>
          </cell>
        </row>
        <row r="89">
          <cell r="B89" t="str">
            <v>楼层</v>
          </cell>
          <cell r="C89" t="str">
            <v>高区</v>
          </cell>
          <cell r="D89" t="str">
            <v>中区</v>
          </cell>
          <cell r="E89" t="str">
            <v>低区</v>
          </cell>
        </row>
        <row r="91">
          <cell r="B91" t="str">
            <v>朝向</v>
          </cell>
        </row>
        <row r="101">
          <cell r="B101" t="str">
            <v>建筑类型</v>
          </cell>
          <cell r="C101" t="str">
            <v>独栋办公楼</v>
          </cell>
          <cell r="D101" t="str">
            <v>高层写字楼</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cell r="C119" t="str">
            <v>标准</v>
          </cell>
        </row>
        <row r="123">
          <cell r="B123" t="str">
            <v>内部装修</v>
          </cell>
          <cell r="C123" t="str">
            <v>精装</v>
          </cell>
          <cell r="D123" t="str">
            <v>普装</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efreshError="1"/>
      <sheetData sheetId="39"/>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土地案例"/>
      <sheetName val="年期修正系数"/>
      <sheetName val="基准地价修正未选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sheetData sheetId="10" refreshError="1"/>
      <sheetData sheetId="11" refreshError="1"/>
      <sheetData sheetId="12" refreshError="1"/>
      <sheetData sheetId="13">
        <row r="17">
          <cell r="C17" t="str">
            <v>项目类型</v>
          </cell>
        </row>
      </sheetData>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ow r="6">
          <cell r="A6" t="str">
            <v>通路</v>
          </cell>
        </row>
      </sheetData>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北京市房地产抵押价值预评估</v>
      </c>
    </row>
    <row r="3" spans="1:2" s="1336" customFormat="1">
      <c r="A3" s="1334" t="s">
        <v>1129</v>
      </c>
      <c r="B3" s="1335">
        <f>'预评函-封皮'!B40</f>
        <v>0</v>
      </c>
    </row>
    <row r="4" spans="1:2" s="1336" customFormat="1">
      <c r="A4" s="1334" t="s">
        <v>1130</v>
      </c>
      <c r="B4" s="1335" t="str">
        <f>'预评函-封皮'!B46</f>
        <v>（注册号：0)、（注册号：0)</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受贵公司委托，我公司对北京市房地产抵押价值进行了预评估。</v>
      </c>
    </row>
    <row r="7" spans="1:2" s="1336" customFormat="1">
      <c r="A7" s="1334" t="s">
        <v>1172</v>
      </c>
      <c r="B7" s="1335" t="str">
        <f>'预评函-1'!A7</f>
        <v>估价对象为北京市房地产，为所有。根据《国有土地使用证》[]，估价对象（分摊）出让国有建设用地使用权面积为15415.9平方米，建筑面积为18907.05平方米。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估价对象为北京市房地产,属开发建设的，该项目尚在开发建设中。根据《国有土地使用证》[]，估价对象（分摊）出让国有建设用地使用权面积为15415.9平方米，规划建筑面积为18907.05平方米。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6" customFormat="1">
      <c r="A12" s="1334" t="s">
        <v>1134</v>
      </c>
      <c r="B12" s="1335" t="str">
        <f>'预评函-1'!A15</f>
        <v>2022年3月25日</v>
      </c>
    </row>
    <row r="13" spans="1:2" s="1336" customFormat="1">
      <c r="A13" s="1334" t="s">
        <v>1135</v>
      </c>
      <c r="B13" s="1335" t="str">
        <f>'预评函-1'!A18</f>
        <v>本次估价的“房地产价值”是指在正常市场情况下，在价值时点2022年3月25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6" customFormat="1">
      <c r="A15" s="1334" t="s">
        <v>1137</v>
      </c>
      <c r="B15" s="1335" t="str">
        <f>'预评函-1'!A20</f>
        <v>本次估价的“房地产抵押价值”是指估价对象在价值时点的“房地产价值”扣减估价师于价值时点所知悉的法定优先受偿款后的余额。</v>
      </c>
    </row>
    <row r="16" spans="1:2" s="1336" customFormat="1">
      <c r="A16" s="1334" t="s">
        <v>1138</v>
      </c>
      <c r="B16" s="13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6" customFormat="1">
      <c r="A17" s="1334" t="s">
        <v>1139</v>
      </c>
      <c r="B17" s="13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0" customFormat="1" ht="15" thickBot="1">
      <c r="A18" s="1337" t="s">
        <v>1140</v>
      </c>
      <c r="B18" s="1338" t="str">
        <f>'预评函-1'!A24</f>
        <v>本次评估采用的主估价方法为成本法和假设开发法。</v>
      </c>
    </row>
    <row r="19" spans="1:2" s="1333" customFormat="1" ht="15" thickTop="1">
      <c r="A19" s="1331" t="s">
        <v>1141</v>
      </c>
      <c r="B19" s="13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6" customFormat="1">
      <c r="A20" s="1334" t="s">
        <v>1142</v>
      </c>
      <c r="B20" s="1335">
        <f ca="1">'预评函-2'!D5</f>
        <v>11363</v>
      </c>
    </row>
    <row r="21" spans="1:2" s="1336" customFormat="1">
      <c r="A21" s="1334" t="s">
        <v>1143</v>
      </c>
      <c r="B21" s="1335">
        <f ca="1">'预评函-2'!D7</f>
        <v>6010</v>
      </c>
    </row>
    <row r="22" spans="1:2" s="1336" customFormat="1">
      <c r="A22" s="1334" t="s">
        <v>1144</v>
      </c>
      <c r="B22" s="1335" t="str">
        <f ca="1">'预评函-2'!D6</f>
        <v>壹亿壹仟叁佰陆拾叁万元整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11363</v>
      </c>
    </row>
    <row r="31" spans="1:2" s="1336" customFormat="1">
      <c r="A31" s="1334" t="s">
        <v>1182</v>
      </c>
      <c r="B31" s="1335">
        <f ca="1">'预评函-2'!D15</f>
        <v>6010</v>
      </c>
    </row>
    <row r="32" spans="1:2" s="1336" customFormat="1">
      <c r="A32" s="1334" t="s">
        <v>1149</v>
      </c>
      <c r="B32" s="1335" t="str">
        <f ca="1">'预评函-2'!D14</f>
        <v>壹亿壹仟叁佰陆拾叁万元整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18907.05</v>
      </c>
    </row>
    <row r="44" spans="1:2" s="1336" customFormat="1">
      <c r="A44" s="1334" t="s">
        <v>1181</v>
      </c>
      <c r="B44" s="1335" t="str">
        <f>'预评函-3'!C2</f>
        <v>(分摊)土地面积</v>
      </c>
    </row>
    <row r="45" spans="1:2" s="1336" customFormat="1">
      <c r="A45" s="1334" t="s">
        <v>1153</v>
      </c>
      <c r="B45" s="1335">
        <f>'预评函-3'!C4</f>
        <v>15415.9</v>
      </c>
    </row>
    <row r="46" spans="1:2" s="1336" customFormat="1">
      <c r="A46" s="1334" t="s">
        <v>1179</v>
      </c>
      <c r="B46" s="1335" t="str">
        <f>'预评函-3'!D2</f>
        <v>出让国有建设用地使用权价值</v>
      </c>
    </row>
    <row r="47" spans="1:2" s="1336" customFormat="1">
      <c r="A47" s="1334" t="s">
        <v>1154</v>
      </c>
      <c r="B47" s="1335">
        <f ca="1">'预评函-3'!D4</f>
        <v>5704</v>
      </c>
    </row>
    <row r="48" spans="1:2" s="1336" customFormat="1">
      <c r="A48" s="1334" t="s">
        <v>1155</v>
      </c>
      <c r="B48" s="1335">
        <f ca="1">'预评函-3'!E4</f>
        <v>3017</v>
      </c>
    </row>
    <row r="49" spans="1:2" s="1336" customFormat="1">
      <c r="A49" s="1334" t="s">
        <v>1156</v>
      </c>
      <c r="B49" s="1335" t="str">
        <f ca="1">'预评函-3'!D5</f>
        <v>伍仟柒佰零肆万元整</v>
      </c>
    </row>
    <row r="50" spans="1:2" s="1336" customFormat="1">
      <c r="A50" s="1334" t="s">
        <v>1180</v>
      </c>
      <c r="B50" s="1335" t="str">
        <f>'预评函-3'!F2</f>
        <v>在建建筑物价值</v>
      </c>
    </row>
    <row r="51" spans="1:2" s="1336" customFormat="1">
      <c r="A51" s="1334" t="s">
        <v>1157</v>
      </c>
      <c r="B51" s="1335">
        <f ca="1">'预评函-3'!F4</f>
        <v>5659</v>
      </c>
    </row>
    <row r="52" spans="1:2" s="1336" customFormat="1">
      <c r="A52" s="1334" t="s">
        <v>1158</v>
      </c>
      <c r="B52" s="1335">
        <f ca="1">'预评函-3'!G4</f>
        <v>2993</v>
      </c>
    </row>
    <row r="53" spans="1:2" s="1336" customFormat="1">
      <c r="A53" s="1334" t="s">
        <v>1186</v>
      </c>
      <c r="B53" s="1335" t="str">
        <f ca="1">'预评函-3'!F5</f>
        <v>伍仟陆佰伍拾玖万元整</v>
      </c>
    </row>
    <row r="54" spans="1:2" s="1336" customFormat="1">
      <c r="A54" s="1334" t="s">
        <v>1204</v>
      </c>
      <c r="B54" s="1335" t="str">
        <f>'预评函-3'!A8</f>
        <v>房地产抵押价值</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估价师知悉的法定优先受偿款</v>
      </c>
    </row>
    <row r="58" spans="1:2" s="1333" customFormat="1" ht="15" thickTop="1">
      <c r="A58" s="1331" t="s">
        <v>1159</v>
      </c>
      <c r="B58" s="1332" t="str">
        <f>'预评函-4'!A12</f>
        <v>2.本《评估意见函》仅供金融机构进行内部审核使用，不做其他目的之用。</v>
      </c>
    </row>
    <row r="59" spans="1:2" s="1336" customFormat="1">
      <c r="A59" s="1334" t="s">
        <v>1160</v>
      </c>
      <c r="B59" s="1335" t="str">
        <f>'预评函-4'!A13</f>
        <v>3.抵押双方在办理抵押登记手续时，应使用本公司出具的正式《房地产评估报告》，特提醒报告使用者注意。</v>
      </c>
    </row>
    <row r="60" spans="1:2" s="1336" customFormat="1">
      <c r="A60" s="1334" t="s">
        <v>1161</v>
      </c>
      <c r="B60" s="1335" t="str">
        <f>'预评函-4'!A14</f>
        <v>4.本次评估估价师所知悉的法定优先受偿款情况说明如下：</v>
      </c>
    </row>
    <row r="61" spans="1:2" s="1336" customFormat="1">
      <c r="A61" s="1334" t="s">
        <v>1162</v>
      </c>
      <c r="B61" s="13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故，本次评估不存在估价师知悉的法定优先受偿款</v>
      </c>
    </row>
    <row r="65" spans="1:2" s="1336" customFormat="1">
      <c r="A65" s="1334" t="s">
        <v>1165</v>
      </c>
      <c r="B65" s="13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f>'预评函-4'!A4</f>
        <v>0</v>
      </c>
    </row>
    <row r="71" spans="1:2">
      <c r="A71" s="1334" t="s">
        <v>1169</v>
      </c>
      <c r="B71" s="1335">
        <f>'预评函-4'!B4</f>
        <v>0</v>
      </c>
    </row>
    <row r="72" spans="1:2">
      <c r="A72" s="1334" t="s">
        <v>1170</v>
      </c>
      <c r="B72" s="1343">
        <f>'预评函-4'!A5</f>
        <v>0</v>
      </c>
    </row>
    <row r="73" spans="1:2" s="1330" customFormat="1" ht="15" thickBot="1">
      <c r="A73" s="1337" t="s">
        <v>1171</v>
      </c>
      <c r="B73" s="1338">
        <f>'预评函-4'!B5</f>
        <v>0</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36" t="str">
        <f>项目基本情况!B1</f>
        <v>北京市房地产抵押价值预评估</v>
      </c>
      <c r="C37" s="3236"/>
      <c r="D37" s="3236"/>
      <c r="E37" s="3236"/>
      <c r="F37" s="3236"/>
      <c r="G37" s="3236"/>
      <c r="H37" s="3236"/>
      <c r="I37" s="3236"/>
    </row>
    <row r="38" spans="1:9">
      <c r="A38" s="953"/>
      <c r="B38" s="953"/>
    </row>
    <row r="39" spans="1:9">
      <c r="A39" s="951" t="s">
        <v>818</v>
      </c>
      <c r="B39" s="951" t="s">
        <v>820</v>
      </c>
    </row>
    <row r="40" spans="1:9">
      <c r="A40" s="951"/>
      <c r="B40" s="1628">
        <f>项目基本情况!B5</f>
        <v>0</v>
      </c>
    </row>
    <row r="41" spans="1:9">
      <c r="A41" s="951"/>
      <c r="B41" s="951"/>
    </row>
    <row r="42" spans="1:9">
      <c r="A42" s="951" t="s">
        <v>818</v>
      </c>
      <c r="B42" s="951" t="s">
        <v>821</v>
      </c>
    </row>
    <row r="43" spans="1:9">
      <c r="A43" s="951"/>
      <c r="B43" s="1628" t="s">
        <v>822</v>
      </c>
    </row>
    <row r="44" spans="1:9">
      <c r="A44" s="951"/>
      <c r="B44" s="951"/>
    </row>
    <row r="45" spans="1:9">
      <c r="A45" s="951" t="s">
        <v>818</v>
      </c>
      <c r="B45" s="951" t="s">
        <v>823</v>
      </c>
    </row>
    <row r="46" spans="1:9" s="951" customFormat="1" ht="12.75">
      <c r="B46" s="1628" t="str">
        <f>项目基本情况!K4</f>
        <v>（注册号：0)、（注册号：0)</v>
      </c>
    </row>
    <row r="47" spans="1:9">
      <c r="A47" s="951"/>
      <c r="B47" s="951" t="str">
        <f>项目基本情况!K5</f>
        <v>（注册号：0)、（注册号：0)</v>
      </c>
    </row>
    <row r="48" spans="1:9">
      <c r="A48" s="951" t="s">
        <v>818</v>
      </c>
      <c r="B48" s="951"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1516</v>
      </c>
    </row>
    <row r="2" spans="1:1">
      <c r="A2" s="1632"/>
    </row>
    <row r="3" spans="1:1" ht="18">
      <c r="A3" s="1633" t="str">
        <f>项目基本情况!B5&amp;"："</f>
        <v>：</v>
      </c>
    </row>
    <row r="4" spans="1:1" ht="18">
      <c r="A4" s="1634" t="str">
        <f>"受贵公司委托，我公司对"&amp;项目基本情况!S1&amp;"进行了预评估。"</f>
        <v>受贵公司委托，我公司对北京市房地产抵押价值进行了预评估。</v>
      </c>
    </row>
    <row r="5" spans="1:1" ht="18.75">
      <c r="A5" s="1635" t="s">
        <v>1517</v>
      </c>
    </row>
    <row r="6" spans="1:1" ht="18.75">
      <c r="A6" s="1636" t="s">
        <v>1518</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估价对象为北京市房地产，为所有。根据《国有土地使用证》[]，估价对象（分摊）出让国有建设用地使用权面积为15415.9平方米，建筑面积为18907.05平方米。</v>
      </c>
    </row>
    <row r="8" spans="1:1" ht="57.75">
      <c r="A8" s="1637" t="s">
        <v>1519</v>
      </c>
    </row>
    <row r="9" spans="1:1" ht="18.75">
      <c r="A9" s="1636" t="s">
        <v>1520</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估价对象为北京市房地产,属开发建设的，该项目尚在开发建设中。根据《国有土地使用证》[]，估价对象（分摊）出让国有建设用地使用权面积为15415.9平方米，规划建筑面积为18907.05平方米。</v>
      </c>
    </row>
    <row r="11" spans="1:1" ht="76.5">
      <c r="A11" s="1637" t="s">
        <v>1521</v>
      </c>
    </row>
    <row r="12" spans="1:1" ht="18.75">
      <c r="A12" s="1635" t="s">
        <v>1522</v>
      </c>
    </row>
    <row r="13" spans="1:1" ht="38.25" customHeight="1">
      <c r="A13" s="163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9" t="s">
        <v>1523</v>
      </c>
    </row>
    <row r="15" spans="1:1" ht="18">
      <c r="A15" s="1640" t="str">
        <f>TEXT(项目基本情况!D3,"yyyy年m月d日;;")&amp;IF(项目基本情况!D3=项目基本情况!B3,"（评估专业人员实地查勘之日）","")</f>
        <v>2022年3月25日</v>
      </c>
    </row>
    <row r="16" spans="1:1" ht="18.75">
      <c r="A16" s="1639" t="s">
        <v>1524</v>
      </c>
    </row>
    <row r="17" spans="1:1" ht="75">
      <c r="A17" s="1634" t="s">
        <v>1525</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25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9" t="s">
        <v>1514</v>
      </c>
    </row>
    <row r="24" spans="1:1" ht="18">
      <c r="A24" s="1641" t="str">
        <f>"本次评估采用的主估价方法为"&amp;结果表!K4&amp;"和"&amp;结果表!L4&amp;"。"</f>
        <v>本次评估采用的主估价方法为成本法和假设开发法。</v>
      </c>
    </row>
    <row r="25" spans="1:1" ht="18">
      <c r="A25" s="1641"/>
    </row>
    <row r="26" spans="1:1" ht="18.75">
      <c r="A26" s="1642" t="s">
        <v>1515</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1526</v>
      </c>
      <c r="B1" s="1645"/>
      <c r="C1" s="1645"/>
      <c r="D1" s="1645"/>
      <c r="E1" s="1645"/>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47"/>
      <c r="B4" s="3240" t="s">
        <v>1535</v>
      </c>
      <c r="C4" s="3240"/>
      <c r="D4" s="3240"/>
      <c r="E4" s="1647"/>
    </row>
    <row r="5" spans="1:5" ht="16.5" thickTop="1">
      <c r="A5" s="1645"/>
      <c r="B5" s="3238" t="s">
        <v>1527</v>
      </c>
      <c r="C5" s="1648" t="s">
        <v>1528</v>
      </c>
      <c r="D5" s="959">
        <f ca="1">结果表!H101</f>
        <v>11363</v>
      </c>
      <c r="E5" s="1645"/>
    </row>
    <row r="6" spans="1:5" ht="15.75">
      <c r="A6" s="1645"/>
      <c r="B6" s="3238"/>
      <c r="C6" s="1648" t="s">
        <v>1529</v>
      </c>
      <c r="D6" s="959" t="str">
        <f ca="1">NUMBERSTRING(INT(D5*10000),2)&amp;"元整"</f>
        <v>壹亿壹仟叁佰陆拾叁万元整</v>
      </c>
      <c r="E6" s="1645"/>
    </row>
    <row r="7" spans="1:5" ht="15.75">
      <c r="A7" s="1645"/>
      <c r="B7" s="3243"/>
      <c r="C7" s="1649" t="s">
        <v>1530</v>
      </c>
      <c r="D7" s="960">
        <f ca="1">结果表!H102</f>
        <v>6010</v>
      </c>
      <c r="E7" s="1645"/>
    </row>
    <row r="8" spans="1:5" ht="15.75">
      <c r="A8" s="1645"/>
      <c r="B8" s="3244" t="str">
        <f>结果表!E103</f>
        <v>2.估价师知悉的法定优先受偿款</v>
      </c>
      <c r="C8" s="1650" t="s">
        <v>1531</v>
      </c>
      <c r="D8" s="960">
        <f>结果表!H103</f>
        <v>0</v>
      </c>
      <c r="E8" s="1645"/>
    </row>
    <row r="9" spans="1:5" ht="15.75">
      <c r="A9" s="1645"/>
      <c r="B9" s="3246"/>
      <c r="C9" s="1648" t="s">
        <v>1529</v>
      </c>
      <c r="D9" s="959" t="str">
        <f>NUMBERSTRING(INT(D8*10000),2)&amp;"元整"</f>
        <v>零元整</v>
      </c>
      <c r="E9" s="1645"/>
    </row>
    <row r="10" spans="1:5" ht="15">
      <c r="A10" s="1645"/>
      <c r="B10" s="1651" t="s">
        <v>1534</v>
      </c>
      <c r="C10" s="1652" t="s">
        <v>1532</v>
      </c>
      <c r="D10" s="961">
        <f>结果表!H104</f>
        <v>0</v>
      </c>
      <c r="E10" s="1645"/>
    </row>
    <row r="11" spans="1:5" ht="15">
      <c r="A11" s="1645"/>
      <c r="B11" s="1651" t="s">
        <v>1536</v>
      </c>
      <c r="C11" s="1652" t="s">
        <v>1537</v>
      </c>
      <c r="D11" s="961">
        <f>结果表!H105</f>
        <v>0</v>
      </c>
      <c r="E11" s="1645"/>
    </row>
    <row r="12" spans="1:5" ht="15">
      <c r="A12" s="1645"/>
      <c r="B12" s="1651" t="s">
        <v>1538</v>
      </c>
      <c r="C12" s="1652" t="s">
        <v>1537</v>
      </c>
      <c r="D12" s="961">
        <f>结果表!H106</f>
        <v>0</v>
      </c>
      <c r="E12" s="1645"/>
    </row>
    <row r="13" spans="1:5" ht="15.75">
      <c r="A13" s="1645"/>
      <c r="B13" s="3237" t="str">
        <f>结果表!E107</f>
        <v>3.房地产抵押价值</v>
      </c>
      <c r="C13" s="1653" t="s">
        <v>1528</v>
      </c>
      <c r="D13" s="962">
        <f ca="1">结果表!H107</f>
        <v>11363</v>
      </c>
      <c r="E13" s="1645"/>
    </row>
    <row r="14" spans="1:5" ht="15.75">
      <c r="A14" s="1645"/>
      <c r="B14" s="3238"/>
      <c r="C14" s="1648" t="s">
        <v>1529</v>
      </c>
      <c r="D14" s="959" t="str">
        <f ca="1">NUMBERSTRING(INT(D13*10000),2)&amp;"元整"</f>
        <v>壹亿壹仟叁佰陆拾叁万元整</v>
      </c>
      <c r="E14" s="1645"/>
    </row>
    <row r="15" spans="1:5" ht="15">
      <c r="A15" s="1645"/>
      <c r="B15" s="3243"/>
      <c r="C15" s="1649" t="s">
        <v>1539</v>
      </c>
      <c r="D15" s="968">
        <f ca="1">结果表!H108</f>
        <v>6010</v>
      </c>
      <c r="E15" s="1645"/>
    </row>
    <row r="16" spans="1:5" ht="15">
      <c r="A16" s="1645"/>
      <c r="B16" s="3244" t="str">
        <f>结果表!E109</f>
        <v>——</v>
      </c>
      <c r="C16" s="1653" t="s">
        <v>1540</v>
      </c>
      <c r="D16" s="1654" t="str">
        <f>结果表!H109</f>
        <v>——</v>
      </c>
      <c r="E16" s="1645"/>
    </row>
    <row r="17" spans="1:5" ht="15.75">
      <c r="A17" s="1645"/>
      <c r="B17" s="3245"/>
      <c r="C17" s="1648" t="s">
        <v>1541</v>
      </c>
      <c r="D17" s="959" t="e">
        <f>NUMBERSTRING(INT(D16*10000),2)&amp;"元整"</f>
        <v>#VALUE!</v>
      </c>
      <c r="E17" s="1645"/>
    </row>
    <row r="18" spans="1:5" ht="15">
      <c r="A18" s="1645"/>
      <c r="B18" s="3246"/>
      <c r="C18" s="1649" t="s">
        <v>1530</v>
      </c>
      <c r="D18" s="968" t="str">
        <f>结果表!H110</f>
        <v>——</v>
      </c>
      <c r="E18" s="1645"/>
    </row>
    <row r="19" spans="1:5" ht="15.75">
      <c r="A19" s="1645"/>
      <c r="B19" s="3237" t="str">
        <f>结果表!E111</f>
        <v>——</v>
      </c>
      <c r="C19" s="1653" t="s">
        <v>1528</v>
      </c>
      <c r="D19" s="960" t="str">
        <f>结果表!H111</f>
        <v>——</v>
      </c>
      <c r="E19" s="1645"/>
    </row>
    <row r="20" spans="1:5" ht="15.75">
      <c r="A20" s="1645"/>
      <c r="B20" s="3238"/>
      <c r="C20" s="1648" t="s">
        <v>1541</v>
      </c>
      <c r="D20" s="959" t="e">
        <f>NUMBERSTRING(INT(D19*10000),2)&amp;"元整"</f>
        <v>#VALUE!</v>
      </c>
      <c r="E20" s="1645"/>
    </row>
    <row r="21" spans="1:5" ht="15.75" thickBot="1">
      <c r="A21" s="1645"/>
      <c r="B21" s="3239"/>
      <c r="C21" s="1655" t="s">
        <v>1539</v>
      </c>
      <c r="D21" s="969" t="str">
        <f>结果表!H112</f>
        <v>——</v>
      </c>
      <c r="E21" s="1645"/>
    </row>
    <row r="22" spans="1:5" ht="15" thickTop="1">
      <c r="A22" s="1645"/>
      <c r="B22" s="1656" t="s">
        <v>1542</v>
      </c>
      <c r="C22" s="1645"/>
      <c r="D22" s="1645"/>
      <c r="E22" s="1645"/>
    </row>
    <row r="23" spans="1:5">
      <c r="A23" s="1645"/>
      <c r="B23" s="1645"/>
      <c r="C23" s="1645"/>
      <c r="D23" s="1645"/>
      <c r="E23" s="1645"/>
    </row>
    <row r="24" spans="1:5" ht="18.75">
      <c r="A24" s="1657"/>
      <c r="B24" s="1658" t="s">
        <v>1533</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1" customWidth="1"/>
    <col min="2" max="9" width="12.125" style="1631" customWidth="1"/>
    <col min="10" max="16384" width="9" style="1631"/>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1546</v>
      </c>
      <c r="B2" s="3257" t="s">
        <v>1547</v>
      </c>
      <c r="C2" s="3257" t="s">
        <v>1548</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1"/>
      <c r="B3" s="3251"/>
      <c r="C3" s="3251"/>
      <c r="D3" s="963" t="s">
        <v>1543</v>
      </c>
      <c r="E3" s="963" t="s">
        <v>1549</v>
      </c>
      <c r="F3" s="963" t="s">
        <v>1543</v>
      </c>
      <c r="G3" s="963" t="s">
        <v>1544</v>
      </c>
      <c r="H3" s="963" t="s">
        <v>1543</v>
      </c>
      <c r="I3" s="963" t="s">
        <v>1544</v>
      </c>
    </row>
    <row r="4" spans="1:9" ht="15">
      <c r="A4" s="1659" t="str">
        <f>项目基本情况!S2</f>
        <v>北京市房地产</v>
      </c>
      <c r="B4" s="963">
        <f>项目基本情况!C17</f>
        <v>18907.05</v>
      </c>
      <c r="C4" s="963">
        <f>项目基本情况!C18</f>
        <v>15415.9</v>
      </c>
      <c r="D4" s="963">
        <f ca="1">结果表!D118</f>
        <v>5704</v>
      </c>
      <c r="E4" s="963">
        <f ca="1">结果表!E118</f>
        <v>3017</v>
      </c>
      <c r="F4" s="963">
        <f ca="1">结果表!F118</f>
        <v>5659</v>
      </c>
      <c r="G4" s="963">
        <f ca="1">结果表!G118</f>
        <v>2993</v>
      </c>
      <c r="H4" s="963">
        <f ca="1">结果表!H118</f>
        <v>11363</v>
      </c>
      <c r="I4" s="963">
        <f ca="1">结果表!I118</f>
        <v>6010</v>
      </c>
    </row>
    <row r="5" spans="1:9" ht="30" customHeight="1">
      <c r="A5" s="3251" t="s">
        <v>1545</v>
      </c>
      <c r="B5" s="3251"/>
      <c r="C5" s="3251"/>
      <c r="D5" s="3252" t="str">
        <f ca="1">结果表!D119</f>
        <v>伍仟柒佰零肆万元整</v>
      </c>
      <c r="E5" s="3252"/>
      <c r="F5" s="3252" t="str">
        <f ca="1">结果表!F119</f>
        <v>伍仟陆佰伍拾玖万元整</v>
      </c>
      <c r="G5" s="3252"/>
      <c r="H5" s="3252" t="str">
        <f ca="1">结果表!H119</f>
        <v>壹亿壹仟叁佰陆拾叁万元整</v>
      </c>
      <c r="I5" s="3252"/>
    </row>
    <row r="6" spans="1:9" ht="15.75">
      <c r="A6" s="3250" t="str">
        <f>结果表!A120</f>
        <v>估价师知悉的法定优先受偿款</v>
      </c>
      <c r="B6" s="3250"/>
      <c r="C6" s="3250"/>
      <c r="D6" s="3250">
        <f>结果表!D120</f>
        <v>0</v>
      </c>
      <c r="E6" s="3250"/>
      <c r="F6" s="3250"/>
      <c r="G6" s="3250"/>
      <c r="H6" s="3250"/>
      <c r="I6" s="3250"/>
    </row>
    <row r="7" spans="1:9" ht="15">
      <c r="A7" s="3251" t="s">
        <v>1545</v>
      </c>
      <c r="B7" s="3251"/>
      <c r="C7" s="3251"/>
      <c r="D7" s="3253" t="str">
        <f>结果表!D121</f>
        <v>零元整</v>
      </c>
      <c r="E7" s="3254"/>
      <c r="F7" s="3254"/>
      <c r="G7" s="3254"/>
      <c r="H7" s="3254"/>
      <c r="I7" s="3255"/>
    </row>
    <row r="8" spans="1:9" ht="15.75">
      <c r="A8" s="3250" t="str">
        <f>结果表!A122</f>
        <v>房地产抵押价值</v>
      </c>
      <c r="B8" s="3250"/>
      <c r="C8" s="3250"/>
      <c r="D8" s="3250">
        <f ca="1">结果表!D122</f>
        <v>11363</v>
      </c>
      <c r="E8" s="3250"/>
      <c r="F8" s="3250"/>
      <c r="G8" s="3250"/>
      <c r="H8" s="3250"/>
      <c r="I8" s="3250"/>
    </row>
    <row r="9" spans="1:9" ht="15">
      <c r="A9" s="3251" t="s">
        <v>1545</v>
      </c>
      <c r="B9" s="3251"/>
      <c r="C9" s="3251"/>
      <c r="D9" s="3252" t="str">
        <f ca="1">结果表!D123</f>
        <v>壹亿壹仟叁佰陆拾叁万元整</v>
      </c>
      <c r="E9" s="3252"/>
      <c r="F9" s="3252"/>
      <c r="G9" s="3252"/>
      <c r="H9" s="3252"/>
      <c r="I9" s="3252"/>
    </row>
    <row r="10" spans="1:9" ht="15.75">
      <c r="A10" s="3250" t="str">
        <f>结果表!A124</f>
        <v/>
      </c>
      <c r="B10" s="3250"/>
      <c r="C10" s="3250"/>
      <c r="D10" s="3250" t="str">
        <f>结果表!D124</f>
        <v>——</v>
      </c>
      <c r="E10" s="3250"/>
      <c r="F10" s="3250"/>
      <c r="G10" s="3250"/>
      <c r="H10" s="3250"/>
      <c r="I10" s="3250"/>
    </row>
    <row r="11" spans="1:9" ht="15">
      <c r="A11" s="3251" t="s">
        <v>1545</v>
      </c>
      <c r="B11" s="3251"/>
      <c r="C11" s="3251"/>
      <c r="D11" s="3252" t="e">
        <f>结果表!D125</f>
        <v>#VALUE!</v>
      </c>
      <c r="E11" s="3252"/>
      <c r="F11" s="3252"/>
      <c r="G11" s="3252"/>
      <c r="H11" s="3252"/>
      <c r="I11" s="3252"/>
    </row>
    <row r="12" spans="1:9" ht="15.75">
      <c r="A12" s="3250" t="str">
        <f>结果表!A126</f>
        <v/>
      </c>
      <c r="B12" s="3250"/>
      <c r="C12" s="3250"/>
      <c r="D12" s="3250" t="str">
        <f>结果表!D126</f>
        <v>——</v>
      </c>
      <c r="E12" s="3250"/>
      <c r="F12" s="3250"/>
      <c r="G12" s="3250"/>
      <c r="H12" s="3250"/>
      <c r="I12" s="3250"/>
    </row>
    <row r="13" spans="1:9" ht="15.75" thickBot="1">
      <c r="A13" s="3247" t="s">
        <v>1545</v>
      </c>
      <c r="B13" s="3247"/>
      <c r="C13" s="3247"/>
      <c r="D13" s="3248" t="e">
        <f>结果表!D127</f>
        <v>#VALUE!</v>
      </c>
      <c r="E13" s="3248"/>
      <c r="F13" s="3248"/>
      <c r="G13" s="3248"/>
      <c r="H13" s="3248"/>
      <c r="I13" s="3248"/>
    </row>
    <row r="14" spans="1:9" ht="15" thickTop="1">
      <c r="A14" s="3249" t="s">
        <v>1550</v>
      </c>
      <c r="B14" s="3249"/>
      <c r="C14" s="3249"/>
      <c r="D14" s="3249"/>
      <c r="E14" s="3249"/>
      <c r="F14" s="3249"/>
      <c r="G14" s="3249"/>
      <c r="H14" s="3249"/>
      <c r="I14" s="3249"/>
    </row>
    <row r="16" spans="1:9" ht="18.75">
      <c r="A16" s="1660" t="s">
        <v>1533</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264" t="s">
        <v>1567</v>
      </c>
      <c r="B1" s="3264"/>
      <c r="C1" s="3264"/>
      <c r="D1" s="3264"/>
    </row>
    <row r="2" spans="1:4" ht="18">
      <c r="A2" s="3265" t="s">
        <v>1551</v>
      </c>
      <c r="B2" s="3265"/>
      <c r="C2" s="3265"/>
      <c r="D2" s="3265"/>
    </row>
    <row r="3" spans="1:4" ht="18.75">
      <c r="A3" s="1663" t="s">
        <v>1552</v>
      </c>
      <c r="B3" s="1663" t="s">
        <v>1553</v>
      </c>
      <c r="C3" s="1663" t="s">
        <v>1554</v>
      </c>
      <c r="D3" s="1663" t="s">
        <v>1555</v>
      </c>
    </row>
    <row r="4" spans="1:4" ht="56.25" customHeight="1">
      <c r="A4" s="1664">
        <f>项目基本情况!B4</f>
        <v>0</v>
      </c>
      <c r="B4" s="1665">
        <f>项目基本情况!C4</f>
        <v>0</v>
      </c>
      <c r="C4" s="1666"/>
      <c r="D4" s="1667" t="s">
        <v>1556</v>
      </c>
    </row>
    <row r="5" spans="1:4" ht="56.25" customHeight="1">
      <c r="A5" s="1664">
        <f>项目基本情况!D4</f>
        <v>0</v>
      </c>
      <c r="B5" s="1665">
        <f>项目基本情况!E4</f>
        <v>0</v>
      </c>
      <c r="C5" s="1668"/>
      <c r="D5" s="1667" t="s">
        <v>1556</v>
      </c>
    </row>
    <row r="6" spans="1:4" ht="18">
      <c r="A6" s="3265" t="s">
        <v>1557</v>
      </c>
      <c r="B6" s="3265"/>
      <c r="C6" s="3265"/>
      <c r="D6" s="3265"/>
    </row>
    <row r="7" spans="1:4" ht="18.75">
      <c r="A7" s="1663" t="s">
        <v>1552</v>
      </c>
      <c r="B7" s="1665" t="s">
        <v>1558</v>
      </c>
      <c r="C7" s="1663" t="s">
        <v>1554</v>
      </c>
      <c r="D7" s="1663" t="s">
        <v>1555</v>
      </c>
    </row>
    <row r="8" spans="1:4" ht="56.25" customHeight="1">
      <c r="A8" s="1669" t="s">
        <v>837</v>
      </c>
      <c r="B8" s="1669" t="s">
        <v>1</v>
      </c>
      <c r="C8" s="1666"/>
      <c r="D8" s="1667" t="s">
        <v>1556</v>
      </c>
    </row>
    <row r="9" spans="1:4">
      <c r="A9" s="684"/>
      <c r="B9" s="684"/>
      <c r="C9" s="684"/>
      <c r="D9" s="684"/>
    </row>
    <row r="10" spans="1:4" ht="18.75">
      <c r="A10" s="1670" t="s">
        <v>1559</v>
      </c>
      <c r="B10" s="684"/>
      <c r="C10" s="684"/>
      <c r="D10" s="684"/>
    </row>
    <row r="11" spans="1:4" ht="30" customHeight="1">
      <c r="A11" s="3266" t="s">
        <v>1560</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58" t="str">
        <f>IF(项目基本情况!B8="抵押","4.本次评估估价师所知悉的法定优先受偿款情况说明如下：","——")</f>
        <v>4.本次评估估价师所知悉的法定优先受偿款情况说明如下：</v>
      </c>
      <c r="B14" s="3263"/>
      <c r="C14" s="3263"/>
      <c r="D14" s="3263"/>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0" t="s">
        <v>1561</v>
      </c>
      <c r="B16" s="3260"/>
      <c r="C16" s="3260"/>
      <c r="D16" s="3260"/>
    </row>
    <row r="17" spans="1:4" ht="144" customHeight="1">
      <c r="A17" s="3260" t="s">
        <v>1562</v>
      </c>
      <c r="B17" s="3260"/>
      <c r="C17" s="3260"/>
      <c r="D17" s="3260"/>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8"/>
      <c r="C20" s="3258"/>
      <c r="D20" s="3258"/>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1"/>
      <c r="C21" s="3261"/>
      <c r="D21" s="3261"/>
    </row>
    <row r="22" spans="1:4" ht="18.75" customHeight="1">
      <c r="A22" s="3262" t="s">
        <v>1563</v>
      </c>
      <c r="B22" s="3262"/>
      <c r="C22" s="3262"/>
      <c r="D22" s="3262"/>
    </row>
    <row r="23" spans="1:4">
      <c r="A23" s="1671"/>
      <c r="B23" s="1643"/>
      <c r="C23" s="1643"/>
      <c r="D23" s="1643"/>
    </row>
    <row r="24" spans="1:4">
      <c r="A24" s="1671"/>
      <c r="B24" s="1643"/>
      <c r="C24" s="1643"/>
      <c r="D24" s="1643"/>
    </row>
    <row r="25" spans="1:4" ht="18.75">
      <c r="A25" s="1672" t="s">
        <v>1564</v>
      </c>
    </row>
    <row r="26" spans="1:4" ht="18">
      <c r="A26" s="1641"/>
    </row>
    <row r="27" spans="1:4" ht="18.75">
      <c r="A27" s="1641" t="s">
        <v>1565</v>
      </c>
    </row>
    <row r="30" spans="1:4" ht="18.75">
      <c r="D30" s="1672" t="s">
        <v>1566</v>
      </c>
    </row>
    <row r="31" spans="1:4" ht="13.5" customHeight="1">
      <c r="C31" s="3259">
        <v>42551</v>
      </c>
      <c r="D31" s="32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1568</v>
      </c>
    </row>
    <row r="3" spans="1:7">
      <c r="A3" s="1677" t="s">
        <v>82</v>
      </c>
      <c r="B3" s="1661" t="s">
        <v>1569</v>
      </c>
      <c r="G3" s="1678"/>
    </row>
    <row r="4" spans="1:7">
      <c r="G4" s="1678"/>
    </row>
    <row r="5" spans="1:7">
      <c r="A5" s="1680" t="s">
        <v>73</v>
      </c>
      <c r="B5" s="1661" t="s">
        <v>1570</v>
      </c>
      <c r="G5" s="1678"/>
    </row>
    <row r="6" spans="1:7">
      <c r="G6" s="1678"/>
    </row>
    <row r="7" spans="1:7">
      <c r="A7" s="1681" t="s">
        <v>135</v>
      </c>
      <c r="B7" s="1661" t="s">
        <v>1571</v>
      </c>
      <c r="G7" s="1678"/>
    </row>
    <row r="8" spans="1:7">
      <c r="G8" s="1678"/>
    </row>
    <row r="9" spans="1:7">
      <c r="A9" s="1682" t="s">
        <v>74</v>
      </c>
      <c r="B9" s="1661" t="s">
        <v>1572</v>
      </c>
    </row>
    <row r="11" spans="1:7">
      <c r="A11" s="1683" t="s">
        <v>75</v>
      </c>
      <c r="B11" s="1684" t="s">
        <v>72</v>
      </c>
    </row>
    <row r="13" spans="1:7">
      <c r="A13" s="1685" t="s">
        <v>1573</v>
      </c>
    </row>
    <row r="15" spans="1:7" ht="13.5">
      <c r="A15" s="3272" t="s">
        <v>1574</v>
      </c>
      <c r="B15" s="3267" t="s">
        <v>136</v>
      </c>
      <c r="C15" s="3268"/>
    </row>
    <row r="16" spans="1:7" ht="13.5">
      <c r="A16" s="3273"/>
      <c r="B16" s="3267" t="s">
        <v>69</v>
      </c>
      <c r="C16" s="3268"/>
    </row>
    <row r="17" spans="1:3" ht="13.5">
      <c r="A17" s="3273"/>
      <c r="B17" s="3270" t="s">
        <v>1575</v>
      </c>
      <c r="C17" s="1686" t="s">
        <v>1574</v>
      </c>
    </row>
    <row r="18" spans="1:3" ht="13.5">
      <c r="A18" s="3273"/>
      <c r="B18" s="3270"/>
      <c r="C18" s="1686" t="s">
        <v>1576</v>
      </c>
    </row>
    <row r="19" spans="1:3" ht="13.5">
      <c r="A19" s="3273"/>
      <c r="B19" s="3270"/>
      <c r="C19" s="1686" t="s">
        <v>1577</v>
      </c>
    </row>
    <row r="20" spans="1:3" ht="13.5">
      <c r="A20" s="3274"/>
      <c r="B20" s="3269" t="s">
        <v>1578</v>
      </c>
      <c r="C20" s="3268"/>
    </row>
    <row r="21" spans="1:3" ht="13.5">
      <c r="A21" s="1687" t="s">
        <v>1579</v>
      </c>
      <c r="B21" s="1688"/>
      <c r="C21" s="1689"/>
    </row>
    <row r="22" spans="1:3" ht="13.5">
      <c r="A22" s="3271" t="s">
        <v>1580</v>
      </c>
      <c r="B22" s="3269" t="s">
        <v>1581</v>
      </c>
      <c r="C22" s="3268"/>
    </row>
    <row r="23" spans="1:3" ht="13.5">
      <c r="A23" s="3271"/>
      <c r="B23" s="3269" t="s">
        <v>1582</v>
      </c>
      <c r="C23" s="3268"/>
    </row>
    <row r="24" spans="1:3" ht="13.5">
      <c r="A24" s="3271"/>
      <c r="B24" s="3269" t="s">
        <v>1583</v>
      </c>
      <c r="C24" s="3268"/>
    </row>
    <row r="25" spans="1:3" ht="13.5">
      <c r="A25" s="3271"/>
      <c r="B25" s="3270" t="s">
        <v>1584</v>
      </c>
      <c r="C25" s="1686" t="s">
        <v>1585</v>
      </c>
    </row>
    <row r="26" spans="1:3" ht="13.5">
      <c r="A26" s="3271"/>
      <c r="B26" s="3270"/>
      <c r="C26" s="1686" t="s">
        <v>1586</v>
      </c>
    </row>
    <row r="27" spans="1:3" ht="13.5">
      <c r="A27" s="3271"/>
      <c r="B27" s="3270"/>
      <c r="C27" s="1686" t="s">
        <v>1587</v>
      </c>
    </row>
    <row r="28" spans="1:3" ht="13.5">
      <c r="A28" s="3271"/>
      <c r="B28" s="3270"/>
      <c r="C28" s="1686" t="s">
        <v>1588</v>
      </c>
    </row>
    <row r="29" spans="1:3" ht="13.5">
      <c r="A29" s="3271"/>
      <c r="B29" s="3270"/>
      <c r="C29" s="1686" t="s">
        <v>1589</v>
      </c>
    </row>
    <row r="30" spans="1:3" ht="13.5">
      <c r="A30" s="3271"/>
      <c r="B30" s="3270"/>
      <c r="C30" s="1686" t="s">
        <v>1590</v>
      </c>
    </row>
    <row r="31" spans="1:3" ht="13.5">
      <c r="A31" s="3271"/>
      <c r="B31" s="3270"/>
      <c r="C31" s="1686" t="s">
        <v>1591</v>
      </c>
    </row>
    <row r="32" spans="1:3" ht="13.5">
      <c r="A32" s="3271"/>
      <c r="B32" s="3270"/>
      <c r="C32" s="1686" t="s">
        <v>1592</v>
      </c>
    </row>
    <row r="33" spans="1:3" ht="13.5">
      <c r="A33" s="3271"/>
      <c r="B33" s="3270"/>
      <c r="C33" s="1686" t="s">
        <v>1593</v>
      </c>
    </row>
    <row r="34" spans="1:3">
      <c r="A34" s="1690" t="s">
        <v>76</v>
      </c>
    </row>
    <row r="37" spans="1:3">
      <c r="A37" s="1690" t="s">
        <v>1594</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2817</v>
      </c>
      <c r="B2" s="2531">
        <f ca="1">TODAY()</f>
        <v>44649</v>
      </c>
      <c r="C2" s="2532" t="s">
        <v>2818</v>
      </c>
      <c r="D2" s="2532"/>
      <c r="E2" s="2532"/>
      <c r="F2" s="2528"/>
      <c r="G2" s="2528"/>
      <c r="H2" s="2528"/>
    </row>
    <row r="3" spans="1:8" ht="24" customHeight="1">
      <c r="A3" s="2533" t="s">
        <v>2819</v>
      </c>
      <c r="B3" s="2534" t="s">
        <v>2820</v>
      </c>
      <c r="C3" s="2534" t="s">
        <v>2821</v>
      </c>
      <c r="D3" s="2535" t="s">
        <v>2822</v>
      </c>
      <c r="E3" s="2536" t="s">
        <v>2823</v>
      </c>
      <c r="F3" s="1443" t="s">
        <v>2824</v>
      </c>
      <c r="G3" s="2534" t="s">
        <v>2821</v>
      </c>
      <c r="H3" s="2535" t="s">
        <v>2825</v>
      </c>
    </row>
    <row r="4" spans="1:8" ht="24" customHeight="1">
      <c r="A4" s="1443" t="s">
        <v>2826</v>
      </c>
      <c r="B4" s="1443">
        <f ca="1">IF(C4&lt;B2,"已过期",1119970066)</f>
        <v>1119970066</v>
      </c>
      <c r="C4" s="2537">
        <v>44876</v>
      </c>
      <c r="D4" s="2538" t="str">
        <f ca="1">A4&amp;"（注册号："&amp;B4&amp;"）"</f>
        <v>梁津（注册号：1119970066）</v>
      </c>
      <c r="E4" s="2539" t="s">
        <v>2826</v>
      </c>
      <c r="F4" s="1443">
        <f ca="1">IF(G4&lt;B2,"已过期",96010014)</f>
        <v>96010014</v>
      </c>
      <c r="G4" s="2540">
        <v>47118</v>
      </c>
      <c r="H4" s="2541" t="str">
        <f ca="1">E4&amp;"（注册号："&amp;F4&amp;"）"</f>
        <v>梁津（注册号：96010014）</v>
      </c>
    </row>
    <row r="5" spans="1:8" ht="24" customHeight="1">
      <c r="A5" s="1443" t="s">
        <v>2827</v>
      </c>
      <c r="B5" s="1443">
        <f ca="1">IF(C5&lt;B2,"已过期",1119970111)</f>
        <v>1119970111</v>
      </c>
      <c r="C5" s="2537">
        <v>44876</v>
      </c>
      <c r="D5" s="2538" t="str">
        <f t="shared" ref="D5:D15" ca="1" si="0">A5&amp;"（注册号："&amp;B5&amp;"）"</f>
        <v>叶凌（注册号：1119970111）</v>
      </c>
      <c r="E5" s="2539" t="s">
        <v>2827</v>
      </c>
      <c r="F5" s="1443">
        <f ca="1">IF(G5&lt;B2,"已过期",94010078)</f>
        <v>94010078</v>
      </c>
      <c r="G5" s="2540">
        <v>46387</v>
      </c>
      <c r="H5" s="2541" t="str">
        <f t="shared" ref="H5:H16" ca="1" si="1">E5&amp;"（注册号："&amp;F5&amp;"）"</f>
        <v>叶凌（注册号：94010078）</v>
      </c>
    </row>
    <row r="6" spans="1:8" ht="24" customHeight="1">
      <c r="A6" s="1443" t="s">
        <v>2828</v>
      </c>
      <c r="B6" s="1443" t="str">
        <f ca="1">IF(C6&lt;B2,"已过期",1120050019)</f>
        <v>已过期</v>
      </c>
      <c r="C6" s="2537">
        <v>44395</v>
      </c>
      <c r="D6" s="2538" t="str">
        <f t="shared" ca="1" si="0"/>
        <v>王鹏（注册号：已过期）</v>
      </c>
      <c r="E6" s="2539" t="s">
        <v>2828</v>
      </c>
      <c r="F6" s="1443">
        <f ca="1">IF(G6&lt;B2,"已过期",2002110030)</f>
        <v>2002110030</v>
      </c>
      <c r="G6" s="2540">
        <v>46387</v>
      </c>
      <c r="H6" s="2541" t="str">
        <f t="shared" ca="1" si="1"/>
        <v>王鹏（注册号：2002110030）</v>
      </c>
    </row>
    <row r="7" spans="1:8" ht="24" customHeight="1">
      <c r="A7" s="1443" t="s">
        <v>2829</v>
      </c>
      <c r="B7" s="1443">
        <f ca="1">IF(C7&lt;B2,"已过期",1120000080)</f>
        <v>1120000080</v>
      </c>
      <c r="C7" s="2537">
        <v>44876</v>
      </c>
      <c r="D7" s="2538" t="str">
        <f t="shared" ca="1" si="0"/>
        <v>欧红伟（注册号：1120000080）</v>
      </c>
      <c r="E7" s="2539" t="s">
        <v>2829</v>
      </c>
      <c r="F7" s="1443">
        <f ca="1">IF(G7&lt;B2,"已过期",2000110082)</f>
        <v>2000110082</v>
      </c>
      <c r="G7" s="2540">
        <v>46387</v>
      </c>
      <c r="H7" s="2541" t="str">
        <f t="shared" ca="1" si="1"/>
        <v>欧红伟（注册号：2000110082）</v>
      </c>
    </row>
    <row r="8" spans="1:8" ht="24" customHeight="1">
      <c r="A8" s="1443" t="s">
        <v>2830</v>
      </c>
      <c r="B8" s="1443">
        <f ca="1">IF(C8&lt;B2,"已过期",1419970001)</f>
        <v>1419970001</v>
      </c>
      <c r="C8" s="2537">
        <v>44899</v>
      </c>
      <c r="D8" s="2538" t="str">
        <f t="shared" ca="1" si="0"/>
        <v>吴薇（注册号：1419970001）</v>
      </c>
      <c r="E8" s="2539" t="s">
        <v>2830</v>
      </c>
      <c r="F8" s="1443">
        <f ca="1">IF(G8&lt;B2,"已过期",2002110125)</f>
        <v>2002110125</v>
      </c>
      <c r="G8" s="2540">
        <v>47118</v>
      </c>
      <c r="H8" s="2541" t="str">
        <f t="shared" ca="1" si="1"/>
        <v>吴薇（注册号：2002110125）</v>
      </c>
    </row>
    <row r="9" spans="1:8" ht="24" customHeight="1">
      <c r="A9" s="1443" t="s">
        <v>2831</v>
      </c>
      <c r="B9" s="1443" t="str">
        <f ca="1">IF(C9&lt;B2,"已过期",1120060040)</f>
        <v>已过期</v>
      </c>
      <c r="C9" s="2542">
        <v>44554</v>
      </c>
      <c r="D9" s="2538" t="str">
        <f t="shared" ca="1" si="0"/>
        <v>陈颖（注册号：已过期）</v>
      </c>
      <c r="E9" s="2539" t="s">
        <v>2831</v>
      </c>
      <c r="F9" s="1443">
        <f ca="1">IF(G9&lt;B2,"已过期",2004110096)</f>
        <v>2004110096</v>
      </c>
      <c r="G9" s="2540">
        <v>47118</v>
      </c>
      <c r="H9" s="2541" t="str">
        <f t="shared" ca="1" si="1"/>
        <v>陈颖（注册号：2004110096）</v>
      </c>
    </row>
    <row r="10" spans="1:8" ht="24" customHeight="1">
      <c r="A10" s="1443" t="s">
        <v>2832</v>
      </c>
      <c r="B10" s="1443">
        <f ca="1">IF(C10&lt;B2,"已过期",1120100036)</f>
        <v>1120100036</v>
      </c>
      <c r="C10" s="2542">
        <v>44675</v>
      </c>
      <c r="D10" s="2538" t="str">
        <f t="shared" ca="1" si="0"/>
        <v>崔锴（注册号：1120100036）</v>
      </c>
      <c r="E10" s="2539" t="s">
        <v>2832</v>
      </c>
      <c r="F10" s="1443">
        <f ca="1">IF(G10&lt;B2,"已过期",2010110070)</f>
        <v>2010110070</v>
      </c>
      <c r="G10" s="2540">
        <v>47907</v>
      </c>
      <c r="H10" s="2541" t="str">
        <f t="shared" ca="1" si="1"/>
        <v>崔锴（注册号：2010110070）</v>
      </c>
    </row>
    <row r="11" spans="1:8" ht="24" customHeight="1">
      <c r="A11" s="1443" t="s">
        <v>2833</v>
      </c>
      <c r="B11" s="1443">
        <f ca="1">IF(C11&lt;B2,"已过期",1120070131)</f>
        <v>1120070131</v>
      </c>
      <c r="C11" s="2537">
        <v>44849</v>
      </c>
      <c r="D11" s="2538" t="str">
        <f t="shared" ca="1" si="0"/>
        <v>郑燚（注册号：1120070131）</v>
      </c>
      <c r="E11" s="2539" t="s">
        <v>2833</v>
      </c>
      <c r="F11" s="1443">
        <f ca="1">IF(G11&lt;B2,"已过期",2014110011)</f>
        <v>2014110011</v>
      </c>
      <c r="G11" s="2540">
        <v>49302</v>
      </c>
      <c r="H11" s="2541" t="str">
        <f t="shared" ca="1" si="1"/>
        <v>郑燚（注册号：2014110011）</v>
      </c>
    </row>
    <row r="12" spans="1:8" ht="24" customHeight="1">
      <c r="A12" s="1443" t="s">
        <v>2834</v>
      </c>
      <c r="B12" s="1443">
        <f ca="1">IF(C12&lt;B2,"已过期",1120040230)</f>
        <v>1120040230</v>
      </c>
      <c r="C12" s="2542">
        <v>44864</v>
      </c>
      <c r="D12" s="2538" t="str">
        <f t="shared" ca="1" si="0"/>
        <v>苏海（注册号：1120040230）</v>
      </c>
      <c r="E12" s="2539" t="s">
        <v>2834</v>
      </c>
      <c r="F12" s="1443">
        <f ca="1">IF(G12&lt;B2,"已过期",98030020)</f>
        <v>98030020</v>
      </c>
      <c r="G12" s="2540">
        <v>47118</v>
      </c>
      <c r="H12" s="2541" t="str">
        <f t="shared" ca="1" si="1"/>
        <v>苏海（注册号：98030020）</v>
      </c>
    </row>
    <row r="13" spans="1:8" ht="24" customHeight="1">
      <c r="A13" s="1443" t="s">
        <v>2835</v>
      </c>
      <c r="B13" s="1443" t="str">
        <f ca="1">IF(C13&lt;B2,"已过期",1120020033)</f>
        <v>已过期</v>
      </c>
      <c r="C13" s="2537">
        <v>44339</v>
      </c>
      <c r="D13" s="2538" t="str">
        <f t="shared" ca="1" si="0"/>
        <v>刘敬东（注册号：已过期）</v>
      </c>
      <c r="E13" s="2539" t="s">
        <v>2835</v>
      </c>
      <c r="F13" s="1443">
        <f ca="1">IF(G13&lt;B2,"已过期",2000110137)</f>
        <v>2000110137</v>
      </c>
      <c r="G13" s="2540">
        <v>46387</v>
      </c>
      <c r="H13" s="2541" t="str">
        <f t="shared" ca="1" si="1"/>
        <v>刘敬东（注册号：2000110137）</v>
      </c>
    </row>
    <row r="14" spans="1:8" ht="24" customHeight="1">
      <c r="A14" s="1443" t="s">
        <v>2836</v>
      </c>
      <c r="B14" s="1443">
        <f ca="1">IF(C14&lt;B2,"已过期",1119980106)</f>
        <v>1119980106</v>
      </c>
      <c r="C14" s="2542">
        <v>44969</v>
      </c>
      <c r="D14" s="2538" t="str">
        <f t="shared" ca="1" si="0"/>
        <v>刘俊财（注册号：1119980106）</v>
      </c>
      <c r="E14" s="2539" t="s">
        <v>2836</v>
      </c>
      <c r="F14" s="1443">
        <f ca="1">IF(G14&lt;B2,"已过期",96010063)</f>
        <v>96010063</v>
      </c>
      <c r="G14" s="2540">
        <v>47483</v>
      </c>
      <c r="H14" s="2541" t="str">
        <f t="shared" ca="1" si="1"/>
        <v>刘俊财（注册号：96010063）</v>
      </c>
    </row>
    <row r="15" spans="1:8" ht="24" customHeight="1">
      <c r="A15" s="1443"/>
      <c r="B15" s="1443"/>
      <c r="C15" s="2542"/>
      <c r="D15" s="2538" t="str">
        <f t="shared" si="0"/>
        <v>（注册号：）</v>
      </c>
      <c r="E15" s="2539" t="s">
        <v>2837</v>
      </c>
      <c r="F15" s="1443">
        <f ca="1">IF(G15&lt;B2,"已过期",2011110090)</f>
        <v>2011110090</v>
      </c>
      <c r="G15" s="2540">
        <v>48302</v>
      </c>
      <c r="H15" s="2541" t="str">
        <f t="shared" ca="1" si="1"/>
        <v>赵雯（注册号：2011110090）</v>
      </c>
    </row>
    <row r="16" spans="1:8" s="2544" customFormat="1" ht="24" customHeight="1">
      <c r="A16" s="1443"/>
      <c r="B16" s="1443"/>
      <c r="C16" s="1443"/>
      <c r="D16" s="2538" t="str">
        <f>A16&amp;"（注册号："&amp;B16&amp;"）"</f>
        <v>（注册号：）</v>
      </c>
      <c r="E16" s="2539"/>
      <c r="F16" s="1443"/>
      <c r="G16" s="1443"/>
      <c r="H16" s="2543" t="str">
        <f t="shared" si="1"/>
        <v>（注册号：）</v>
      </c>
    </row>
    <row r="17" spans="1:8" ht="24" customHeight="1">
      <c r="A17" s="3275" t="s">
        <v>2838</v>
      </c>
      <c r="B17" s="3275"/>
      <c r="C17" s="3275"/>
      <c r="D17" s="3275"/>
      <c r="E17" s="3275"/>
      <c r="F17" s="3275"/>
      <c r="G17" s="3275"/>
      <c r="H17" s="3275"/>
    </row>
    <row r="18" spans="1:8" ht="24" customHeight="1">
      <c r="A18" s="3276" t="s">
        <v>2839</v>
      </c>
      <c r="B18" s="3276"/>
      <c r="C18" s="3276"/>
      <c r="D18" s="2535"/>
      <c r="E18" s="3277" t="s">
        <v>2840</v>
      </c>
      <c r="F18" s="3276"/>
      <c r="G18" s="3276"/>
    </row>
    <row r="19" spans="1:8" s="2546" customFormat="1" ht="24" customHeight="1">
      <c r="A19" s="2545" t="s">
        <v>2841</v>
      </c>
      <c r="B19" s="2534" t="s">
        <v>2842</v>
      </c>
      <c r="C19" s="2534" t="s">
        <v>2821</v>
      </c>
      <c r="D19" s="2535"/>
      <c r="E19" s="2539" t="s">
        <v>2841</v>
      </c>
      <c r="F19" s="2534" t="s">
        <v>2842</v>
      </c>
      <c r="G19" s="2534" t="s">
        <v>2821</v>
      </c>
    </row>
    <row r="20" spans="1:8" s="2546" customFormat="1" ht="24" customHeight="1">
      <c r="A20" s="2547" t="s">
        <v>2843</v>
      </c>
      <c r="B20" s="2547" t="s">
        <v>2844</v>
      </c>
      <c r="C20" s="2540">
        <v>44820</v>
      </c>
      <c r="D20" s="2548"/>
      <c r="E20" s="2549" t="s">
        <v>2845</v>
      </c>
      <c r="F20" s="2547" t="s">
        <v>2846</v>
      </c>
      <c r="G20" s="2550">
        <v>44377</v>
      </c>
    </row>
    <row r="21" spans="1:8" s="2546" customFormat="1" ht="24" customHeight="1">
      <c r="A21" s="2547"/>
      <c r="B21" s="2547"/>
      <c r="C21" s="2551"/>
      <c r="D21" s="2552"/>
      <c r="E21" s="2549" t="s">
        <v>2847</v>
      </c>
      <c r="F21" s="2553" t="s">
        <v>2848</v>
      </c>
      <c r="G21" s="2554">
        <v>44012</v>
      </c>
    </row>
    <row r="22" spans="1:8" ht="24" customHeight="1">
      <c r="C22" s="2555"/>
      <c r="D22" s="2555"/>
      <c r="E22" s="2556"/>
      <c r="F22" s="2557"/>
      <c r="G22" s="2558" t="s">
        <v>2849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1595</v>
      </c>
      <c r="C1" s="1695" t="s">
        <v>759</v>
      </c>
      <c r="D1" s="1696" t="s">
        <v>1596</v>
      </c>
      <c r="E1" s="1696" t="s">
        <v>1597</v>
      </c>
      <c r="F1" s="1696" t="s">
        <v>1598</v>
      </c>
      <c r="G1" s="1696" t="s">
        <v>1599</v>
      </c>
      <c r="H1" s="1696" t="s">
        <v>1600</v>
      </c>
      <c r="I1" s="1696" t="s">
        <v>1601</v>
      </c>
      <c r="J1" s="1696" t="s">
        <v>1602</v>
      </c>
      <c r="K1" s="1696" t="s">
        <v>1603</v>
      </c>
      <c r="L1" s="1696" t="s">
        <v>1604</v>
      </c>
      <c r="M1" s="1696" t="s">
        <v>1605</v>
      </c>
      <c r="N1" s="1696" t="s">
        <v>1606</v>
      </c>
      <c r="O1" s="1696" t="s">
        <v>1607</v>
      </c>
      <c r="P1" s="1697" t="s">
        <v>753</v>
      </c>
      <c r="Q1" s="1697" t="s">
        <v>1053</v>
      </c>
      <c r="R1" s="1696" t="s">
        <v>1047</v>
      </c>
      <c r="S1" s="1696" t="s">
        <v>1608</v>
      </c>
      <c r="T1" s="1698" t="s">
        <v>1609</v>
      </c>
      <c r="U1" s="1696" t="s">
        <v>1610</v>
      </c>
      <c r="V1" s="1696" t="s">
        <v>1611</v>
      </c>
      <c r="W1" s="1696" t="s">
        <v>755</v>
      </c>
    </row>
    <row r="2" spans="1:23">
      <c r="A2" s="1700" t="s">
        <v>22</v>
      </c>
      <c r="B2" s="1700" t="s">
        <v>1612</v>
      </c>
      <c r="C2" s="1701" t="s">
        <v>760</v>
      </c>
      <c r="D2" s="1702" t="s">
        <v>1613</v>
      </c>
      <c r="E2" s="1702" t="s">
        <v>1614</v>
      </c>
      <c r="F2" s="1702" t="s">
        <v>1615</v>
      </c>
      <c r="G2" s="1702">
        <v>40</v>
      </c>
      <c r="H2" s="1702" t="s">
        <v>1615</v>
      </c>
      <c r="I2" s="1702" t="s">
        <v>1616</v>
      </c>
      <c r="J2" s="1702" t="s">
        <v>1617</v>
      </c>
      <c r="K2" s="1702" t="s">
        <v>1618</v>
      </c>
      <c r="L2" s="1702" t="s">
        <v>1618</v>
      </c>
      <c r="M2" s="1702" t="s">
        <v>1618</v>
      </c>
      <c r="N2" s="1702" t="s">
        <v>1618</v>
      </c>
      <c r="O2" s="1702" t="s">
        <v>1618</v>
      </c>
      <c r="P2" s="1702" t="s">
        <v>1618</v>
      </c>
      <c r="Q2" s="1702" t="s">
        <v>1618</v>
      </c>
      <c r="R2" s="1702" t="s">
        <v>1049</v>
      </c>
      <c r="S2" s="1702" t="s">
        <v>1618</v>
      </c>
      <c r="T2" s="1702" t="s">
        <v>1619</v>
      </c>
      <c r="U2" s="1702" t="s">
        <v>1618</v>
      </c>
      <c r="V2" s="1702" t="s">
        <v>1620</v>
      </c>
      <c r="W2" s="1702" t="s">
        <v>1618</v>
      </c>
    </row>
    <row r="3" spans="1:23">
      <c r="A3" s="1700" t="s">
        <v>1621</v>
      </c>
      <c r="B3" s="1703" t="s">
        <v>1054</v>
      </c>
      <c r="C3" s="1704" t="s">
        <v>761</v>
      </c>
      <c r="D3" s="1702" t="s">
        <v>1622</v>
      </c>
      <c r="E3" s="1702" t="s">
        <v>16</v>
      </c>
      <c r="F3" s="1702" t="s">
        <v>1623</v>
      </c>
      <c r="G3" s="1702">
        <v>50</v>
      </c>
      <c r="H3" s="1702" t="s">
        <v>1623</v>
      </c>
      <c r="I3" s="1702" t="s">
        <v>1624</v>
      </c>
      <c r="J3" s="1702" t="s">
        <v>1625</v>
      </c>
      <c r="K3" s="1702" t="s">
        <v>1626</v>
      </c>
      <c r="L3" s="1702" t="s">
        <v>1626</v>
      </c>
      <c r="M3" s="1702" t="s">
        <v>1626</v>
      </c>
      <c r="N3" s="1702" t="s">
        <v>1626</v>
      </c>
      <c r="O3" s="1702" t="s">
        <v>1626</v>
      </c>
      <c r="P3" s="1702" t="s">
        <v>1626</v>
      </c>
      <c r="Q3" s="1702" t="s">
        <v>1626</v>
      </c>
      <c r="R3" s="1702" t="s">
        <v>1048</v>
      </c>
      <c r="S3" s="1702" t="s">
        <v>1626</v>
      </c>
      <c r="T3" s="1702" t="s">
        <v>1627</v>
      </c>
      <c r="U3" s="1702" t="s">
        <v>1626</v>
      </c>
      <c r="V3" s="1702" t="s">
        <v>1628</v>
      </c>
      <c r="W3" s="1702" t="s">
        <v>1626</v>
      </c>
    </row>
    <row r="4" spans="1:23">
      <c r="A4" s="1700" t="s">
        <v>1629</v>
      </c>
      <c r="B4" s="1700" t="s">
        <v>1630</v>
      </c>
      <c r="C4" s="1701" t="s">
        <v>762</v>
      </c>
      <c r="D4" s="1702" t="s">
        <v>836</v>
      </c>
      <c r="E4" s="1702" t="s">
        <v>1631</v>
      </c>
      <c r="F4" s="1702" t="s">
        <v>1632</v>
      </c>
      <c r="G4" s="1702">
        <v>70</v>
      </c>
      <c r="H4" s="1702" t="s">
        <v>1632</v>
      </c>
      <c r="I4" s="1702" t="s">
        <v>1633</v>
      </c>
      <c r="K4" s="1702" t="s">
        <v>1634</v>
      </c>
      <c r="L4" s="1702" t="s">
        <v>1634</v>
      </c>
      <c r="M4" s="1702" t="s">
        <v>1634</v>
      </c>
      <c r="N4" s="1702" t="s">
        <v>1634</v>
      </c>
      <c r="O4" s="1702" t="s">
        <v>1634</v>
      </c>
      <c r="P4" s="1702" t="s">
        <v>1634</v>
      </c>
      <c r="Q4" s="1702" t="s">
        <v>1634</v>
      </c>
      <c r="R4" s="1702" t="s">
        <v>1050</v>
      </c>
      <c r="S4" s="1702" t="s">
        <v>1634</v>
      </c>
      <c r="T4" s="1702" t="s">
        <v>1635</v>
      </c>
      <c r="U4" s="1702" t="s">
        <v>1634</v>
      </c>
      <c r="W4" s="1702" t="s">
        <v>1634</v>
      </c>
    </row>
    <row r="5" spans="1:23">
      <c r="A5" s="1700" t="s">
        <v>1636</v>
      </c>
      <c r="B5" s="1700" t="s">
        <v>1637</v>
      </c>
      <c r="C5" s="1701" t="s">
        <v>763</v>
      </c>
      <c r="F5" s="1702" t="s">
        <v>1638</v>
      </c>
      <c r="H5" s="1702" t="s">
        <v>1639</v>
      </c>
      <c r="I5" s="1702" t="s">
        <v>1640</v>
      </c>
      <c r="K5" s="1702" t="s">
        <v>1641</v>
      </c>
      <c r="L5" s="1702" t="s">
        <v>1641</v>
      </c>
      <c r="M5" s="1702" t="s">
        <v>1641</v>
      </c>
      <c r="N5" s="1702" t="s">
        <v>1641</v>
      </c>
      <c r="O5" s="1702" t="s">
        <v>1641</v>
      </c>
      <c r="P5" s="1702" t="s">
        <v>1641</v>
      </c>
      <c r="Q5" s="1702" t="s">
        <v>1641</v>
      </c>
      <c r="R5" s="1702" t="s">
        <v>1051</v>
      </c>
      <c r="S5" s="1702" t="s">
        <v>1641</v>
      </c>
      <c r="T5" s="1702" t="s">
        <v>1642</v>
      </c>
      <c r="U5" s="1702" t="s">
        <v>1641</v>
      </c>
      <c r="W5" s="1702" t="s">
        <v>1641</v>
      </c>
    </row>
    <row r="6" spans="1:23">
      <c r="A6" s="1700" t="s">
        <v>1643</v>
      </c>
      <c r="B6" s="1703" t="s">
        <v>1055</v>
      </c>
      <c r="C6" s="1706" t="s">
        <v>30</v>
      </c>
      <c r="F6" s="1702" t="s">
        <v>1639</v>
      </c>
      <c r="H6" s="1702" t="s">
        <v>1644</v>
      </c>
      <c r="I6" s="1702" t="s">
        <v>1645</v>
      </c>
      <c r="K6" s="1702" t="s">
        <v>1646</v>
      </c>
      <c r="L6" s="1702" t="s">
        <v>1646</v>
      </c>
      <c r="M6" s="1702" t="s">
        <v>1646</v>
      </c>
      <c r="N6" s="1702" t="s">
        <v>1646</v>
      </c>
      <c r="O6" s="1702" t="s">
        <v>1646</v>
      </c>
      <c r="P6" s="1702" t="s">
        <v>1646</v>
      </c>
      <c r="Q6" s="1702" t="s">
        <v>1646</v>
      </c>
      <c r="R6" s="1702" t="s">
        <v>1052</v>
      </c>
      <c r="S6" s="1702" t="s">
        <v>1646</v>
      </c>
      <c r="T6" s="1702"/>
      <c r="U6" s="1702" t="s">
        <v>1646</v>
      </c>
      <c r="W6" s="1702" t="s">
        <v>1646</v>
      </c>
    </row>
    <row r="7" spans="1:23">
      <c r="A7" s="1700" t="s">
        <v>1647</v>
      </c>
      <c r="B7" s="1703" t="s">
        <v>1056</v>
      </c>
      <c r="C7" s="1701" t="s">
        <v>31</v>
      </c>
      <c r="F7" s="1702" t="s">
        <v>1648</v>
      </c>
      <c r="H7" s="1702" t="s">
        <v>1649</v>
      </c>
      <c r="I7" s="1702" t="s">
        <v>1650</v>
      </c>
    </row>
    <row r="8" spans="1:23">
      <c r="A8" s="1700" t="s">
        <v>1651</v>
      </c>
      <c r="B8" s="1700" t="s">
        <v>1652</v>
      </c>
      <c r="C8" s="1701" t="s">
        <v>764</v>
      </c>
      <c r="F8" s="1702" t="s">
        <v>1653</v>
      </c>
      <c r="H8" s="1702"/>
      <c r="I8" s="1702" t="s">
        <v>1654</v>
      </c>
    </row>
    <row r="9" spans="1:23">
      <c r="A9" s="1700" t="s">
        <v>1655</v>
      </c>
      <c r="B9" s="1700" t="s">
        <v>1656</v>
      </c>
      <c r="C9" s="1701" t="s">
        <v>765</v>
      </c>
      <c r="F9" s="1702" t="s">
        <v>1657</v>
      </c>
      <c r="H9" s="1702"/>
    </row>
    <row r="10" spans="1:23">
      <c r="A10" s="1700" t="s">
        <v>1658</v>
      </c>
      <c r="B10" s="1700" t="s">
        <v>1659</v>
      </c>
      <c r="C10" s="1701" t="s">
        <v>766</v>
      </c>
      <c r="F10" s="1702" t="s">
        <v>16</v>
      </c>
    </row>
    <row r="11" spans="1:23">
      <c r="A11" s="1700" t="s">
        <v>1660</v>
      </c>
      <c r="B11" s="1700" t="s">
        <v>1661</v>
      </c>
      <c r="C11" s="1701" t="s">
        <v>767</v>
      </c>
    </row>
    <row r="12" spans="1:23">
      <c r="A12" s="1700" t="s">
        <v>1662</v>
      </c>
      <c r="B12" s="1700" t="s">
        <v>1663</v>
      </c>
      <c r="C12" s="1701" t="s">
        <v>768</v>
      </c>
    </row>
    <row r="13" spans="1:23">
      <c r="A13" s="1700" t="s">
        <v>1664</v>
      </c>
      <c r="B13" s="1700" t="s">
        <v>1665</v>
      </c>
      <c r="C13" s="1701" t="s">
        <v>769</v>
      </c>
    </row>
    <row r="14" spans="1:23">
      <c r="A14" s="1700" t="s">
        <v>1666</v>
      </c>
      <c r="B14" s="1700" t="s">
        <v>1667</v>
      </c>
      <c r="C14" s="1702" t="s">
        <v>16</v>
      </c>
    </row>
    <row r="15" spans="1:23">
      <c r="A15" s="1700" t="s">
        <v>1668</v>
      </c>
      <c r="B15" s="1700" t="s">
        <v>1669</v>
      </c>
      <c r="C15" s="1701"/>
    </row>
    <row r="16" spans="1:23">
      <c r="A16" s="1700" t="s">
        <v>1670</v>
      </c>
      <c r="B16" s="1700" t="s">
        <v>756</v>
      </c>
      <c r="C16" s="1701"/>
    </row>
    <row r="17" spans="1:3">
      <c r="A17" s="1700" t="s">
        <v>1671</v>
      </c>
      <c r="B17" s="1700" t="s">
        <v>2966</v>
      </c>
      <c r="C17" s="1701"/>
    </row>
    <row r="18" spans="1:3">
      <c r="A18" s="1700" t="s">
        <v>1672</v>
      </c>
      <c r="B18" s="1700" t="s">
        <v>3110</v>
      </c>
      <c r="C18" s="1701"/>
    </row>
    <row r="19" spans="1:3">
      <c r="A19" s="1700" t="s">
        <v>1673</v>
      </c>
      <c r="B19" s="1700" t="s">
        <v>757</v>
      </c>
      <c r="C19" s="1701"/>
    </row>
    <row r="20" spans="1:3">
      <c r="A20" s="1700" t="s">
        <v>1674</v>
      </c>
      <c r="B20" s="1700" t="s">
        <v>757</v>
      </c>
      <c r="C20" s="1701"/>
    </row>
    <row r="21" spans="1:3">
      <c r="A21" s="1700" t="s">
        <v>1675</v>
      </c>
      <c r="B21" s="1700" t="s">
        <v>757</v>
      </c>
      <c r="C21" s="1701"/>
    </row>
    <row r="22" spans="1:3">
      <c r="A22" s="1700" t="s">
        <v>1676</v>
      </c>
      <c r="B22" s="1700" t="s">
        <v>757</v>
      </c>
      <c r="C22" s="1701"/>
    </row>
    <row r="23" spans="1:3">
      <c r="A23" s="1700" t="s">
        <v>1677</v>
      </c>
      <c r="B23" s="1700" t="s">
        <v>757</v>
      </c>
      <c r="C23" s="1701"/>
    </row>
    <row r="24" spans="1:3">
      <c r="A24" s="1700" t="s">
        <v>1678</v>
      </c>
      <c r="B24" s="1700" t="s">
        <v>757</v>
      </c>
      <c r="C24" s="1701"/>
    </row>
    <row r="25" spans="1:3">
      <c r="A25" s="1700" t="s">
        <v>1679</v>
      </c>
      <c r="B25" s="1700" t="s">
        <v>757</v>
      </c>
      <c r="C25" s="1701"/>
    </row>
    <row r="26" spans="1:3">
      <c r="A26" s="1700" t="s">
        <v>1680</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278"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708" t="s">
        <v>832</v>
      </c>
      <c r="C54" s="1705" t="s">
        <v>1189</v>
      </c>
    </row>
    <row r="55" spans="1:4">
      <c r="A55" s="3278"/>
      <c r="B55" s="1708" t="s">
        <v>833</v>
      </c>
      <c r="C55" s="1705" t="s">
        <v>1190</v>
      </c>
    </row>
    <row r="56" spans="1:4">
      <c r="A56" s="3278"/>
      <c r="B56" s="1708" t="s">
        <v>834</v>
      </c>
      <c r="C56" s="1705" t="s">
        <v>1194</v>
      </c>
    </row>
    <row r="57" spans="1:4">
      <c r="A57" s="3278"/>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31" zoomScale="130" zoomScaleNormal="100" zoomScaleSheetLayoutView="130" workbookViewId="0">
      <selection activeCell="D4" sqref="D4"/>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2850</v>
      </c>
      <c r="B1" s="3287" t="str">
        <f>IF(B10="北京市","北京市",C10)&amp;F10&amp;IF(结果表!G1="在建","出让国有建设用地使用权及在建建筑物",IF(结果表!G1="土地","出让国有建设用地使用权",))&amp;B9&amp;"预评估"</f>
        <v>北京市房地产抵押价值预评估</v>
      </c>
      <c r="C1" s="3288"/>
      <c r="D1" s="3288"/>
      <c r="E1" s="3288"/>
      <c r="F1" s="3288"/>
      <c r="G1" s="3288"/>
      <c r="H1" s="3288"/>
      <c r="I1" s="3289"/>
      <c r="J1" s="2666"/>
      <c r="K1" s="2561"/>
      <c r="L1" s="2562"/>
      <c r="M1" s="2562"/>
      <c r="N1" s="2563"/>
      <c r="O1" s="1730"/>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2851</v>
      </c>
      <c r="B2" s="2564"/>
      <c r="C2" s="2565"/>
      <c r="D2" s="2868"/>
      <c r="E2" s="2858"/>
      <c r="F2" s="2858"/>
      <c r="G2" s="2859"/>
      <c r="H2" s="2859"/>
      <c r="I2" s="2859"/>
      <c r="J2" s="2666"/>
      <c r="K2" s="2561"/>
      <c r="L2" s="2562"/>
      <c r="M2" s="2562"/>
      <c r="N2" s="2563"/>
      <c r="O2" s="1730"/>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2852</v>
      </c>
      <c r="B3" s="2566">
        <v>44602</v>
      </c>
      <c r="C3" s="2567" t="s">
        <v>2853</v>
      </c>
      <c r="D3" s="2566">
        <v>44645</v>
      </c>
      <c r="E3" s="2859"/>
      <c r="F3" s="2859"/>
      <c r="G3" s="2859"/>
      <c r="H3" s="2859"/>
      <c r="I3" s="2859"/>
      <c r="J3" s="2666"/>
      <c r="K3" s="2561"/>
      <c r="L3" s="2562"/>
      <c r="M3" s="2562"/>
      <c r="N3" s="2563"/>
      <c r="O3" s="1730"/>
      <c r="P3" s="2563"/>
      <c r="Q3" s="2563"/>
      <c r="R3" s="2563"/>
      <c r="S3" s="1837"/>
      <c r="T3" s="1900"/>
      <c r="U3" s="1900"/>
      <c r="V3" s="1900"/>
      <c r="W3" s="1900"/>
      <c r="X3" s="1900"/>
      <c r="Y3" s="1900"/>
      <c r="Z3" s="1900"/>
      <c r="AA3" s="1900"/>
      <c r="AB3" s="1900"/>
    </row>
    <row r="4" spans="1:28" ht="13.5" thickBot="1">
      <c r="A4" s="1222" t="s">
        <v>2854</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0"/>
      <c r="P4" s="2563"/>
      <c r="Q4" s="2563"/>
      <c r="R4" s="2563"/>
      <c r="S4" s="1837"/>
      <c r="T4" s="1900"/>
      <c r="U4" s="1900"/>
      <c r="V4" s="1900"/>
      <c r="W4" s="1900"/>
      <c r="X4" s="1900"/>
      <c r="Y4" s="1900"/>
      <c r="Z4" s="1900"/>
      <c r="AA4" s="1900"/>
      <c r="AB4" s="1900"/>
    </row>
    <row r="5" spans="1:28" ht="13.5" thickTop="1">
      <c r="A5" s="2572" t="s">
        <v>2855</v>
      </c>
      <c r="B5" s="2573"/>
      <c r="C5" s="2574"/>
      <c r="D5" s="2575"/>
      <c r="E5" s="2860"/>
      <c r="F5" s="2860"/>
      <c r="G5" s="2860"/>
      <c r="H5" s="2860"/>
      <c r="I5" s="2860"/>
      <c r="J5" s="2634"/>
      <c r="K5" s="2571" t="str">
        <f>IF(F4="——","",IF(H4="——",F4&amp;"（注册号："&amp;G4&amp;")",CONCATENATE(F4,"（注册号：",G4,")、",H4,"（注册号：",I4,")")))</f>
        <v>（注册号：0)、（注册号：0)</v>
      </c>
      <c r="L5" s="2562"/>
      <c r="M5" s="2562"/>
      <c r="N5" s="2563"/>
      <c r="O5" s="1730"/>
      <c r="P5" s="2563"/>
      <c r="Q5" s="2563"/>
      <c r="R5" s="2563"/>
      <c r="S5" s="1900"/>
      <c r="T5" s="1900"/>
      <c r="U5" s="1900"/>
      <c r="V5" s="1900"/>
      <c r="W5" s="1900"/>
      <c r="X5" s="1900"/>
      <c r="Y5" s="1900"/>
      <c r="Z5" s="1900"/>
      <c r="AA5" s="1900"/>
      <c r="AB5" s="1900"/>
    </row>
    <row r="6" spans="1:28">
      <c r="A6" s="2576" t="s">
        <v>2856</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2857</v>
      </c>
      <c r="B7" s="2580"/>
      <c r="C7" s="2578"/>
      <c r="D7" s="2579"/>
      <c r="E7" s="2858"/>
      <c r="F7" s="2860"/>
      <c r="G7" s="2860"/>
      <c r="H7" s="2860"/>
      <c r="I7" s="2860"/>
      <c r="J7" s="2634"/>
      <c r="K7" s="2811"/>
      <c r="L7" s="2808"/>
      <c r="M7" s="2808"/>
      <c r="N7" s="2634"/>
      <c r="O7" s="2645"/>
      <c r="P7" s="2634"/>
      <c r="Q7" s="2634"/>
      <c r="R7" s="2634"/>
    </row>
    <row r="8" spans="1:28">
      <c r="A8" s="2581" t="s">
        <v>2858</v>
      </c>
      <c r="B8" s="2582" t="s">
        <v>3118</v>
      </c>
      <c r="C8" s="2583"/>
      <c r="D8" s="3290" t="s">
        <v>2859</v>
      </c>
      <c r="E8" s="2584" t="s">
        <v>3119</v>
      </c>
      <c r="F8" s="2585"/>
      <c r="G8" s="2859"/>
      <c r="H8" s="2859"/>
      <c r="I8" s="2859"/>
      <c r="J8" s="2634"/>
      <c r="K8" s="2809"/>
      <c r="L8" s="2808"/>
      <c r="M8" s="2808"/>
      <c r="N8" s="2634"/>
      <c r="O8" s="2645"/>
      <c r="P8" s="2634"/>
      <c r="Q8" s="2634"/>
      <c r="R8" s="2634"/>
    </row>
    <row r="9" spans="1:28" ht="13.5" thickBot="1">
      <c r="A9" s="2586" t="s">
        <v>2860</v>
      </c>
      <c r="B9" s="2587" t="s">
        <v>3119</v>
      </c>
      <c r="C9" s="2588"/>
      <c r="D9" s="3291"/>
      <c r="E9" s="2587"/>
      <c r="F9" s="2589"/>
      <c r="G9" s="2861"/>
      <c r="H9" s="2861"/>
      <c r="I9" s="2861"/>
      <c r="J9" s="2634"/>
      <c r="K9" s="2811"/>
      <c r="L9" s="2808"/>
      <c r="M9" s="2808"/>
      <c r="N9" s="2634"/>
      <c r="O9" s="2645"/>
      <c r="P9" s="2634"/>
      <c r="Q9" s="2634"/>
      <c r="R9" s="2634"/>
    </row>
    <row r="10" spans="1:28" ht="13.5" thickTop="1">
      <c r="A10" s="2590" t="s">
        <v>2861</v>
      </c>
      <c r="B10" s="2591" t="s">
        <v>3115</v>
      </c>
      <c r="C10" s="2592"/>
      <c r="D10" s="2575"/>
      <c r="E10" s="2593" t="s">
        <v>2862</v>
      </c>
      <c r="F10" s="2862"/>
      <c r="G10" s="2863"/>
      <c r="H10" s="2864"/>
      <c r="I10" s="2865"/>
      <c r="J10" s="2634"/>
      <c r="K10" s="2811"/>
      <c r="L10" s="2808"/>
      <c r="M10" s="2808"/>
      <c r="N10" s="2634"/>
      <c r="O10" s="2645"/>
      <c r="P10" s="2634"/>
      <c r="Q10" s="2634"/>
      <c r="R10" s="2634"/>
    </row>
    <row r="11" spans="1:28">
      <c r="A11" s="2594" t="s">
        <v>2863</v>
      </c>
      <c r="B11" s="2595" t="s">
        <v>3116</v>
      </c>
      <c r="C11" s="2596"/>
      <c r="D11" s="2597"/>
      <c r="E11" s="2563"/>
      <c r="F11" s="2563"/>
      <c r="G11" s="2563"/>
      <c r="H11" s="2563"/>
      <c r="I11" s="2563"/>
      <c r="J11" s="2634"/>
      <c r="K11" s="2811"/>
      <c r="L11" s="2808"/>
      <c r="M11" s="2808"/>
      <c r="N11" s="2634"/>
      <c r="O11" s="2645"/>
      <c r="P11" s="2634"/>
      <c r="Q11" s="2634"/>
      <c r="R11" s="2634"/>
    </row>
    <row r="12" spans="1:28">
      <c r="A12" s="2598" t="s">
        <v>2864</v>
      </c>
      <c r="B12" s="2595" t="s">
        <v>3117</v>
      </c>
      <c r="C12" s="329" t="s">
        <v>2865</v>
      </c>
      <c r="D12" s="2599" t="s">
        <v>2866</v>
      </c>
      <c r="E12" s="2599" t="s">
        <v>2867</v>
      </c>
      <c r="F12" s="2599" t="s">
        <v>2868</v>
      </c>
      <c r="G12" s="2599" t="s">
        <v>2869</v>
      </c>
      <c r="H12" s="2599" t="s">
        <v>2870</v>
      </c>
      <c r="I12" s="2599" t="s">
        <v>2871</v>
      </c>
      <c r="J12" s="2634"/>
      <c r="K12" s="2811"/>
      <c r="L12" s="2808"/>
      <c r="M12" s="2808"/>
      <c r="N12" s="2634"/>
      <c r="O12" s="2645"/>
      <c r="P12" s="2634"/>
      <c r="Q12" s="2634"/>
      <c r="R12" s="2634"/>
    </row>
    <row r="13" spans="1:28">
      <c r="A13" s="1213"/>
      <c r="B13" s="2600"/>
      <c r="C13" s="2601" t="s">
        <v>2872</v>
      </c>
      <c r="D13" s="965"/>
      <c r="E13" s="965"/>
      <c r="F13" s="965"/>
      <c r="G13" s="965"/>
      <c r="H13" s="965"/>
      <c r="I13" s="965">
        <v>57827</v>
      </c>
      <c r="J13" s="2634"/>
      <c r="K13" s="2811"/>
      <c r="L13" s="2808"/>
      <c r="M13" s="2808"/>
      <c r="N13" s="2634"/>
      <c r="O13" s="2645"/>
      <c r="P13" s="2634"/>
      <c r="Q13" s="2634"/>
      <c r="R13" s="2634"/>
    </row>
    <row r="14" spans="1:28">
      <c r="A14" s="1213"/>
      <c r="B14" s="2600"/>
      <c r="C14" s="2601" t="s">
        <v>2873</v>
      </c>
      <c r="D14" s="2602"/>
      <c r="E14" s="2602"/>
      <c r="F14" s="2602"/>
      <c r="G14" s="2602"/>
      <c r="H14" s="2602"/>
      <c r="I14" s="2602">
        <v>50</v>
      </c>
      <c r="J14" s="2634"/>
      <c r="K14" s="2812"/>
      <c r="L14" s="2808"/>
      <c r="M14" s="2808"/>
      <c r="N14" s="2634"/>
      <c r="O14" s="2645"/>
      <c r="P14" s="2634"/>
      <c r="Q14" s="2634"/>
      <c r="R14" s="2634"/>
    </row>
    <row r="15" spans="1:28">
      <c r="A15" s="326"/>
      <c r="B15" s="2603"/>
      <c r="C15" s="2604" t="s">
        <v>2874</v>
      </c>
      <c r="D15" s="2605" t="str">
        <f>IF(B12="出让",IF(D13="","",ROUNDDOWN(MIN((D13-$D$3)/365,D14),2)),D14)</f>
        <v/>
      </c>
      <c r="E15" s="2605" t="str">
        <f>IF(B12="出让",IF(E13="","",ROUNDDOWN(MIN((E13-$D$3)/365,E14),2)),E14)</f>
        <v/>
      </c>
      <c r="F15" s="2605" t="str">
        <f>IF(B12="出让",IF(F13="","",ROUNDDOWN(MIN((F13-$D$3)/365,F14),2)),F14)</f>
        <v/>
      </c>
      <c r="G15" s="2605" t="str">
        <f>IF(B12="出让",IF(G13="","",ROUNDDOWN(MIN((G13-$D$3)/365,G14),2)),G14)</f>
        <v/>
      </c>
      <c r="H15" s="2605" t="str">
        <f>IF(B12="出让",IF(H13="","",ROUNDDOWN(MIN((H13-$D$3)/365,H14),2)),H14)</f>
        <v/>
      </c>
      <c r="I15" s="2605">
        <f>IF(B12="出让",IF(I13="","",ROUNDDOWN(MIN((I13-$D$3)/365,I14),2)),I14)</f>
        <v>36.11</v>
      </c>
      <c r="J15" s="2634"/>
      <c r="K15" s="2813"/>
      <c r="L15" s="2646"/>
      <c r="M15" s="2646"/>
      <c r="N15" s="2704"/>
      <c r="O15" s="2646"/>
      <c r="P15" s="2704"/>
      <c r="Q15" s="2634"/>
      <c r="R15" s="2634"/>
    </row>
    <row r="16" spans="1:28">
      <c r="A16" s="2593" t="s">
        <v>2875</v>
      </c>
      <c r="B16" s="3297"/>
      <c r="C16" s="3298"/>
      <c r="D16" s="3299"/>
      <c r="E16" s="2608" t="s">
        <v>2876</v>
      </c>
      <c r="F16" s="3300"/>
      <c r="G16" s="3301"/>
      <c r="H16" s="3301"/>
      <c r="I16" s="3302"/>
      <c r="J16" s="2634"/>
      <c r="K16" s="2813"/>
      <c r="L16" s="2646"/>
      <c r="M16" s="2646"/>
      <c r="N16" s="2704"/>
      <c r="O16" s="2646"/>
      <c r="P16" s="2704"/>
      <c r="Q16" s="2634"/>
      <c r="R16" s="2634"/>
    </row>
    <row r="17" spans="1:28">
      <c r="A17" s="319" t="s">
        <v>2877</v>
      </c>
      <c r="B17" s="308" t="s">
        <v>2878</v>
      </c>
      <c r="C17" s="11">
        <f>'数据-汇总表'!E3</f>
        <v>18907.05</v>
      </c>
      <c r="D17" s="2514" t="s">
        <v>2879</v>
      </c>
      <c r="E17" s="3303" t="s">
        <v>2880</v>
      </c>
      <c r="F17" s="3304"/>
      <c r="G17" s="3304"/>
      <c r="H17" s="3304"/>
      <c r="I17" s="3305"/>
      <c r="J17" s="2634"/>
      <c r="K17" s="2814"/>
      <c r="L17" s="2646"/>
      <c r="M17" s="2646"/>
      <c r="N17" s="2704"/>
      <c r="O17" s="2646"/>
      <c r="P17" s="2704"/>
      <c r="Q17" s="2634"/>
      <c r="R17" s="2634"/>
      <c r="S17" s="2634"/>
      <c r="T17" s="2634"/>
      <c r="U17" s="2634"/>
      <c r="V17" s="2634"/>
    </row>
    <row r="18" spans="1:28" ht="24.75" thickBot="1">
      <c r="A18" s="2609" t="s">
        <v>2881</v>
      </c>
      <c r="B18" s="1222" t="s">
        <v>2882</v>
      </c>
      <c r="C18" s="2610">
        <f>'数据-汇总表'!D3</f>
        <v>15415.9</v>
      </c>
      <c r="D18" s="1224" t="s">
        <v>2883</v>
      </c>
      <c r="E18" s="3306" t="s">
        <v>2884</v>
      </c>
      <c r="F18" s="3307"/>
      <c r="G18" s="3307"/>
      <c r="H18" s="3307"/>
      <c r="I18" s="3308"/>
      <c r="J18" s="2634"/>
      <c r="K18" s="2814"/>
      <c r="L18" s="2646"/>
      <c r="M18" s="2646"/>
      <c r="N18" s="2704"/>
      <c r="O18" s="2646"/>
      <c r="P18" s="2704"/>
      <c r="Q18" s="2634"/>
      <c r="R18" s="2634"/>
      <c r="S18" s="2634"/>
      <c r="T18" s="2634"/>
      <c r="U18" s="2634"/>
      <c r="V18" s="2634"/>
    </row>
    <row r="19" spans="1:28" ht="37.5" thickTop="1" thickBot="1">
      <c r="A19" s="333" t="s">
        <v>1681</v>
      </c>
      <c r="B19" s="313" t="s">
        <v>2885</v>
      </c>
      <c r="C19" s="1717"/>
      <c r="D19" s="1718" t="s">
        <v>2886</v>
      </c>
      <c r="E19" s="1719"/>
      <c r="F19" s="1720" t="str">
        <f>IF(AND(C19="是",E19="否"),"是否提供他项权证或相关说明","")</f>
        <v/>
      </c>
      <c r="G19" s="1721"/>
      <c r="H19" s="2860"/>
      <c r="I19" s="2860"/>
      <c r="J19" s="2634"/>
      <c r="K19" s="2811"/>
      <c r="L19" s="2808"/>
      <c r="M19" s="2808"/>
      <c r="N19" s="2704"/>
      <c r="O19" s="2646"/>
      <c r="P19" s="2704"/>
      <c r="Q19" s="2634"/>
      <c r="R19" s="2634"/>
      <c r="S19" s="2634"/>
      <c r="T19" s="2634"/>
      <c r="U19" s="2634"/>
      <c r="V19" s="2634"/>
    </row>
    <row r="20" spans="1:28">
      <c r="A20" s="2828" t="s">
        <v>2887</v>
      </c>
      <c r="B20" s="3293" t="s">
        <v>2888</v>
      </c>
      <c r="C20" s="3294"/>
      <c r="D20" s="3295" t="s">
        <v>2889</v>
      </c>
      <c r="E20" s="3296"/>
      <c r="F20" s="2843" t="s">
        <v>1682</v>
      </c>
      <c r="G20" s="2860"/>
      <c r="H20" s="2860"/>
      <c r="I20" s="2860"/>
      <c r="J20" s="2634"/>
      <c r="K20" s="3292" t="s">
        <v>2890</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2891</v>
      </c>
      <c r="C21" s="2830" t="s">
        <v>1683</v>
      </c>
      <c r="D21" s="1722" t="s">
        <v>2892</v>
      </c>
      <c r="E21" s="2831" t="s">
        <v>1683</v>
      </c>
      <c r="F21" s="2844"/>
      <c r="G21" s="2860"/>
      <c r="H21" s="2860"/>
      <c r="I21" s="2860"/>
      <c r="J21" s="2634"/>
      <c r="K21" s="329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2893</v>
      </c>
      <c r="C22" s="2830" t="s">
        <v>1684</v>
      </c>
      <c r="D22" s="2859"/>
      <c r="E22" s="2859"/>
      <c r="F22" s="2859"/>
      <c r="G22" s="2860"/>
      <c r="H22" s="2860"/>
      <c r="I22" s="2860"/>
      <c r="J22" s="2634"/>
      <c r="K22" s="329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2894</v>
      </c>
      <c r="B23" s="2697" t="s">
        <v>2895</v>
      </c>
      <c r="C23" s="2834"/>
      <c r="D23" s="2835" t="s">
        <v>2895</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280" t="s">
        <v>2896</v>
      </c>
      <c r="B27" s="326" t="s">
        <v>2897</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280"/>
      <c r="B28" s="308" t="s">
        <v>2898</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280"/>
      <c r="B29" s="308" t="s">
        <v>2899</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281"/>
      <c r="B30" s="308" t="s">
        <v>2900</v>
      </c>
      <c r="C30" s="3282"/>
      <c r="D30" s="3283"/>
      <c r="E30" s="2860"/>
      <c r="F30" s="2860"/>
      <c r="G30" s="2860"/>
      <c r="H30" s="2860"/>
      <c r="I30" s="2860"/>
      <c r="J30" s="2634"/>
      <c r="K30" s="2811"/>
      <c r="L30" s="2808"/>
      <c r="M30" s="2808"/>
      <c r="N30" s="2634"/>
      <c r="O30" s="2645"/>
      <c r="P30" s="2634"/>
      <c r="Q30" s="2634"/>
      <c r="R30" s="2634"/>
      <c r="S30" s="2634"/>
      <c r="T30" s="2634"/>
      <c r="U30" s="2634"/>
      <c r="V30" s="2634"/>
    </row>
    <row r="31" spans="1:28">
      <c r="A31" s="3284" t="s">
        <v>2901</v>
      </c>
      <c r="B31" s="2617" t="s">
        <v>3120</v>
      </c>
      <c r="C31" s="2515" t="str">
        <f>IF(B31="现房","成新及维护状况正常否",IF(B31="在建","工程状态是否正常",IF(B31="土地","是否闲置","-")))</f>
        <v>工程状态是否正常</v>
      </c>
      <c r="D31" s="1526"/>
      <c r="E31" s="2618"/>
      <c r="F31" s="2860"/>
      <c r="G31" s="2860"/>
      <c r="H31" s="2860"/>
      <c r="I31" s="2860"/>
      <c r="J31" s="2634"/>
      <c r="K31" s="2810"/>
      <c r="L31" s="2808"/>
      <c r="M31" s="2808"/>
      <c r="N31" s="2634"/>
      <c r="O31" s="2645"/>
      <c r="P31" s="2634"/>
      <c r="Q31" s="2634"/>
      <c r="R31" s="2634"/>
      <c r="S31" s="2634"/>
      <c r="T31" s="2634"/>
      <c r="U31" s="2634"/>
      <c r="V31" s="2634"/>
    </row>
    <row r="32" spans="1:28">
      <c r="A32" s="3285"/>
      <c r="B32" s="2617"/>
      <c r="C32" s="2515" t="str">
        <f>IF(B32="现房","成新及维护状况是否正常",IF(B32="在建","工程状态是否正常",IF(B32="土地","是否闲置","-")))</f>
        <v>-</v>
      </c>
      <c r="D32" s="1526"/>
      <c r="E32" s="2618"/>
      <c r="F32" s="2860"/>
      <c r="G32" s="2860"/>
      <c r="H32" s="2860"/>
      <c r="I32" s="2860"/>
      <c r="J32" s="2634"/>
      <c r="K32" s="2811"/>
      <c r="L32" s="2808"/>
      <c r="M32" s="2808"/>
      <c r="N32" s="2634"/>
      <c r="O32" s="2645"/>
      <c r="P32" s="2634"/>
      <c r="Q32" s="2634"/>
      <c r="R32" s="2634"/>
      <c r="S32" s="2634"/>
      <c r="T32" s="2634"/>
      <c r="U32" s="2634"/>
      <c r="V32" s="2634"/>
    </row>
    <row r="33" spans="1:30">
      <c r="A33" s="3285"/>
      <c r="B33" s="2620"/>
      <c r="C33" s="1744" t="str">
        <f>IF(B33="现房","成新及维护状况是否正常",IF(B33="在建","工程状态是否正常",IF(B33="土地","是否闲置","-")))</f>
        <v>-</v>
      </c>
      <c r="D33" s="1518"/>
      <c r="E33" s="2621"/>
      <c r="F33" s="2860"/>
      <c r="G33" s="2860"/>
      <c r="H33" s="2860"/>
      <c r="I33" s="2860"/>
      <c r="J33" s="2634"/>
      <c r="K33" s="2811"/>
      <c r="L33" s="2808"/>
      <c r="M33" s="2808"/>
      <c r="N33" s="2634"/>
      <c r="O33" s="2645"/>
      <c r="P33" s="2634"/>
      <c r="Q33" s="2634"/>
      <c r="R33" s="2634"/>
      <c r="S33" s="2634"/>
      <c r="T33" s="2634"/>
      <c r="U33" s="2634"/>
      <c r="V33" s="2634"/>
    </row>
    <row r="34" spans="1:30">
      <c r="A34" s="308" t="s">
        <v>2902</v>
      </c>
      <c r="B34" s="2183"/>
      <c r="C34" s="2183"/>
      <c r="D34" s="2183"/>
      <c r="E34" s="2183"/>
      <c r="F34" s="2183"/>
      <c r="G34" s="2183"/>
      <c r="H34" s="2183"/>
      <c r="I34" s="2860"/>
      <c r="J34" s="2634"/>
      <c r="K34" s="2622">
        <f>COUNTIF(B34:H34,"——")</f>
        <v>0</v>
      </c>
      <c r="L34" s="329" t="s">
        <v>2903</v>
      </c>
      <c r="M34" s="329" t="s">
        <v>2904</v>
      </c>
      <c r="N34" s="329" t="s">
        <v>2905</v>
      </c>
      <c r="O34" s="329" t="s">
        <v>2906</v>
      </c>
      <c r="P34" s="329" t="s">
        <v>2907</v>
      </c>
      <c r="Q34" s="329" t="s">
        <v>2908</v>
      </c>
      <c r="R34" s="329" t="s">
        <v>2909</v>
      </c>
      <c r="S34" s="3279" t="s">
        <v>2910</v>
      </c>
      <c r="T34" s="2623" t="str">
        <f>NUMBERSTRING(7-K34,1)&amp;"通"</f>
        <v>七通</v>
      </c>
      <c r="U34" s="2634"/>
      <c r="V34" s="2634"/>
    </row>
    <row r="35" spans="1:30">
      <c r="A35" s="2624"/>
      <c r="B35" s="3286" t="s">
        <v>2911</v>
      </c>
      <c r="C35" s="3286"/>
      <c r="D35" s="3286"/>
      <c r="E35" s="3286"/>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9"/>
      <c r="T35" s="335" t="str">
        <f>IF(T34="一通",L35,IF(T34="二通",M35,IF(T34="三通",N35,IF(T34="四通",O35,IF(T34="五通",P35,IF(T34="六通",Q35,R35))))))</f>
        <v>、、、、、、</v>
      </c>
      <c r="U35" s="2634"/>
      <c r="V35" s="2634"/>
    </row>
    <row r="36" spans="1:30">
      <c r="A36" s="2625"/>
      <c r="B36" s="673" t="s">
        <v>2867</v>
      </c>
      <c r="C36" s="673" t="s">
        <v>2868</v>
      </c>
      <c r="D36" s="673" t="s">
        <v>2866</v>
      </c>
      <c r="E36" s="673" t="s">
        <v>2871</v>
      </c>
      <c r="F36" s="2866"/>
      <c r="G36" s="2860"/>
      <c r="H36" s="2860"/>
      <c r="I36" s="2860"/>
      <c r="J36" s="2634"/>
      <c r="K36" s="2811"/>
      <c r="L36" s="2808"/>
      <c r="M36" s="2808"/>
      <c r="N36" s="2634"/>
      <c r="O36" s="2645"/>
      <c r="P36" s="2634"/>
      <c r="Q36" s="2634"/>
      <c r="R36" s="2634"/>
      <c r="S36" s="2634"/>
      <c r="T36" s="2634"/>
      <c r="U36" s="2634"/>
      <c r="V36" s="2634"/>
    </row>
    <row r="37" spans="1:30">
      <c r="A37" s="2826" t="s">
        <v>2912</v>
      </c>
      <c r="B37" s="2626"/>
      <c r="C37" s="2626"/>
      <c r="D37" s="2626"/>
      <c r="E37" s="2626" t="s">
        <v>526</v>
      </c>
      <c r="F37" s="2866"/>
      <c r="G37" s="2860"/>
      <c r="H37" s="2860"/>
      <c r="I37" s="2860"/>
      <c r="J37" s="2634"/>
      <c r="K37" s="2811"/>
      <c r="L37" s="2808"/>
      <c r="M37" s="2808"/>
      <c r="N37" s="2634"/>
      <c r="O37" s="2645"/>
      <c r="P37" s="2634"/>
      <c r="Q37" s="2634"/>
      <c r="R37" s="2634"/>
      <c r="S37" s="2634"/>
      <c r="T37" s="2634"/>
      <c r="U37" s="2634"/>
      <c r="V37" s="2634"/>
    </row>
    <row r="38" spans="1:30" ht="13.5" thickBot="1">
      <c r="A38" s="2827" t="s">
        <v>2913</v>
      </c>
      <c r="B38" s="2627"/>
      <c r="C38" s="2627"/>
      <c r="D38" s="2627"/>
      <c r="E38" s="2627" t="s">
        <v>378</v>
      </c>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2914</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2"/>
      <c r="J40" s="2704"/>
      <c r="K40" s="2810"/>
      <c r="L40" s="2646"/>
      <c r="M40" s="2646"/>
      <c r="N40" s="2704"/>
      <c r="O40" s="2646"/>
      <c r="P40" s="2634"/>
      <c r="Q40" s="2634"/>
      <c r="R40" s="2634"/>
      <c r="S40" s="2634"/>
      <c r="T40" s="2634"/>
      <c r="U40" s="2634"/>
      <c r="V40" s="2634"/>
    </row>
    <row r="41" spans="1:30">
      <c r="A41" s="2631" t="s">
        <v>2915</v>
      </c>
      <c r="B41" s="1912"/>
      <c r="C41" s="1526"/>
      <c r="D41" s="2563"/>
      <c r="E41" s="2563"/>
      <c r="F41" s="2563"/>
      <c r="G41" s="2563"/>
      <c r="H41" s="2563"/>
      <c r="I41" s="1730"/>
      <c r="J41" s="2634"/>
      <c r="K41" s="2811"/>
      <c r="L41" s="2808"/>
      <c r="M41" s="2808"/>
      <c r="N41" s="2634"/>
      <c r="O41" s="2645"/>
      <c r="P41" s="2634"/>
      <c r="Q41" s="2634"/>
      <c r="R41" s="2634"/>
      <c r="S41" s="2634"/>
      <c r="T41" s="2634"/>
      <c r="U41" s="2634"/>
      <c r="V41" s="2634"/>
    </row>
    <row r="42" spans="1:30" ht="25.5">
      <c r="A42" s="329" t="s">
        <v>2916</v>
      </c>
      <c r="B42" s="11" t="s">
        <v>2917</v>
      </c>
      <c r="C42" s="11" t="s">
        <v>2918</v>
      </c>
      <c r="D42" s="11" t="s">
        <v>2919</v>
      </c>
      <c r="E42" s="11" t="s">
        <v>2920</v>
      </c>
      <c r="F42" s="11" t="s">
        <v>2921</v>
      </c>
      <c r="G42" s="11" t="s">
        <v>2922</v>
      </c>
      <c r="H42" s="11" t="s">
        <v>2923</v>
      </c>
      <c r="I42" s="11" t="s">
        <v>2924</v>
      </c>
      <c r="J42" s="2822" t="s">
        <v>2925</v>
      </c>
      <c r="K42" s="2823" t="s">
        <v>2926</v>
      </c>
      <c r="L42" s="2823" t="s">
        <v>2927</v>
      </c>
      <c r="M42" s="2823" t="s">
        <v>2928</v>
      </c>
      <c r="N42" s="2816" t="s">
        <v>2929</v>
      </c>
      <c r="O42" s="2816" t="s">
        <v>2930</v>
      </c>
      <c r="P42" s="2816" t="s">
        <v>2931</v>
      </c>
      <c r="Q42" s="2817" t="s">
        <v>2932</v>
      </c>
      <c r="R42" s="2817" t="s">
        <v>2933</v>
      </c>
      <c r="S42" s="2634"/>
      <c r="T42" s="2634"/>
      <c r="U42" s="2634"/>
      <c r="V42" s="2634"/>
    </row>
    <row r="43" spans="1:30" s="1898" customFormat="1">
      <c r="A43" s="1724"/>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4"/>
      <c r="B44" s="1724"/>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4"/>
      <c r="B45" s="1724"/>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4"/>
      <c r="B46" s="1724"/>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4"/>
      <c r="B47" s="1724"/>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4"/>
      <c r="B48" s="1724"/>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4"/>
      <c r="B49" s="1724"/>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4"/>
      <c r="B50" s="1724"/>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4"/>
      <c r="B51" s="1724"/>
      <c r="C51" s="1182"/>
      <c r="D51" s="1182"/>
      <c r="E51" s="1182"/>
      <c r="F51" s="1182"/>
      <c r="G51" s="1182"/>
      <c r="H51" s="1182"/>
      <c r="I51" s="1182"/>
      <c r="J51" s="2632"/>
      <c r="K51" s="2633"/>
      <c r="L51" s="2633"/>
      <c r="M51" s="1182"/>
      <c r="N51" s="1182"/>
      <c r="O51" s="1182"/>
      <c r="P51" s="1182"/>
      <c r="Q51" s="1182"/>
      <c r="R51" s="1182"/>
    </row>
    <row r="52" spans="1:22" s="1898" customFormat="1">
      <c r="A52" s="1724"/>
      <c r="B52" s="1724"/>
      <c r="C52" s="1724"/>
      <c r="D52" s="1724"/>
      <c r="E52" s="1724"/>
      <c r="F52" s="1182"/>
      <c r="G52" s="1724"/>
      <c r="H52" s="1724"/>
      <c r="I52" s="1724"/>
      <c r="J52" s="2635"/>
      <c r="K52" s="2633"/>
      <c r="L52" s="2633"/>
      <c r="M52" s="2633"/>
      <c r="N52" s="1724"/>
      <c r="O52" s="1724"/>
      <c r="P52" s="1724"/>
      <c r="Q52" s="1724"/>
      <c r="R52" s="1724"/>
    </row>
    <row r="53" spans="1:22" s="1898" customFormat="1">
      <c r="A53" s="1724"/>
      <c r="B53" s="1724"/>
      <c r="C53" s="1724"/>
      <c r="D53" s="1724"/>
      <c r="E53" s="1724"/>
      <c r="F53" s="1182"/>
      <c r="G53" s="1724"/>
      <c r="H53" s="1724"/>
      <c r="I53" s="1724"/>
      <c r="J53" s="2635"/>
      <c r="K53" s="2633"/>
      <c r="L53" s="2633"/>
      <c r="M53" s="2633"/>
      <c r="N53" s="1724"/>
      <c r="O53" s="1724"/>
      <c r="P53" s="1724"/>
      <c r="Q53" s="1724"/>
      <c r="R53" s="1724"/>
    </row>
    <row r="54" spans="1:22" s="1898" customFormat="1">
      <c r="A54" s="1724"/>
      <c r="B54" s="1724"/>
      <c r="C54" s="1724"/>
      <c r="D54" s="1724"/>
      <c r="E54" s="1724"/>
      <c r="F54" s="1182"/>
      <c r="G54" s="1724"/>
      <c r="H54" s="1724"/>
      <c r="I54" s="1724"/>
      <c r="J54" s="2635"/>
      <c r="K54" s="2633"/>
      <c r="L54" s="2633"/>
      <c r="M54" s="2633"/>
      <c r="N54" s="1724"/>
      <c r="O54" s="1724"/>
      <c r="P54" s="1724"/>
      <c r="Q54" s="1724"/>
      <c r="R54" s="1724"/>
    </row>
    <row r="55" spans="1:22" s="1898" customFormat="1">
      <c r="A55" s="1724"/>
      <c r="B55" s="1724"/>
      <c r="C55" s="1724"/>
      <c r="D55" s="1724"/>
      <c r="E55" s="1724"/>
      <c r="F55" s="1182"/>
      <c r="G55" s="1724"/>
      <c r="H55" s="1724"/>
      <c r="I55" s="1724"/>
      <c r="J55" s="2635"/>
      <c r="K55" s="2633"/>
      <c r="L55" s="2633"/>
      <c r="M55" s="2633"/>
      <c r="N55" s="1724"/>
      <c r="O55" s="1724"/>
      <c r="P55" s="1724"/>
      <c r="Q55" s="1724"/>
      <c r="R55" s="1724"/>
    </row>
    <row r="56" spans="1:22" s="1898" customFormat="1">
      <c r="A56" s="1724"/>
      <c r="B56" s="1724"/>
      <c r="C56" s="1724"/>
      <c r="D56" s="1724"/>
      <c r="E56" s="1724"/>
      <c r="F56" s="1182"/>
      <c r="G56" s="1724"/>
      <c r="H56" s="1724"/>
      <c r="I56" s="1724"/>
      <c r="J56" s="2635"/>
      <c r="K56" s="2633"/>
      <c r="L56" s="2633"/>
      <c r="M56" s="2633"/>
      <c r="N56" s="1724"/>
      <c r="O56" s="1724"/>
      <c r="P56" s="1724"/>
      <c r="Q56" s="1724"/>
      <c r="R56" s="172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3" sqref="G13:G17"/>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1688</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1689</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1690</v>
      </c>
      <c r="B2" s="11" t="s">
        <v>1691</v>
      </c>
      <c r="C2" s="11" t="s">
        <v>1692</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9" t="s">
        <v>1693</v>
      </c>
      <c r="AZ2" s="1180" t="s">
        <v>1694</v>
      </c>
      <c r="BA2" s="11" t="s">
        <v>1695</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13">
        <v>15415.9</v>
      </c>
      <c r="B3" s="14">
        <f>IF(C3="否",G5-AT5,G5)</f>
        <v>18907.05</v>
      </c>
      <c r="C3" s="1734" t="s">
        <v>1696</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1"/>
      <c r="AZ3" s="1182"/>
      <c r="BA3" s="1183"/>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5" t="s">
        <v>1697</v>
      </c>
      <c r="B5" s="1500"/>
      <c r="C5" s="1500"/>
      <c r="D5" s="1502"/>
      <c r="E5" s="16" t="s">
        <v>1</v>
      </c>
      <c r="F5" s="16">
        <f>SUM(F13:F587)</f>
        <v>0</v>
      </c>
      <c r="G5" s="16">
        <f>SUM(G13:G587)</f>
        <v>18907.05</v>
      </c>
      <c r="H5" s="16">
        <f t="shared" ref="H5:AT5" si="0">SUM(H13:H656)</f>
        <v>18872.330000000002</v>
      </c>
      <c r="I5" s="16">
        <f t="shared" si="0"/>
        <v>4363.97</v>
      </c>
      <c r="J5" s="16">
        <f t="shared" si="0"/>
        <v>0</v>
      </c>
      <c r="K5" s="16">
        <f t="shared" si="0"/>
        <v>6241.54</v>
      </c>
      <c r="L5" s="16">
        <f t="shared" si="0"/>
        <v>0</v>
      </c>
      <c r="M5" s="16">
        <f t="shared" si="0"/>
        <v>8266.82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34.72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34.72</v>
      </c>
      <c r="AM5" s="16">
        <f t="shared" si="0"/>
        <v>0</v>
      </c>
      <c r="AN5" s="16">
        <f t="shared" si="0"/>
        <v>0</v>
      </c>
      <c r="AO5" s="16">
        <f t="shared" si="0"/>
        <v>0</v>
      </c>
      <c r="AP5" s="16">
        <f t="shared" si="0"/>
        <v>0</v>
      </c>
      <c r="AQ5" s="16">
        <f t="shared" si="0"/>
        <v>0</v>
      </c>
      <c r="AR5" s="16">
        <f t="shared" si="0"/>
        <v>0</v>
      </c>
      <c r="AS5" s="16">
        <f t="shared" si="0"/>
        <v>0</v>
      </c>
      <c r="AT5" s="16">
        <f t="shared" si="0"/>
        <v>0</v>
      </c>
      <c r="AU5" s="1499"/>
      <c r="AV5" s="15" t="s">
        <v>1697</v>
      </c>
      <c r="AW5" s="1500"/>
      <c r="AX5" s="1500"/>
      <c r="AY5" s="17" t="s">
        <v>3</v>
      </c>
      <c r="AZ5" s="18">
        <f t="shared" ref="AZ5:BT5" si="1">SUM(AZ13:AZ656)</f>
        <v>18907.05</v>
      </c>
      <c r="BA5" s="18">
        <f t="shared" si="1"/>
        <v>18872.330000000002</v>
      </c>
      <c r="BB5" s="18">
        <f t="shared" si="1"/>
        <v>4363.97</v>
      </c>
      <c r="BC5" s="18">
        <f t="shared" si="1"/>
        <v>6241.54</v>
      </c>
      <c r="BD5" s="18">
        <f t="shared" si="1"/>
        <v>8266.82</v>
      </c>
      <c r="BE5" s="18">
        <f t="shared" si="1"/>
        <v>0</v>
      </c>
      <c r="BF5" s="18">
        <f t="shared" si="1"/>
        <v>0</v>
      </c>
      <c r="BG5" s="18">
        <f t="shared" si="1"/>
        <v>0</v>
      </c>
      <c r="BH5" s="18">
        <f t="shared" si="1"/>
        <v>0</v>
      </c>
      <c r="BI5" s="18">
        <f t="shared" si="1"/>
        <v>0</v>
      </c>
      <c r="BJ5" s="18">
        <f t="shared" si="1"/>
        <v>0</v>
      </c>
      <c r="BK5" s="18">
        <f t="shared" si="1"/>
        <v>0</v>
      </c>
      <c r="BL5" s="18">
        <f t="shared" si="1"/>
        <v>34.72</v>
      </c>
      <c r="BM5" s="18">
        <f t="shared" si="1"/>
        <v>0</v>
      </c>
      <c r="BN5" s="18">
        <f t="shared" si="1"/>
        <v>0</v>
      </c>
      <c r="BO5" s="18">
        <f t="shared" si="1"/>
        <v>0</v>
      </c>
      <c r="BP5" s="18">
        <f t="shared" si="1"/>
        <v>0</v>
      </c>
      <c r="BQ5" s="18">
        <f t="shared" si="1"/>
        <v>34.72</v>
      </c>
      <c r="BR5" s="18">
        <f t="shared" si="1"/>
        <v>0</v>
      </c>
      <c r="BS5" s="18">
        <f t="shared" si="1"/>
        <v>0</v>
      </c>
      <c r="BT5" s="19">
        <f t="shared" si="1"/>
        <v>0</v>
      </c>
    </row>
    <row r="6" spans="1:72" s="1743" customFormat="1" ht="12.75">
      <c r="A6" s="15" t="s">
        <v>1698</v>
      </c>
      <c r="B6" s="1740"/>
      <c r="C6" s="1740"/>
      <c r="D6" s="1741"/>
      <c r="E6" s="16">
        <f>H6+AC6+AT6</f>
        <v>15415.9</v>
      </c>
      <c r="F6" s="16" t="s">
        <v>1</v>
      </c>
      <c r="G6" s="16" t="s">
        <v>2</v>
      </c>
      <c r="H6" s="20">
        <f>SUMIF(I$12:AB$12,"总值",I6:AB6)</f>
        <v>15387.59</v>
      </c>
      <c r="I6" s="16">
        <f t="shared" ref="I6:AB6" si="2">ROUND($A$3*I5/$B$3,2)</f>
        <v>3558.17</v>
      </c>
      <c r="J6" s="16">
        <f t="shared" si="2"/>
        <v>0</v>
      </c>
      <c r="K6" s="16">
        <f t="shared" si="2"/>
        <v>5089.05</v>
      </c>
      <c r="L6" s="16">
        <f t="shared" si="2"/>
        <v>0</v>
      </c>
      <c r="M6" s="16">
        <f t="shared" si="2"/>
        <v>6740.37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28.31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28.31</v>
      </c>
      <c r="AM6" s="16">
        <f t="shared" si="3"/>
        <v>0</v>
      </c>
      <c r="AN6" s="16">
        <f t="shared" si="3"/>
        <v>0</v>
      </c>
      <c r="AO6" s="16">
        <f t="shared" si="3"/>
        <v>0</v>
      </c>
      <c r="AP6" s="16">
        <f t="shared" si="3"/>
        <v>0</v>
      </c>
      <c r="AQ6" s="16">
        <f t="shared" si="3"/>
        <v>0</v>
      </c>
      <c r="AR6" s="16">
        <f t="shared" si="3"/>
        <v>0</v>
      </c>
      <c r="AS6" s="16">
        <f t="shared" si="3"/>
        <v>0</v>
      </c>
      <c r="AT6" s="20">
        <f>IF(C3="是",ROUND($A$3*AT5/$B$3,2),0)</f>
        <v>0</v>
      </c>
      <c r="AU6" s="1742"/>
      <c r="AV6" s="15" t="s">
        <v>1698</v>
      </c>
      <c r="AW6" s="1740"/>
      <c r="AX6" s="1740"/>
      <c r="AY6" s="21">
        <f>IF(AY3&gt;0,AY3,ROUND($A$3*AZ5/$B$3,2))</f>
        <v>15415.9</v>
      </c>
      <c r="AZ6" s="16" t="s">
        <v>3</v>
      </c>
      <c r="BA6" s="16">
        <f>ROUND($AY$6*BA5/$AZ$5,2)</f>
        <v>15387.59</v>
      </c>
      <c r="BB6" s="16">
        <f>ROUND($AY$6*BB5/$AZ$5,2)</f>
        <v>3558.17</v>
      </c>
      <c r="BC6" s="16">
        <f t="shared" ref="BC6:BH6" si="4">ROUND($AY$6*BC5/$AZ$5,2)</f>
        <v>5089.05</v>
      </c>
      <c r="BD6" s="16">
        <f t="shared" si="4"/>
        <v>6740.37</v>
      </c>
      <c r="BE6" s="16">
        <f t="shared" si="4"/>
        <v>0</v>
      </c>
      <c r="BF6" s="16">
        <f t="shared" si="4"/>
        <v>0</v>
      </c>
      <c r="BG6" s="16">
        <f t="shared" si="4"/>
        <v>0</v>
      </c>
      <c r="BH6" s="16">
        <f t="shared" si="4"/>
        <v>0</v>
      </c>
      <c r="BI6" s="16">
        <f t="shared" ref="BI6:BT6" si="5">ROUND($AY$6*BI5/$AZ$5,2)</f>
        <v>0</v>
      </c>
      <c r="BJ6" s="16">
        <f t="shared" si="5"/>
        <v>0</v>
      </c>
      <c r="BK6" s="16">
        <f t="shared" si="5"/>
        <v>0</v>
      </c>
      <c r="BL6" s="16">
        <f t="shared" si="5"/>
        <v>28.31</v>
      </c>
      <c r="BM6" s="16">
        <f t="shared" si="5"/>
        <v>0</v>
      </c>
      <c r="BN6" s="16">
        <f t="shared" si="5"/>
        <v>0</v>
      </c>
      <c r="BO6" s="16">
        <f t="shared" si="5"/>
        <v>0</v>
      </c>
      <c r="BP6" s="16">
        <f t="shared" si="5"/>
        <v>0</v>
      </c>
      <c r="BQ6" s="16">
        <f t="shared" si="5"/>
        <v>28.31</v>
      </c>
      <c r="BR6" s="16">
        <f t="shared" si="5"/>
        <v>0</v>
      </c>
      <c r="BS6" s="16">
        <f t="shared" si="5"/>
        <v>0</v>
      </c>
      <c r="BT6" s="22">
        <f t="shared" si="5"/>
        <v>0</v>
      </c>
    </row>
    <row r="7" spans="1:72" s="1733" customFormat="1" ht="24.75">
      <c r="A7" s="1723" t="s">
        <v>1699</v>
      </c>
      <c r="B7" s="1723" t="s">
        <v>1700</v>
      </c>
      <c r="C7" s="1723" t="s">
        <v>1701</v>
      </c>
      <c r="D7" s="1723" t="s">
        <v>1702</v>
      </c>
      <c r="E7" s="1723" t="s">
        <v>1703</v>
      </c>
      <c r="F7" s="1723" t="s">
        <v>1704</v>
      </c>
      <c r="G7" s="1744" t="s">
        <v>1705</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1706</v>
      </c>
      <c r="AV7" s="23" t="s">
        <v>1707</v>
      </c>
      <c r="AW7" s="1732" t="s">
        <v>1708</v>
      </c>
      <c r="AX7" s="23" t="s">
        <v>1701</v>
      </c>
      <c r="AY7" s="1500" t="s">
        <v>1709</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1710</v>
      </c>
      <c r="H8" s="1750" t="s">
        <v>1711</v>
      </c>
      <c r="I8" s="1751"/>
      <c r="J8" s="1513"/>
      <c r="K8" s="1513"/>
      <c r="L8" s="1513"/>
      <c r="M8" s="1513"/>
      <c r="N8" s="1513"/>
      <c r="O8" s="1513"/>
      <c r="P8" s="1513"/>
      <c r="Q8" s="1513"/>
      <c r="R8" s="1513"/>
      <c r="S8" s="1513"/>
      <c r="T8" s="1513"/>
      <c r="U8" s="1513"/>
      <c r="V8" s="1752"/>
      <c r="W8" s="1513"/>
      <c r="X8" s="1513"/>
      <c r="Y8" s="1513"/>
      <c r="Z8" s="1513"/>
      <c r="AA8" s="1752"/>
      <c r="AB8" s="1753"/>
      <c r="AC8" s="918" t="s">
        <v>1712</v>
      </c>
      <c r="AD8" s="1754"/>
      <c r="AE8" s="1746"/>
      <c r="AF8" s="1513"/>
      <c r="AG8" s="1513"/>
      <c r="AH8" s="1513"/>
      <c r="AI8" s="1513"/>
      <c r="AJ8" s="1513"/>
      <c r="AK8" s="1513"/>
      <c r="AL8" s="1513"/>
      <c r="AM8" s="1513"/>
      <c r="AN8" s="1513"/>
      <c r="AO8" s="1513"/>
      <c r="AP8" s="1513"/>
      <c r="AQ8" s="1513"/>
      <c r="AR8" s="1513"/>
      <c r="AS8" s="1513"/>
      <c r="AT8" s="1202" t="s">
        <v>1713</v>
      </c>
      <c r="AU8" s="1748" t="s">
        <v>1714</v>
      </c>
      <c r="AV8" s="1202"/>
      <c r="AW8" s="1731"/>
      <c r="AX8" s="1202"/>
      <c r="AY8" s="1732" t="s">
        <v>1715</v>
      </c>
      <c r="AZ8" s="1512" t="s">
        <v>1716</v>
      </c>
      <c r="BA8" s="1513"/>
      <c r="BB8" s="1513"/>
      <c r="BC8" s="1513"/>
      <c r="BD8" s="1513"/>
      <c r="BE8" s="1513"/>
      <c r="BF8" s="1513"/>
      <c r="BG8" s="1513"/>
      <c r="BH8" s="1513"/>
      <c r="BI8" s="1513"/>
      <c r="BJ8" s="1513"/>
      <c r="BK8" s="1513"/>
      <c r="BL8" s="1513"/>
      <c r="BM8" s="1513"/>
      <c r="BN8" s="1513"/>
      <c r="BO8" s="1513"/>
      <c r="BP8" s="1513"/>
      <c r="BQ8" s="1513"/>
      <c r="BR8" s="1513"/>
      <c r="BS8" s="1513"/>
      <c r="BT8" s="26"/>
    </row>
    <row r="9" spans="1:72" s="1755" customFormat="1" ht="12.75">
      <c r="A9" s="1748"/>
      <c r="B9" s="1748"/>
      <c r="C9" s="1748"/>
      <c r="D9" s="1748"/>
      <c r="E9" s="1748"/>
      <c r="F9" s="1748"/>
      <c r="G9" s="1202"/>
      <c r="H9" s="1756" t="s">
        <v>1717</v>
      </c>
      <c r="I9" s="1757" t="s">
        <v>3126</v>
      </c>
      <c r="J9" s="918"/>
      <c r="K9" s="1757" t="s">
        <v>3127</v>
      </c>
      <c r="L9" s="918"/>
      <c r="M9" s="1757" t="s">
        <v>3127</v>
      </c>
      <c r="N9" s="918"/>
      <c r="O9" s="1757"/>
      <c r="P9" s="918"/>
      <c r="Q9" s="1757"/>
      <c r="R9" s="918"/>
      <c r="S9" s="1757"/>
      <c r="T9" s="918"/>
      <c r="U9" s="1757"/>
      <c r="V9" s="918"/>
      <c r="W9" s="1757"/>
      <c r="X9" s="1758"/>
      <c r="Y9" s="1757"/>
      <c r="Z9" s="918"/>
      <c r="AA9" s="1757"/>
      <c r="AB9" s="918"/>
      <c r="AC9" s="1749"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59"/>
      <c r="AT9" s="1748"/>
      <c r="AU9" s="1748" t="s">
        <v>1720</v>
      </c>
      <c r="AV9" s="1202"/>
      <c r="AW9" s="1731"/>
      <c r="AX9" s="1202"/>
      <c r="AY9" s="28"/>
      <c r="AZ9" s="28" t="s">
        <v>1710</v>
      </c>
      <c r="BA9" s="1760" t="s">
        <v>1721</v>
      </c>
      <c r="BB9" s="1761"/>
      <c r="BC9" s="1220"/>
      <c r="BD9" s="1220"/>
      <c r="BE9" s="1220"/>
      <c r="BF9" s="1220"/>
      <c r="BG9" s="1220"/>
      <c r="BH9" s="1220"/>
      <c r="BI9" s="1220"/>
      <c r="BJ9" s="1220"/>
      <c r="BK9" s="1762"/>
      <c r="BL9" s="15" t="s">
        <v>1722</v>
      </c>
      <c r="BM9" s="1513"/>
      <c r="BN9" s="1751"/>
      <c r="BO9" s="1513"/>
      <c r="BP9" s="1513"/>
      <c r="BQ9" s="1513"/>
      <c r="BR9" s="1513"/>
      <c r="BS9" s="1513"/>
      <c r="BT9" s="26"/>
    </row>
    <row r="10" spans="1:72" s="1755" customFormat="1" ht="12.75">
      <c r="A10" s="1748"/>
      <c r="B10" s="1748"/>
      <c r="C10" s="1748"/>
      <c r="D10" s="1748"/>
      <c r="E10" s="1748"/>
      <c r="F10" s="1748"/>
      <c r="G10" s="1202"/>
      <c r="H10" s="28"/>
      <c r="I10" s="1757" t="s">
        <v>6</v>
      </c>
      <c r="J10" s="918"/>
      <c r="K10" s="1763" t="s">
        <v>6</v>
      </c>
      <c r="L10" s="918"/>
      <c r="M10" s="1763" t="s">
        <v>3128</v>
      </c>
      <c r="N10" s="918"/>
      <c r="O10" s="1763"/>
      <c r="P10" s="918"/>
      <c r="Q10" s="1763"/>
      <c r="R10" s="918"/>
      <c r="S10" s="1763"/>
      <c r="T10" s="918"/>
      <c r="U10" s="1763"/>
      <c r="V10" s="918"/>
      <c r="W10" s="1763"/>
      <c r="X10" s="918"/>
      <c r="Y10" s="1763"/>
      <c r="Z10" s="918"/>
      <c r="AA10" s="1763"/>
      <c r="AB10" s="918"/>
      <c r="AC10" s="1202"/>
      <c r="AD10" s="15" t="s">
        <v>1723</v>
      </c>
      <c r="AE10" s="1764"/>
      <c r="AF10" s="15" t="s">
        <v>1723</v>
      </c>
      <c r="AG10" s="1764"/>
      <c r="AH10" s="15" t="s">
        <v>1724</v>
      </c>
      <c r="AI10" s="1764"/>
      <c r="AJ10" s="15" t="s">
        <v>1724</v>
      </c>
      <c r="AK10" s="1764"/>
      <c r="AL10" s="15" t="s">
        <v>1725</v>
      </c>
      <c r="AM10" s="1208"/>
      <c r="AN10" s="15" t="s">
        <v>1725</v>
      </c>
      <c r="AO10" s="1208"/>
      <c r="AP10" s="15" t="s">
        <v>1726</v>
      </c>
      <c r="AQ10" s="1208"/>
      <c r="AR10" s="15" t="s">
        <v>1726</v>
      </c>
      <c r="AS10" s="1208"/>
      <c r="AT10" s="1748"/>
      <c r="AU10" s="1748"/>
      <c r="AV10" s="1202"/>
      <c r="AW10" s="1731"/>
      <c r="AX10" s="1202"/>
      <c r="AY10" s="28"/>
      <c r="AZ10" s="28"/>
      <c r="BA10" s="1765" t="s">
        <v>1717</v>
      </c>
      <c r="BB10" s="1766"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2" t="str">
        <f>AD9</f>
        <v>地上</v>
      </c>
      <c r="BN10" s="29" t="str">
        <f>AF9</f>
        <v>地下</v>
      </c>
      <c r="BO10" s="1512" t="str">
        <f>AH9</f>
        <v>地上</v>
      </c>
      <c r="BP10" s="29" t="str">
        <f>AJ9</f>
        <v>地下</v>
      </c>
      <c r="BQ10" s="1512" t="str">
        <f>AL9</f>
        <v>地上</v>
      </c>
      <c r="BR10" s="29" t="str">
        <f>AN9</f>
        <v>地下</v>
      </c>
      <c r="BS10" s="1512" t="str">
        <f>AP9</f>
        <v>地上</v>
      </c>
      <c r="BT10" s="1767" t="str">
        <f>AR9</f>
        <v>地下</v>
      </c>
    </row>
    <row r="11" spans="1:72" s="1755" customFormat="1" ht="12.75">
      <c r="A11" s="1748"/>
      <c r="B11" s="1748"/>
      <c r="C11" s="1748"/>
      <c r="D11" s="1748"/>
      <c r="E11" s="1748"/>
      <c r="F11" s="1748"/>
      <c r="G11" s="1202"/>
      <c r="H11" s="1765"/>
      <c r="I11" s="1768"/>
      <c r="J11" s="1769"/>
      <c r="K11" s="1768"/>
      <c r="L11" s="1769"/>
      <c r="M11" s="1768"/>
      <c r="N11" s="1769"/>
      <c r="O11" s="1768"/>
      <c r="P11" s="1769"/>
      <c r="Q11" s="1768"/>
      <c r="R11" s="1769"/>
      <c r="S11" s="1768"/>
      <c r="T11" s="1769"/>
      <c r="U11" s="1768"/>
      <c r="V11" s="1769"/>
      <c r="W11" s="1768"/>
      <c r="X11" s="1769"/>
      <c r="Y11" s="1768"/>
      <c r="Z11" s="1769"/>
      <c r="AA11" s="1768"/>
      <c r="AB11" s="1769"/>
      <c r="AC11" s="1202"/>
      <c r="AD11" s="1770" t="s">
        <v>1727</v>
      </c>
      <c r="AE11" s="1514"/>
      <c r="AF11" s="1770" t="s">
        <v>1727</v>
      </c>
      <c r="AG11" s="1514"/>
      <c r="AH11" s="1770" t="s">
        <v>1728</v>
      </c>
      <c r="AI11" s="1771"/>
      <c r="AJ11" s="1770" t="s">
        <v>1728</v>
      </c>
      <c r="AK11" s="1514"/>
      <c r="AL11" s="1512"/>
      <c r="AM11" s="1514"/>
      <c r="AN11" s="1512"/>
      <c r="AO11" s="1514"/>
      <c r="AP11" s="1512"/>
      <c r="AQ11" s="1514"/>
      <c r="AR11" s="1512"/>
      <c r="AS11" s="1514"/>
      <c r="AT11" s="1731"/>
      <c r="AU11" s="1748"/>
      <c r="AV11" s="1202"/>
      <c r="AW11" s="1731"/>
      <c r="AX11" s="1202"/>
      <c r="AY11" s="28"/>
      <c r="AZ11" s="28"/>
      <c r="BA11" s="28"/>
      <c r="BB11" s="1753" t="str">
        <f>I10</f>
        <v>工业</v>
      </c>
      <c r="BC11" s="1753" t="str">
        <f>K10</f>
        <v>工业</v>
      </c>
      <c r="BD11" s="1753" t="str">
        <f>M10</f>
        <v>车库</v>
      </c>
      <c r="BE11" s="1753">
        <f>O10</f>
        <v>0</v>
      </c>
      <c r="BF11" s="1753">
        <f>Q10</f>
        <v>0</v>
      </c>
      <c r="BG11" s="1753">
        <f>S10</f>
        <v>0</v>
      </c>
      <c r="BH11" s="1753">
        <f>U10</f>
        <v>0</v>
      </c>
      <c r="BI11" s="1753">
        <f>W10</f>
        <v>0</v>
      </c>
      <c r="BJ11" s="1753">
        <f>Y10</f>
        <v>0</v>
      </c>
      <c r="BK11" s="1753">
        <f>AA10</f>
        <v>0</v>
      </c>
      <c r="BL11" s="1202"/>
      <c r="BM11" s="1512" t="str">
        <f>AD10</f>
        <v>公共配套设施</v>
      </c>
      <c r="BN11" s="1512" t="str">
        <f>AF10</f>
        <v>公共配套设施</v>
      </c>
      <c r="BO11" s="24" t="str">
        <f>AH10</f>
        <v>物业管理用房</v>
      </c>
      <c r="BP11" s="24" t="str">
        <f>AJ10</f>
        <v>物业管理用房</v>
      </c>
      <c r="BQ11" s="24" t="str">
        <f>AL10</f>
        <v>设备及其他</v>
      </c>
      <c r="BR11" s="24" t="str">
        <f>AN10</f>
        <v>设备及其他</v>
      </c>
      <c r="BS11" s="25" t="str">
        <f>AP10</f>
        <v>未注明</v>
      </c>
      <c r="BT11" s="1772" t="str">
        <f>AR10</f>
        <v>未注明</v>
      </c>
    </row>
    <row r="12" spans="1:72" s="1733" customFormat="1" ht="12.75">
      <c r="A12" s="1773"/>
      <c r="B12" s="1773"/>
      <c r="C12" s="1773"/>
      <c r="D12" s="1773"/>
      <c r="E12" s="1773"/>
      <c r="F12" s="1773"/>
      <c r="G12" s="30"/>
      <c r="H12" s="1774"/>
      <c r="I12" s="1502"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9" t="s">
        <v>1730</v>
      </c>
      <c r="W12" s="11" t="s">
        <v>1729</v>
      </c>
      <c r="X12" s="11" t="s">
        <v>1730</v>
      </c>
      <c r="Y12" s="11" t="s">
        <v>1729</v>
      </c>
      <c r="Z12" s="11" t="s">
        <v>1730</v>
      </c>
      <c r="AA12" s="11" t="s">
        <v>1729</v>
      </c>
      <c r="AB12" s="11" t="s">
        <v>1730</v>
      </c>
      <c r="AC12" s="1775"/>
      <c r="AD12" s="1502"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3" t="s">
        <v>1730</v>
      </c>
      <c r="AT12" s="1776"/>
      <c r="AU12" s="1773"/>
      <c r="AV12" s="31"/>
      <c r="AW12" s="1732"/>
      <c r="AX12" s="31"/>
      <c r="AY12" s="1777"/>
      <c r="AZ12" s="28"/>
      <c r="BA12" s="1765"/>
      <c r="BB12" s="24">
        <f>I11</f>
        <v>0</v>
      </c>
      <c r="BC12" s="1778">
        <f>K11</f>
        <v>0</v>
      </c>
      <c r="BD12" s="1778">
        <f>M11</f>
        <v>0</v>
      </c>
      <c r="BE12" s="1753">
        <f>O11</f>
        <v>0</v>
      </c>
      <c r="BF12" s="1753">
        <f>Q11</f>
        <v>0</v>
      </c>
      <c r="BG12" s="1753">
        <f>S11</f>
        <v>0</v>
      </c>
      <c r="BH12" s="1753">
        <f>U11</f>
        <v>0</v>
      </c>
      <c r="BI12" s="1753">
        <f>W11</f>
        <v>0</v>
      </c>
      <c r="BJ12" s="1753">
        <f>Y11</f>
        <v>0</v>
      </c>
      <c r="BK12" s="1753">
        <f>AA11</f>
        <v>0</v>
      </c>
      <c r="BL12" s="1202"/>
      <c r="BM12" s="1512" t="str">
        <f>AD11</f>
        <v>（住宅）</v>
      </c>
      <c r="BN12" s="1512" t="str">
        <f>AF11</f>
        <v>（住宅）</v>
      </c>
      <c r="BO12" s="24" t="str">
        <f>AH11</f>
        <v>（住宅、计出让金）</v>
      </c>
      <c r="BP12" s="24" t="str">
        <f>AJ11</f>
        <v>（住宅、计出让金）</v>
      </c>
      <c r="BQ12" s="24">
        <f>AL11</f>
        <v>0</v>
      </c>
      <c r="BR12" s="24">
        <f>AN11</f>
        <v>0</v>
      </c>
      <c r="BS12" s="25">
        <f>AP11</f>
        <v>0</v>
      </c>
      <c r="BT12" s="1772">
        <f>AR11</f>
        <v>0</v>
      </c>
    </row>
    <row r="13" spans="1:72" s="1733" customFormat="1" ht="12.75">
      <c r="A13" s="1182"/>
      <c r="B13" s="1182"/>
      <c r="C13" s="3206" t="s">
        <v>3121</v>
      </c>
      <c r="D13" s="1779" t="s">
        <v>3125</v>
      </c>
      <c r="E13" s="16">
        <f>IF($C$3="是",ROUND($A$3*G13/$B$3,2),ROUND($A$3*(G13-AT13)/$B$3,2))</f>
        <v>2238.59</v>
      </c>
      <c r="F13" s="32"/>
      <c r="G13" s="33">
        <f>H13+AC13+AT13</f>
        <v>2745.55</v>
      </c>
      <c r="H13" s="20">
        <f>SUMIF(I$12:AB$12,"总值",I13:AB13)</f>
        <v>2745.55</v>
      </c>
      <c r="I13" s="1780">
        <v>1223.05</v>
      </c>
      <c r="J13" s="1780"/>
      <c r="K13" s="1780">
        <v>1522.5</v>
      </c>
      <c r="L13" s="1780"/>
      <c r="M13" s="1780"/>
      <c r="N13" s="1780"/>
      <c r="O13" s="1780"/>
      <c r="P13" s="1780"/>
      <c r="Q13" s="1780"/>
      <c r="R13" s="1780"/>
      <c r="S13" s="1780"/>
      <c r="T13" s="1780"/>
      <c r="U13" s="1780"/>
      <c r="V13" s="1780"/>
      <c r="W13" s="1780"/>
      <c r="X13" s="1780"/>
      <c r="Y13" s="1780"/>
      <c r="Z13" s="1780"/>
      <c r="AA13" s="1780"/>
      <c r="AB13" s="1780"/>
      <c r="AC13" s="16">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t="str">
        <f t="shared" si="6"/>
        <v>1号楼</v>
      </c>
      <c r="AY13" s="1502">
        <f>ROUND($AY$6*AZ13/$AZ$5,2)</f>
        <v>2238.59</v>
      </c>
      <c r="AZ13" s="16">
        <f>BA13+BL13</f>
        <v>2745.55</v>
      </c>
      <c r="BA13" s="16">
        <f>SUM(BB13:BK13)</f>
        <v>2745.55</v>
      </c>
      <c r="BB13" s="16">
        <f>IF($D13="是",I13-J13,0)</f>
        <v>1223.05</v>
      </c>
      <c r="BC13" s="16">
        <f>IF($D13="是",K13-L13,0)</f>
        <v>1522.5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3" customFormat="1" ht="12.75">
      <c r="A14" s="1182"/>
      <c r="B14" s="1182"/>
      <c r="C14" s="3206" t="s">
        <v>3122</v>
      </c>
      <c r="D14" s="1779" t="s">
        <v>3125</v>
      </c>
      <c r="E14" s="16">
        <f>IF($C$3="是",ROUND($A$3*G14/$B$3,2),ROUND($A$3*(G14-AT14)/$B$3,2))</f>
        <v>1626.3</v>
      </c>
      <c r="F14" s="32"/>
      <c r="G14" s="33">
        <f>H14+AC14+AT14</f>
        <v>1994.6</v>
      </c>
      <c r="H14" s="20">
        <f>SUMIF(I$12:AB$12,"总值",I14:AB14)</f>
        <v>1994.6</v>
      </c>
      <c r="I14" s="1780">
        <v>609.30999999999995</v>
      </c>
      <c r="J14" s="1780"/>
      <c r="K14" s="1780">
        <v>1385.29</v>
      </c>
      <c r="L14" s="1780"/>
      <c r="M14" s="1780"/>
      <c r="N14" s="1780"/>
      <c r="O14" s="1780"/>
      <c r="P14" s="1780"/>
      <c r="Q14" s="1780"/>
      <c r="R14" s="1780"/>
      <c r="S14" s="1780"/>
      <c r="T14" s="1780"/>
      <c r="U14" s="1780"/>
      <c r="V14" s="1780"/>
      <c r="W14" s="1780"/>
      <c r="X14" s="1780"/>
      <c r="Y14" s="1780"/>
      <c r="Z14" s="1780"/>
      <c r="AA14" s="1780"/>
      <c r="AB14" s="1780"/>
      <c r="AC14" s="16">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t="str">
        <f t="shared" si="6"/>
        <v>2号楼</v>
      </c>
      <c r="AY14" s="1502">
        <f>ROUND($AY$6*AZ14/$AZ$5,2)</f>
        <v>1626.3</v>
      </c>
      <c r="AZ14" s="16">
        <f>BA14+BL14</f>
        <v>1994.6</v>
      </c>
      <c r="BA14" s="16">
        <f>SUM(BB14:BK14)</f>
        <v>1994.6</v>
      </c>
      <c r="BB14" s="16">
        <f>IF($D14="是",I14-J14,0)</f>
        <v>609.30999999999995</v>
      </c>
      <c r="BC14" s="16">
        <f>IF($D14="是",K14-L14,0)</f>
        <v>1385.29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3" customFormat="1" ht="12.75">
      <c r="A15" s="1182"/>
      <c r="B15" s="1182"/>
      <c r="C15" s="3206" t="s">
        <v>3123</v>
      </c>
      <c r="D15" s="1779" t="s">
        <v>3125</v>
      </c>
      <c r="E15" s="16">
        <f>IF($C$3="是",ROUND($A$3*G15/$B$3,2),ROUND($A$3*(G15-AT15)/$B$3,2))</f>
        <v>2366.4</v>
      </c>
      <c r="F15" s="32"/>
      <c r="G15" s="33">
        <f>H15+AC15+AT15</f>
        <v>2902.3100000000004</v>
      </c>
      <c r="H15" s="20">
        <f>SUMIF(I$12:AB$12,"总值",I15:AB15)</f>
        <v>2902.3100000000004</v>
      </c>
      <c r="I15" s="1780">
        <v>1258.6400000000001</v>
      </c>
      <c r="J15" s="1780"/>
      <c r="K15" s="1780">
        <v>1643.67</v>
      </c>
      <c r="L15" s="1780"/>
      <c r="M15" s="1780"/>
      <c r="N15" s="1780"/>
      <c r="O15" s="1780"/>
      <c r="P15" s="1780"/>
      <c r="Q15" s="1780"/>
      <c r="R15" s="1780"/>
      <c r="S15" s="1780"/>
      <c r="T15" s="1780"/>
      <c r="U15" s="1780"/>
      <c r="V15" s="1780"/>
      <c r="W15" s="1780"/>
      <c r="X15" s="1780"/>
      <c r="Y15" s="1780"/>
      <c r="Z15" s="1780"/>
      <c r="AA15" s="1780"/>
      <c r="AB15" s="1780"/>
      <c r="AC15" s="16">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t="str">
        <f t="shared" si="6"/>
        <v>3号楼</v>
      </c>
      <c r="AY15" s="1502">
        <f>ROUND($AY$6*AZ15/$AZ$5,2)</f>
        <v>2366.4</v>
      </c>
      <c r="AZ15" s="16">
        <f>BA15+BL15</f>
        <v>2902.3100000000004</v>
      </c>
      <c r="BA15" s="16">
        <f>SUM(BB15:BK15)</f>
        <v>2902.3100000000004</v>
      </c>
      <c r="BB15" s="16">
        <f>IF($D15="是",I15-J15,0)</f>
        <v>1258.6400000000001</v>
      </c>
      <c r="BC15" s="16">
        <f>IF($D15="是",K15-L15,0)</f>
        <v>1643.67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3" customFormat="1" ht="12.75">
      <c r="A16" s="1182"/>
      <c r="B16" s="1182"/>
      <c r="C16" s="3206" t="s">
        <v>3124</v>
      </c>
      <c r="D16" s="1779" t="s">
        <v>3125</v>
      </c>
      <c r="E16" s="16">
        <f>IF($C$3="是",ROUND($A$3*G16/$B$3,2),ROUND($A$3*(G16-AT16)/$B$3,2))</f>
        <v>2415.9299999999998</v>
      </c>
      <c r="F16" s="32"/>
      <c r="G16" s="33">
        <f>H16+AC16+AT16</f>
        <v>2963.05</v>
      </c>
      <c r="H16" s="20">
        <f>SUMIF(I$12:AB$12,"总值",I16:AB16)</f>
        <v>2963.05</v>
      </c>
      <c r="I16" s="1780">
        <v>1272.97</v>
      </c>
      <c r="J16" s="1780"/>
      <c r="K16" s="1780">
        <v>1690.08</v>
      </c>
      <c r="L16" s="1780"/>
      <c r="M16" s="1780"/>
      <c r="N16" s="1780"/>
      <c r="O16" s="1780"/>
      <c r="P16" s="1780"/>
      <c r="Q16" s="1780"/>
      <c r="R16" s="1780"/>
      <c r="S16" s="1780"/>
      <c r="T16" s="1780"/>
      <c r="U16" s="1780"/>
      <c r="V16" s="1780"/>
      <c r="W16" s="1780"/>
      <c r="X16" s="1780"/>
      <c r="Y16" s="1780"/>
      <c r="Z16" s="1780"/>
      <c r="AA16" s="1780"/>
      <c r="AB16" s="1780"/>
      <c r="AC16" s="16">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t="str">
        <f t="shared" si="6"/>
        <v>4号楼</v>
      </c>
      <c r="AY16" s="1502">
        <f>ROUND($AY$6*AZ16/$AZ$5,2)</f>
        <v>2415.9299999999998</v>
      </c>
      <c r="AZ16" s="16">
        <f>BA16+BL16</f>
        <v>2963.05</v>
      </c>
      <c r="BA16" s="16">
        <f>SUM(BB16:BK16)</f>
        <v>2963.05</v>
      </c>
      <c r="BB16" s="16">
        <f>IF($D16="是",I16-J16,0)</f>
        <v>1272.97</v>
      </c>
      <c r="BC16" s="16">
        <f>IF($D16="是",K16-L16,0)</f>
        <v>1690.08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3" customFormat="1" ht="12.75">
      <c r="A17" s="1182"/>
      <c r="B17" s="1182"/>
      <c r="C17" s="3207" t="s">
        <v>48</v>
      </c>
      <c r="D17" s="1779" t="s">
        <v>3125</v>
      </c>
      <c r="E17" s="16">
        <f>IF($C$3="是",ROUND($A$3*G17/$B$3,2),ROUND($A$3*(G17-AT17)/$B$3,2))</f>
        <v>6768.68</v>
      </c>
      <c r="F17" s="32"/>
      <c r="G17" s="33">
        <f>H17+AC17+AT17</f>
        <v>8301.5399999999991</v>
      </c>
      <c r="H17" s="20">
        <f>SUMIF(I$12:AB$12,"总值",I17:AB17)</f>
        <v>8266.82</v>
      </c>
      <c r="I17" s="1780"/>
      <c r="J17" s="1780"/>
      <c r="K17" s="1780"/>
      <c r="L17" s="1780"/>
      <c r="M17" s="1780">
        <f>8266.82</f>
        <v>8266.82</v>
      </c>
      <c r="N17" s="1780"/>
      <c r="O17" s="1780"/>
      <c r="P17" s="1780"/>
      <c r="Q17" s="1780"/>
      <c r="R17" s="1780"/>
      <c r="S17" s="1780"/>
      <c r="T17" s="1780"/>
      <c r="U17" s="1780"/>
      <c r="V17" s="1780"/>
      <c r="W17" s="1780"/>
      <c r="X17" s="1780"/>
      <c r="Y17" s="1780"/>
      <c r="Z17" s="1780"/>
      <c r="AA17" s="1780"/>
      <c r="AB17" s="1780"/>
      <c r="AC17" s="16">
        <f>SUMIF(AD$12:AS$12,"总值",AD17:AS17)</f>
        <v>34.72</v>
      </c>
      <c r="AD17" s="1781"/>
      <c r="AE17" s="1781"/>
      <c r="AF17" s="1781"/>
      <c r="AG17" s="1781"/>
      <c r="AH17" s="1781"/>
      <c r="AI17" s="1781"/>
      <c r="AJ17" s="1781"/>
      <c r="AK17" s="1781"/>
      <c r="AL17" s="1781">
        <v>34.72</v>
      </c>
      <c r="AM17" s="1781"/>
      <c r="AN17" s="1781"/>
      <c r="AO17" s="1781"/>
      <c r="AP17" s="1781"/>
      <c r="AQ17" s="1781"/>
      <c r="AR17" s="1781"/>
      <c r="AS17" s="1781"/>
      <c r="AT17" s="1782"/>
      <c r="AU17" s="1783"/>
      <c r="AV17" s="11">
        <f t="shared" si="6"/>
        <v>0</v>
      </c>
      <c r="AW17" s="11">
        <f t="shared" si="6"/>
        <v>0</v>
      </c>
      <c r="AX17" s="11" t="str">
        <f t="shared" si="6"/>
        <v>地下车库</v>
      </c>
      <c r="AY17" s="1502">
        <f>ROUND($AY$6*AZ17/$AZ$5,2)</f>
        <v>6768.68</v>
      </c>
      <c r="AZ17" s="16">
        <f>BA17+BL17</f>
        <v>8301.5399999999991</v>
      </c>
      <c r="BA17" s="16">
        <f>SUM(BB17:BK17)</f>
        <v>8266.82</v>
      </c>
      <c r="BB17" s="16">
        <f>IF($D17="是",I17-J17,0)</f>
        <v>0</v>
      </c>
      <c r="BC17" s="16">
        <f>IF($D17="是",K17-L17,0)</f>
        <v>0</v>
      </c>
      <c r="BD17" s="16">
        <f>IF($D17="是",M17-N17,0)</f>
        <v>8266.82</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34.72</v>
      </c>
      <c r="BM17" s="16">
        <f>IF($D17="是",AD17-AE17,0)</f>
        <v>0</v>
      </c>
      <c r="BN17" s="16">
        <f>IF($D17="是",AF17-AG17,0)</f>
        <v>0</v>
      </c>
      <c r="BO17" s="16">
        <f>IF($D17="是",AH17-AI17,0)</f>
        <v>0</v>
      </c>
      <c r="BP17" s="16">
        <f>IF($D17="是",AJ17-AK17,0)</f>
        <v>0</v>
      </c>
      <c r="BQ17" s="16">
        <f>IF($D17="是",AL17-AM17,0)</f>
        <v>34.72</v>
      </c>
      <c r="BR17" s="16">
        <f>IF($D17="是",AN17-AO17,0)</f>
        <v>0</v>
      </c>
      <c r="BS17" s="16">
        <f>IF($D17="是",AP17-AQ17,0)</f>
        <v>0</v>
      </c>
      <c r="BT17" s="22">
        <f>IF($D17="是",AR17-AS17,0)</f>
        <v>0</v>
      </c>
    </row>
    <row r="18" spans="1:72">
      <c r="A18" s="9"/>
      <c r="B18" s="34"/>
      <c r="C18" s="34"/>
      <c r="D18" s="178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5"/>
      <c r="AV18" s="1496">
        <f t="shared" ref="AV18:AV112" si="11">A18</f>
        <v>0</v>
      </c>
      <c r="AW18" s="1496">
        <f t="shared" ref="AW18:AW112" si="12">B18</f>
        <v>0</v>
      </c>
      <c r="AX18" s="14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5"/>
      <c r="AV19" s="1496">
        <f t="shared" si="11"/>
        <v>0</v>
      </c>
      <c r="AW19" s="1496">
        <f t="shared" si="12"/>
        <v>0</v>
      </c>
      <c r="AX19" s="14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5"/>
      <c r="AV20" s="1496">
        <f t="shared" si="11"/>
        <v>0</v>
      </c>
      <c r="AW20" s="1496">
        <f t="shared" si="12"/>
        <v>0</v>
      </c>
      <c r="AX20" s="14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5"/>
      <c r="AV21" s="1496">
        <f t="shared" si="11"/>
        <v>0</v>
      </c>
      <c r="AW21" s="1496">
        <f t="shared" si="12"/>
        <v>0</v>
      </c>
      <c r="AX21" s="14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5"/>
      <c r="AV22" s="1496">
        <f t="shared" si="11"/>
        <v>0</v>
      </c>
      <c r="AW22" s="1496">
        <f t="shared" si="12"/>
        <v>0</v>
      </c>
      <c r="AX22" s="14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5"/>
      <c r="AV23" s="1496">
        <f t="shared" si="11"/>
        <v>0</v>
      </c>
      <c r="AW23" s="1496">
        <f t="shared" si="12"/>
        <v>0</v>
      </c>
      <c r="AX23" s="14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5"/>
      <c r="AV24" s="1496">
        <f t="shared" si="11"/>
        <v>0</v>
      </c>
      <c r="AW24" s="1496">
        <f t="shared" si="12"/>
        <v>0</v>
      </c>
      <c r="AX24" s="14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5"/>
      <c r="AV25" s="1496">
        <f t="shared" si="11"/>
        <v>0</v>
      </c>
      <c r="AW25" s="1496">
        <f t="shared" si="12"/>
        <v>0</v>
      </c>
      <c r="AX25" s="14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5"/>
      <c r="AV26" s="1496">
        <f t="shared" si="11"/>
        <v>0</v>
      </c>
      <c r="AW26" s="1496">
        <f t="shared" si="12"/>
        <v>0</v>
      </c>
      <c r="AX26" s="14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5"/>
      <c r="AV27" s="1496">
        <f t="shared" si="11"/>
        <v>0</v>
      </c>
      <c r="AW27" s="1496">
        <f t="shared" si="12"/>
        <v>0</v>
      </c>
      <c r="AX27" s="14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5"/>
      <c r="AV28" s="1496">
        <f t="shared" si="11"/>
        <v>0</v>
      </c>
      <c r="AW28" s="1496">
        <f t="shared" si="12"/>
        <v>0</v>
      </c>
      <c r="AX28" s="14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5"/>
      <c r="AV29" s="1496">
        <f t="shared" si="11"/>
        <v>0</v>
      </c>
      <c r="AW29" s="1496">
        <f t="shared" si="12"/>
        <v>0</v>
      </c>
      <c r="AX29" s="14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5"/>
      <c r="AV30" s="1496">
        <f t="shared" si="11"/>
        <v>0</v>
      </c>
      <c r="AW30" s="1496">
        <f t="shared" si="12"/>
        <v>0</v>
      </c>
      <c r="AX30" s="14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5"/>
      <c r="AV31" s="1496">
        <f t="shared" si="11"/>
        <v>0</v>
      </c>
      <c r="AW31" s="1496">
        <f t="shared" si="12"/>
        <v>0</v>
      </c>
      <c r="AX31" s="14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5"/>
      <c r="AV32" s="1496">
        <f t="shared" si="11"/>
        <v>0</v>
      </c>
      <c r="AW32" s="1496">
        <f t="shared" si="12"/>
        <v>0</v>
      </c>
      <c r="AX32" s="14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5"/>
      <c r="AV33" s="1496">
        <f t="shared" si="11"/>
        <v>0</v>
      </c>
      <c r="AW33" s="1496">
        <f t="shared" si="12"/>
        <v>0</v>
      </c>
      <c r="AX33" s="14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5"/>
      <c r="AV34" s="1496">
        <f t="shared" si="11"/>
        <v>0</v>
      </c>
      <c r="AW34" s="1496">
        <f t="shared" si="12"/>
        <v>0</v>
      </c>
      <c r="AX34" s="14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5"/>
      <c r="AV35" s="1496">
        <f t="shared" si="11"/>
        <v>0</v>
      </c>
      <c r="AW35" s="1496">
        <f t="shared" si="12"/>
        <v>0</v>
      </c>
      <c r="AX35" s="14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5"/>
      <c r="AV36" s="1496">
        <f t="shared" si="11"/>
        <v>0</v>
      </c>
      <c r="AW36" s="1496">
        <f t="shared" si="12"/>
        <v>0</v>
      </c>
      <c r="AX36" s="14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5"/>
      <c r="AV37" s="1496">
        <f t="shared" si="11"/>
        <v>0</v>
      </c>
      <c r="AW37" s="1496">
        <f t="shared" si="12"/>
        <v>0</v>
      </c>
      <c r="AX37" s="14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5"/>
      <c r="AV38" s="1496">
        <f t="shared" si="11"/>
        <v>0</v>
      </c>
      <c r="AW38" s="1496">
        <f t="shared" si="12"/>
        <v>0</v>
      </c>
      <c r="AX38" s="14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5"/>
      <c r="AV39" s="1496">
        <f t="shared" si="11"/>
        <v>0</v>
      </c>
      <c r="AW39" s="1496">
        <f t="shared" si="12"/>
        <v>0</v>
      </c>
      <c r="AX39" s="14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5"/>
      <c r="AV40" s="1496">
        <f t="shared" si="11"/>
        <v>0</v>
      </c>
      <c r="AW40" s="1496">
        <f t="shared" si="12"/>
        <v>0</v>
      </c>
      <c r="AX40" s="14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5"/>
      <c r="AV41" s="1496">
        <f t="shared" si="11"/>
        <v>0</v>
      </c>
      <c r="AW41" s="1496">
        <f t="shared" si="12"/>
        <v>0</v>
      </c>
      <c r="AX41" s="14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5"/>
      <c r="AV42" s="1496">
        <f t="shared" si="11"/>
        <v>0</v>
      </c>
      <c r="AW42" s="1496">
        <f t="shared" si="12"/>
        <v>0</v>
      </c>
      <c r="AX42" s="14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5"/>
      <c r="AV43" s="1496">
        <f t="shared" si="11"/>
        <v>0</v>
      </c>
      <c r="AW43" s="1496">
        <f t="shared" si="12"/>
        <v>0</v>
      </c>
      <c r="AX43" s="14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5"/>
      <c r="AV44" s="1496">
        <f t="shared" si="11"/>
        <v>0</v>
      </c>
      <c r="AW44" s="1496">
        <f t="shared" si="12"/>
        <v>0</v>
      </c>
      <c r="AX44" s="14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5"/>
      <c r="AV45" s="1496">
        <f t="shared" si="11"/>
        <v>0</v>
      </c>
      <c r="AW45" s="1496">
        <f t="shared" si="12"/>
        <v>0</v>
      </c>
      <c r="AX45" s="14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5"/>
      <c r="AV46" s="1496">
        <f t="shared" si="11"/>
        <v>0</v>
      </c>
      <c r="AW46" s="1496">
        <f t="shared" si="12"/>
        <v>0</v>
      </c>
      <c r="AX46" s="14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5"/>
      <c r="AV47" s="1496">
        <f t="shared" si="11"/>
        <v>0</v>
      </c>
      <c r="AW47" s="1496">
        <f t="shared" si="12"/>
        <v>0</v>
      </c>
      <c r="AX47" s="14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5"/>
      <c r="AV48" s="1496">
        <f t="shared" si="11"/>
        <v>0</v>
      </c>
      <c r="AW48" s="1496">
        <f t="shared" si="12"/>
        <v>0</v>
      </c>
      <c r="AX48" s="14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5"/>
      <c r="AV49" s="1496">
        <f t="shared" si="11"/>
        <v>0</v>
      </c>
      <c r="AW49" s="1496">
        <f t="shared" si="12"/>
        <v>0</v>
      </c>
      <c r="AX49" s="14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5"/>
      <c r="AV50" s="1496">
        <f t="shared" si="11"/>
        <v>0</v>
      </c>
      <c r="AW50" s="1496">
        <f t="shared" si="12"/>
        <v>0</v>
      </c>
      <c r="AX50" s="14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5"/>
      <c r="AV51" s="1496">
        <f t="shared" si="11"/>
        <v>0</v>
      </c>
      <c r="AW51" s="1496">
        <f t="shared" si="12"/>
        <v>0</v>
      </c>
      <c r="AX51" s="14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5"/>
      <c r="AV52" s="1496">
        <f t="shared" si="11"/>
        <v>0</v>
      </c>
      <c r="AW52" s="1496">
        <f t="shared" si="12"/>
        <v>0</v>
      </c>
      <c r="AX52" s="14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5"/>
      <c r="AV53" s="1496">
        <f t="shared" si="11"/>
        <v>0</v>
      </c>
      <c r="AW53" s="1496">
        <f t="shared" si="12"/>
        <v>0</v>
      </c>
      <c r="AX53" s="14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5"/>
      <c r="AV54" s="1496">
        <f t="shared" si="11"/>
        <v>0</v>
      </c>
      <c r="AW54" s="1496">
        <f t="shared" si="12"/>
        <v>0</v>
      </c>
      <c r="AX54" s="14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5"/>
      <c r="AV55" s="1496">
        <f t="shared" si="11"/>
        <v>0</v>
      </c>
      <c r="AW55" s="1496">
        <f t="shared" si="12"/>
        <v>0</v>
      </c>
      <c r="AX55" s="14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5"/>
      <c r="AV56" s="1496">
        <f t="shared" si="11"/>
        <v>0</v>
      </c>
      <c r="AW56" s="1496">
        <f t="shared" si="12"/>
        <v>0</v>
      </c>
      <c r="AX56" s="14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5"/>
      <c r="AV57" s="1496">
        <f t="shared" si="11"/>
        <v>0</v>
      </c>
      <c r="AW57" s="1496">
        <f t="shared" si="12"/>
        <v>0</v>
      </c>
      <c r="AX57" s="14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5"/>
      <c r="AV58" s="1496">
        <f t="shared" si="11"/>
        <v>0</v>
      </c>
      <c r="AW58" s="1496">
        <f t="shared" si="12"/>
        <v>0</v>
      </c>
      <c r="AX58" s="14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5"/>
      <c r="AV59" s="1496">
        <f t="shared" si="11"/>
        <v>0</v>
      </c>
      <c r="AW59" s="1496">
        <f t="shared" si="12"/>
        <v>0</v>
      </c>
      <c r="AX59" s="14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5"/>
      <c r="AV60" s="1496">
        <f t="shared" si="11"/>
        <v>0</v>
      </c>
      <c r="AW60" s="1496">
        <f t="shared" si="12"/>
        <v>0</v>
      </c>
      <c r="AX60" s="14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5"/>
      <c r="AV61" s="1496">
        <f t="shared" si="11"/>
        <v>0</v>
      </c>
      <c r="AW61" s="1496">
        <f t="shared" si="12"/>
        <v>0</v>
      </c>
      <c r="AX61" s="14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5"/>
      <c r="AV62" s="1496">
        <f t="shared" si="11"/>
        <v>0</v>
      </c>
      <c r="AW62" s="1496">
        <f t="shared" si="12"/>
        <v>0</v>
      </c>
      <c r="AX62" s="14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5"/>
      <c r="AV63" s="1496">
        <f t="shared" si="11"/>
        <v>0</v>
      </c>
      <c r="AW63" s="1496">
        <f t="shared" si="12"/>
        <v>0</v>
      </c>
      <c r="AX63" s="14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5"/>
      <c r="AV64" s="1496">
        <f t="shared" si="11"/>
        <v>0</v>
      </c>
      <c r="AW64" s="1496">
        <f t="shared" si="12"/>
        <v>0</v>
      </c>
      <c r="AX64" s="14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5"/>
      <c r="AV65" s="1496">
        <f t="shared" si="11"/>
        <v>0</v>
      </c>
      <c r="AW65" s="1496">
        <f t="shared" si="12"/>
        <v>0</v>
      </c>
      <c r="AX65" s="14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5"/>
      <c r="AV66" s="1496">
        <f t="shared" si="11"/>
        <v>0</v>
      </c>
      <c r="AW66" s="1496">
        <f t="shared" si="12"/>
        <v>0</v>
      </c>
      <c r="AX66" s="14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5"/>
      <c r="AV67" s="1496">
        <f t="shared" si="11"/>
        <v>0</v>
      </c>
      <c r="AW67" s="1496">
        <f t="shared" si="12"/>
        <v>0</v>
      </c>
      <c r="AX67" s="14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5"/>
      <c r="AV68" s="1496">
        <f t="shared" si="11"/>
        <v>0</v>
      </c>
      <c r="AW68" s="1496">
        <f t="shared" si="12"/>
        <v>0</v>
      </c>
      <c r="AX68" s="14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5"/>
      <c r="AV69" s="1496">
        <f t="shared" si="11"/>
        <v>0</v>
      </c>
      <c r="AW69" s="1496">
        <f t="shared" si="12"/>
        <v>0</v>
      </c>
      <c r="AX69" s="14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5"/>
      <c r="AV70" s="1496">
        <f t="shared" si="11"/>
        <v>0</v>
      </c>
      <c r="AW70" s="1496">
        <f t="shared" si="12"/>
        <v>0</v>
      </c>
      <c r="AX70" s="14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5"/>
      <c r="AV71" s="1496">
        <f t="shared" si="11"/>
        <v>0</v>
      </c>
      <c r="AW71" s="1496">
        <f t="shared" si="12"/>
        <v>0</v>
      </c>
      <c r="AX71" s="14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5"/>
      <c r="AV72" s="1496">
        <f t="shared" si="11"/>
        <v>0</v>
      </c>
      <c r="AW72" s="1496">
        <f t="shared" si="12"/>
        <v>0</v>
      </c>
      <c r="AX72" s="14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5"/>
      <c r="AV73" s="1496">
        <f t="shared" si="11"/>
        <v>0</v>
      </c>
      <c r="AW73" s="1496">
        <f t="shared" si="12"/>
        <v>0</v>
      </c>
      <c r="AX73" s="14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5"/>
      <c r="AV74" s="1496">
        <f t="shared" si="11"/>
        <v>0</v>
      </c>
      <c r="AW74" s="1496">
        <f t="shared" si="12"/>
        <v>0</v>
      </c>
      <c r="AX74" s="14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5"/>
      <c r="AV75" s="1496">
        <f t="shared" si="11"/>
        <v>0</v>
      </c>
      <c r="AW75" s="1496">
        <f t="shared" si="12"/>
        <v>0</v>
      </c>
      <c r="AX75" s="14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5"/>
      <c r="AV76" s="1496">
        <f t="shared" si="11"/>
        <v>0</v>
      </c>
      <c r="AW76" s="1496">
        <f t="shared" si="12"/>
        <v>0</v>
      </c>
      <c r="AX76" s="14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5"/>
      <c r="AV77" s="1496">
        <f t="shared" si="11"/>
        <v>0</v>
      </c>
      <c r="AW77" s="1496">
        <f t="shared" si="12"/>
        <v>0</v>
      </c>
      <c r="AX77" s="14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5"/>
      <c r="AV78" s="1496">
        <f t="shared" si="11"/>
        <v>0</v>
      </c>
      <c r="AW78" s="1496">
        <f t="shared" si="12"/>
        <v>0</v>
      </c>
      <c r="AX78" s="14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5"/>
      <c r="AV79" s="1496">
        <f t="shared" si="11"/>
        <v>0</v>
      </c>
      <c r="AW79" s="1496">
        <f t="shared" si="12"/>
        <v>0</v>
      </c>
      <c r="AX79" s="14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5"/>
      <c r="AV80" s="1496">
        <f t="shared" si="11"/>
        <v>0</v>
      </c>
      <c r="AW80" s="1496">
        <f t="shared" si="12"/>
        <v>0</v>
      </c>
      <c r="AX80" s="14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5"/>
      <c r="AV81" s="1496">
        <f t="shared" si="11"/>
        <v>0</v>
      </c>
      <c r="AW81" s="1496">
        <f t="shared" si="12"/>
        <v>0</v>
      </c>
      <c r="AX81" s="14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5"/>
      <c r="AV82" s="1496">
        <f t="shared" si="11"/>
        <v>0</v>
      </c>
      <c r="AW82" s="1496">
        <f t="shared" si="12"/>
        <v>0</v>
      </c>
      <c r="AX82" s="14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5"/>
      <c r="AV83" s="1496">
        <f t="shared" si="11"/>
        <v>0</v>
      </c>
      <c r="AW83" s="1496">
        <f t="shared" si="12"/>
        <v>0</v>
      </c>
      <c r="AX83" s="14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5"/>
      <c r="AV84" s="1496">
        <f t="shared" si="11"/>
        <v>0</v>
      </c>
      <c r="AW84" s="1496">
        <f t="shared" si="12"/>
        <v>0</v>
      </c>
      <c r="AX84" s="14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5"/>
      <c r="AV85" s="1496">
        <f t="shared" si="11"/>
        <v>0</v>
      </c>
      <c r="AW85" s="1496">
        <f t="shared" si="12"/>
        <v>0</v>
      </c>
      <c r="AX85" s="14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5"/>
      <c r="AV86" s="1496">
        <f t="shared" si="11"/>
        <v>0</v>
      </c>
      <c r="AW86" s="1496">
        <f t="shared" si="12"/>
        <v>0</v>
      </c>
      <c r="AX86" s="14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5"/>
      <c r="AV87" s="1496">
        <f t="shared" si="11"/>
        <v>0</v>
      </c>
      <c r="AW87" s="1496">
        <f t="shared" si="12"/>
        <v>0</v>
      </c>
      <c r="AX87" s="14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5"/>
      <c r="AV88" s="1496">
        <f t="shared" si="11"/>
        <v>0</v>
      </c>
      <c r="AW88" s="1496">
        <f t="shared" si="12"/>
        <v>0</v>
      </c>
      <c r="AX88" s="14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5"/>
      <c r="AV89" s="1496">
        <f t="shared" si="11"/>
        <v>0</v>
      </c>
      <c r="AW89" s="1496">
        <f t="shared" si="12"/>
        <v>0</v>
      </c>
      <c r="AX89" s="14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5"/>
      <c r="AV90" s="1496">
        <f t="shared" si="11"/>
        <v>0</v>
      </c>
      <c r="AW90" s="1496">
        <f t="shared" si="12"/>
        <v>0</v>
      </c>
      <c r="AX90" s="14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5"/>
      <c r="AV91" s="1496">
        <f t="shared" si="11"/>
        <v>0</v>
      </c>
      <c r="AW91" s="1496">
        <f t="shared" si="12"/>
        <v>0</v>
      </c>
      <c r="AX91" s="14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5"/>
      <c r="AV92" s="1496">
        <f t="shared" si="11"/>
        <v>0</v>
      </c>
      <c r="AW92" s="1496">
        <f t="shared" si="12"/>
        <v>0</v>
      </c>
      <c r="AX92" s="14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5"/>
      <c r="AV93" s="1496">
        <f t="shared" si="11"/>
        <v>0</v>
      </c>
      <c r="AW93" s="1496">
        <f t="shared" si="12"/>
        <v>0</v>
      </c>
      <c r="AX93" s="14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5"/>
      <c r="AV94" s="1496">
        <f t="shared" si="11"/>
        <v>0</v>
      </c>
      <c r="AW94" s="1496">
        <f t="shared" si="12"/>
        <v>0</v>
      </c>
      <c r="AX94" s="14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5"/>
      <c r="AV95" s="1496">
        <f t="shared" si="11"/>
        <v>0</v>
      </c>
      <c r="AW95" s="1496">
        <f t="shared" si="12"/>
        <v>0</v>
      </c>
      <c r="AX95" s="14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5"/>
      <c r="AV96" s="1496">
        <f t="shared" si="11"/>
        <v>0</v>
      </c>
      <c r="AW96" s="1496">
        <f t="shared" si="12"/>
        <v>0</v>
      </c>
      <c r="AX96" s="14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5"/>
      <c r="AV97" s="1496">
        <f t="shared" si="11"/>
        <v>0</v>
      </c>
      <c r="AW97" s="1496">
        <f t="shared" si="12"/>
        <v>0</v>
      </c>
      <c r="AX97" s="14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5"/>
      <c r="AV98" s="1496">
        <f t="shared" si="11"/>
        <v>0</v>
      </c>
      <c r="AW98" s="1496">
        <f t="shared" si="12"/>
        <v>0</v>
      </c>
      <c r="AX98" s="14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5"/>
      <c r="AV99" s="1496">
        <f t="shared" si="11"/>
        <v>0</v>
      </c>
      <c r="AW99" s="1496">
        <f t="shared" si="12"/>
        <v>0</v>
      </c>
      <c r="AX99" s="14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5"/>
      <c r="AV100" s="1496">
        <f t="shared" si="11"/>
        <v>0</v>
      </c>
      <c r="AW100" s="1496">
        <f t="shared" si="12"/>
        <v>0</v>
      </c>
      <c r="AX100" s="14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5"/>
      <c r="AV101" s="1496">
        <f t="shared" si="11"/>
        <v>0</v>
      </c>
      <c r="AW101" s="1496">
        <f t="shared" si="12"/>
        <v>0</v>
      </c>
      <c r="AX101" s="14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5"/>
      <c r="AV102" s="1496">
        <f t="shared" si="11"/>
        <v>0</v>
      </c>
      <c r="AW102" s="1496">
        <f t="shared" si="12"/>
        <v>0</v>
      </c>
      <c r="AX102" s="14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5"/>
      <c r="AV103" s="1496">
        <f t="shared" si="11"/>
        <v>0</v>
      </c>
      <c r="AW103" s="1496">
        <f t="shared" si="12"/>
        <v>0</v>
      </c>
      <c r="AX103" s="14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5"/>
      <c r="AV104" s="1496">
        <f t="shared" si="11"/>
        <v>0</v>
      </c>
      <c r="AW104" s="1496">
        <f t="shared" si="12"/>
        <v>0</v>
      </c>
      <c r="AX104" s="14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5"/>
      <c r="AV105" s="1496">
        <f t="shared" si="11"/>
        <v>0</v>
      </c>
      <c r="AW105" s="1496">
        <f t="shared" si="12"/>
        <v>0</v>
      </c>
      <c r="AX105" s="14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5"/>
      <c r="AV106" s="1496">
        <f t="shared" si="11"/>
        <v>0</v>
      </c>
      <c r="AW106" s="1496">
        <f t="shared" si="12"/>
        <v>0</v>
      </c>
      <c r="AX106" s="14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5"/>
      <c r="AV107" s="1496">
        <f t="shared" si="11"/>
        <v>0</v>
      </c>
      <c r="AW107" s="1496">
        <f t="shared" si="12"/>
        <v>0</v>
      </c>
      <c r="AX107" s="14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5"/>
      <c r="AV108" s="1496">
        <f t="shared" si="11"/>
        <v>0</v>
      </c>
      <c r="AW108" s="1496">
        <f t="shared" si="12"/>
        <v>0</v>
      </c>
      <c r="AX108" s="14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5"/>
      <c r="AV109" s="1496">
        <f t="shared" si="11"/>
        <v>0</v>
      </c>
      <c r="AW109" s="1496">
        <f t="shared" si="12"/>
        <v>0</v>
      </c>
      <c r="AX109" s="14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5"/>
      <c r="AV110" s="1496">
        <f t="shared" si="11"/>
        <v>0</v>
      </c>
      <c r="AW110" s="1496">
        <f t="shared" si="12"/>
        <v>0</v>
      </c>
      <c r="AX110" s="14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5"/>
      <c r="AV111" s="1496">
        <f t="shared" si="11"/>
        <v>0</v>
      </c>
      <c r="AW111" s="1496">
        <f t="shared" si="12"/>
        <v>0</v>
      </c>
      <c r="AX111" s="14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5"/>
      <c r="AV112" s="1496">
        <f t="shared" si="11"/>
        <v>0</v>
      </c>
      <c r="AW112" s="1496">
        <f t="shared" si="12"/>
        <v>0</v>
      </c>
      <c r="AX112" s="14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5"/>
      <c r="AV113" s="1496">
        <f t="shared" ref="AV113:AV144" si="62">A113</f>
        <v>0</v>
      </c>
      <c r="AW113" s="1496">
        <f t="shared" ref="AW113:AW144" si="63">B113</f>
        <v>0</v>
      </c>
      <c r="AX113" s="14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5"/>
      <c r="AV114" s="1496">
        <f t="shared" si="62"/>
        <v>0</v>
      </c>
      <c r="AW114" s="1496">
        <f t="shared" si="63"/>
        <v>0</v>
      </c>
      <c r="AX114" s="14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5"/>
      <c r="AV115" s="1496">
        <f t="shared" si="62"/>
        <v>0</v>
      </c>
      <c r="AW115" s="1496">
        <f t="shared" si="63"/>
        <v>0</v>
      </c>
      <c r="AX115" s="14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5"/>
      <c r="AV116" s="1496">
        <f t="shared" si="62"/>
        <v>0</v>
      </c>
      <c r="AW116" s="1496">
        <f t="shared" si="63"/>
        <v>0</v>
      </c>
      <c r="AX116" s="14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5"/>
      <c r="AV117" s="1496">
        <f t="shared" si="62"/>
        <v>0</v>
      </c>
      <c r="AW117" s="1496">
        <f t="shared" si="63"/>
        <v>0</v>
      </c>
      <c r="AX117" s="14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5"/>
      <c r="AV118" s="1496">
        <f t="shared" si="62"/>
        <v>0</v>
      </c>
      <c r="AW118" s="1496">
        <f t="shared" si="63"/>
        <v>0</v>
      </c>
      <c r="AX118" s="14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5"/>
      <c r="AV119" s="1496">
        <f t="shared" si="62"/>
        <v>0</v>
      </c>
      <c r="AW119" s="1496">
        <f t="shared" si="63"/>
        <v>0</v>
      </c>
      <c r="AX119" s="14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5"/>
      <c r="AV120" s="1496">
        <f t="shared" si="62"/>
        <v>0</v>
      </c>
      <c r="AW120" s="1496">
        <f t="shared" si="63"/>
        <v>0</v>
      </c>
      <c r="AX120" s="14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5"/>
      <c r="AV121" s="1496">
        <f t="shared" si="62"/>
        <v>0</v>
      </c>
      <c r="AW121" s="1496">
        <f t="shared" si="63"/>
        <v>0</v>
      </c>
      <c r="AX121" s="14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5"/>
      <c r="AV122" s="1496">
        <f t="shared" si="62"/>
        <v>0</v>
      </c>
      <c r="AW122" s="1496">
        <f t="shared" si="63"/>
        <v>0</v>
      </c>
      <c r="AX122" s="14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5"/>
      <c r="AV123" s="1496">
        <f t="shared" si="62"/>
        <v>0</v>
      </c>
      <c r="AW123" s="1496">
        <f t="shared" si="63"/>
        <v>0</v>
      </c>
      <c r="AX123" s="14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5"/>
      <c r="AV124" s="1496">
        <f t="shared" si="62"/>
        <v>0</v>
      </c>
      <c r="AW124" s="1496">
        <f t="shared" si="63"/>
        <v>0</v>
      </c>
      <c r="AX124" s="14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5"/>
      <c r="AV125" s="1496">
        <f t="shared" si="62"/>
        <v>0</v>
      </c>
      <c r="AW125" s="1496">
        <f t="shared" si="63"/>
        <v>0</v>
      </c>
      <c r="AX125" s="14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5"/>
      <c r="AV126" s="1496">
        <f t="shared" si="62"/>
        <v>0</v>
      </c>
      <c r="AW126" s="1496">
        <f t="shared" si="63"/>
        <v>0</v>
      </c>
      <c r="AX126" s="14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5"/>
      <c r="AV127" s="1496">
        <f t="shared" si="62"/>
        <v>0</v>
      </c>
      <c r="AW127" s="1496">
        <f t="shared" si="63"/>
        <v>0</v>
      </c>
      <c r="AX127" s="14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5"/>
      <c r="AV128" s="1496">
        <f t="shared" si="62"/>
        <v>0</v>
      </c>
      <c r="AW128" s="1496">
        <f t="shared" si="63"/>
        <v>0</v>
      </c>
      <c r="AX128" s="14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5"/>
      <c r="AV129" s="1496">
        <f t="shared" si="62"/>
        <v>0</v>
      </c>
      <c r="AW129" s="1496">
        <f t="shared" si="63"/>
        <v>0</v>
      </c>
      <c r="AX129" s="14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5"/>
      <c r="AV130" s="1496">
        <f t="shared" si="62"/>
        <v>0</v>
      </c>
      <c r="AW130" s="1496">
        <f t="shared" si="63"/>
        <v>0</v>
      </c>
      <c r="AX130" s="14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5"/>
      <c r="AV131" s="1496">
        <f t="shared" si="62"/>
        <v>0</v>
      </c>
      <c r="AW131" s="1496">
        <f t="shared" si="63"/>
        <v>0</v>
      </c>
      <c r="AX131" s="14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5"/>
      <c r="AV132" s="1496">
        <f t="shared" si="62"/>
        <v>0</v>
      </c>
      <c r="AW132" s="1496">
        <f t="shared" si="63"/>
        <v>0</v>
      </c>
      <c r="AX132" s="14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5"/>
      <c r="AV133" s="1496">
        <f t="shared" si="62"/>
        <v>0</v>
      </c>
      <c r="AW133" s="1496">
        <f t="shared" si="63"/>
        <v>0</v>
      </c>
      <c r="AX133" s="14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5"/>
      <c r="AV134" s="1496">
        <f t="shared" si="62"/>
        <v>0</v>
      </c>
      <c r="AW134" s="1496">
        <f t="shared" si="63"/>
        <v>0</v>
      </c>
      <c r="AX134" s="14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5"/>
      <c r="AV135" s="1496">
        <f t="shared" si="62"/>
        <v>0</v>
      </c>
      <c r="AW135" s="1496">
        <f t="shared" si="63"/>
        <v>0</v>
      </c>
      <c r="AX135" s="14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5"/>
      <c r="AV136" s="1496">
        <f t="shared" si="62"/>
        <v>0</v>
      </c>
      <c r="AW136" s="1496">
        <f t="shared" si="63"/>
        <v>0</v>
      </c>
      <c r="AX136" s="14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5"/>
      <c r="AV137" s="1496">
        <f t="shared" si="62"/>
        <v>0</v>
      </c>
      <c r="AW137" s="1496">
        <f t="shared" si="63"/>
        <v>0</v>
      </c>
      <c r="AX137" s="14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5"/>
      <c r="AV138" s="1496">
        <f t="shared" si="62"/>
        <v>0</v>
      </c>
      <c r="AW138" s="1496">
        <f t="shared" si="63"/>
        <v>0</v>
      </c>
      <c r="AX138" s="14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5"/>
      <c r="AV139" s="1496">
        <f t="shared" si="62"/>
        <v>0</v>
      </c>
      <c r="AW139" s="1496">
        <f t="shared" si="63"/>
        <v>0</v>
      </c>
      <c r="AX139" s="14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5"/>
      <c r="AV140" s="1496">
        <f t="shared" si="62"/>
        <v>0</v>
      </c>
      <c r="AW140" s="1496">
        <f t="shared" si="63"/>
        <v>0</v>
      </c>
      <c r="AX140" s="14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5"/>
      <c r="AV141" s="1496">
        <f t="shared" si="62"/>
        <v>0</v>
      </c>
      <c r="AW141" s="1496">
        <f t="shared" si="63"/>
        <v>0</v>
      </c>
      <c r="AX141" s="14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5"/>
      <c r="AV142" s="1496">
        <f t="shared" si="62"/>
        <v>0</v>
      </c>
      <c r="AW142" s="1496">
        <f t="shared" si="63"/>
        <v>0</v>
      </c>
      <c r="AX142" s="14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5"/>
      <c r="AV143" s="1496">
        <f t="shared" si="62"/>
        <v>0</v>
      </c>
      <c r="AW143" s="1496">
        <f t="shared" si="63"/>
        <v>0</v>
      </c>
      <c r="AX143" s="14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5"/>
      <c r="AV144" s="1496">
        <f t="shared" si="62"/>
        <v>0</v>
      </c>
      <c r="AW144" s="1496">
        <f t="shared" si="63"/>
        <v>0</v>
      </c>
      <c r="AX144" s="14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5"/>
      <c r="AV145" s="1496">
        <f t="shared" ref="AV145:AV176" si="91">A145</f>
        <v>0</v>
      </c>
      <c r="AW145" s="1496">
        <f t="shared" ref="AW145:AW176" si="92">B145</f>
        <v>0</v>
      </c>
      <c r="AX145" s="14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5"/>
      <c r="AV146" s="1496">
        <f t="shared" si="91"/>
        <v>0</v>
      </c>
      <c r="AW146" s="1496">
        <f t="shared" si="92"/>
        <v>0</v>
      </c>
      <c r="AX146" s="14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5"/>
      <c r="AV147" s="1496">
        <f t="shared" si="91"/>
        <v>0</v>
      </c>
      <c r="AW147" s="1496">
        <f t="shared" si="92"/>
        <v>0</v>
      </c>
      <c r="AX147" s="14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5"/>
      <c r="AV148" s="1496">
        <f t="shared" si="91"/>
        <v>0</v>
      </c>
      <c r="AW148" s="1496">
        <f t="shared" si="92"/>
        <v>0</v>
      </c>
      <c r="AX148" s="14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5"/>
      <c r="AV149" s="1496">
        <f t="shared" si="91"/>
        <v>0</v>
      </c>
      <c r="AW149" s="1496">
        <f t="shared" si="92"/>
        <v>0</v>
      </c>
      <c r="AX149" s="14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5"/>
      <c r="AV150" s="1496">
        <f t="shared" si="91"/>
        <v>0</v>
      </c>
      <c r="AW150" s="1496">
        <f t="shared" si="92"/>
        <v>0</v>
      </c>
      <c r="AX150" s="14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5"/>
      <c r="AV151" s="1496">
        <f t="shared" si="91"/>
        <v>0</v>
      </c>
      <c r="AW151" s="1496">
        <f t="shared" si="92"/>
        <v>0</v>
      </c>
      <c r="AX151" s="14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5"/>
      <c r="AV152" s="1496">
        <f t="shared" si="91"/>
        <v>0</v>
      </c>
      <c r="AW152" s="1496">
        <f t="shared" si="92"/>
        <v>0</v>
      </c>
      <c r="AX152" s="14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5"/>
      <c r="AV153" s="1496">
        <f t="shared" si="91"/>
        <v>0</v>
      </c>
      <c r="AW153" s="1496">
        <f t="shared" si="92"/>
        <v>0</v>
      </c>
      <c r="AX153" s="14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5"/>
      <c r="AV154" s="1496">
        <f t="shared" si="91"/>
        <v>0</v>
      </c>
      <c r="AW154" s="1496">
        <f t="shared" si="92"/>
        <v>0</v>
      </c>
      <c r="AX154" s="14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5"/>
      <c r="AV155" s="1496">
        <f t="shared" si="91"/>
        <v>0</v>
      </c>
      <c r="AW155" s="1496">
        <f t="shared" si="92"/>
        <v>0</v>
      </c>
      <c r="AX155" s="14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5"/>
      <c r="AV156" s="1496">
        <f t="shared" si="91"/>
        <v>0</v>
      </c>
      <c r="AW156" s="1496">
        <f t="shared" si="92"/>
        <v>0</v>
      </c>
      <c r="AX156" s="14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5"/>
      <c r="AV157" s="1496">
        <f t="shared" si="91"/>
        <v>0</v>
      </c>
      <c r="AW157" s="1496">
        <f t="shared" si="92"/>
        <v>0</v>
      </c>
      <c r="AX157" s="14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5"/>
      <c r="AV158" s="1496">
        <f t="shared" si="91"/>
        <v>0</v>
      </c>
      <c r="AW158" s="1496">
        <f t="shared" si="92"/>
        <v>0</v>
      </c>
      <c r="AX158" s="14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5"/>
      <c r="AV159" s="1496">
        <f t="shared" si="91"/>
        <v>0</v>
      </c>
      <c r="AW159" s="1496">
        <f t="shared" si="92"/>
        <v>0</v>
      </c>
      <c r="AX159" s="14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5"/>
      <c r="AV160" s="1496">
        <f t="shared" si="91"/>
        <v>0</v>
      </c>
      <c r="AW160" s="1496">
        <f t="shared" si="92"/>
        <v>0</v>
      </c>
      <c r="AX160" s="14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5"/>
      <c r="AV161" s="1496">
        <f t="shared" si="91"/>
        <v>0</v>
      </c>
      <c r="AW161" s="1496">
        <f t="shared" si="92"/>
        <v>0</v>
      </c>
      <c r="AX161" s="14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5"/>
      <c r="AV162" s="1496">
        <f t="shared" si="91"/>
        <v>0</v>
      </c>
      <c r="AW162" s="1496">
        <f t="shared" si="92"/>
        <v>0</v>
      </c>
      <c r="AX162" s="14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5"/>
      <c r="AV163" s="1496">
        <f t="shared" si="91"/>
        <v>0</v>
      </c>
      <c r="AW163" s="1496">
        <f t="shared" si="92"/>
        <v>0</v>
      </c>
      <c r="AX163" s="14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5"/>
      <c r="AV164" s="1496">
        <f t="shared" si="91"/>
        <v>0</v>
      </c>
      <c r="AW164" s="1496">
        <f t="shared" si="92"/>
        <v>0</v>
      </c>
      <c r="AX164" s="14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5"/>
      <c r="AV165" s="1496">
        <f t="shared" si="91"/>
        <v>0</v>
      </c>
      <c r="AW165" s="1496">
        <f t="shared" si="92"/>
        <v>0</v>
      </c>
      <c r="AX165" s="14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5"/>
      <c r="AV166" s="1496">
        <f t="shared" si="91"/>
        <v>0</v>
      </c>
      <c r="AW166" s="1496">
        <f t="shared" si="92"/>
        <v>0</v>
      </c>
      <c r="AX166" s="14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5"/>
      <c r="AV167" s="1496">
        <f t="shared" si="91"/>
        <v>0</v>
      </c>
      <c r="AW167" s="1496">
        <f t="shared" si="92"/>
        <v>0</v>
      </c>
      <c r="AX167" s="14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5"/>
      <c r="AV168" s="1496">
        <f t="shared" si="91"/>
        <v>0</v>
      </c>
      <c r="AW168" s="1496">
        <f t="shared" si="92"/>
        <v>0</v>
      </c>
      <c r="AX168" s="14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5"/>
      <c r="AV169" s="1496">
        <f t="shared" si="91"/>
        <v>0</v>
      </c>
      <c r="AW169" s="1496">
        <f t="shared" si="92"/>
        <v>0</v>
      </c>
      <c r="AX169" s="14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5"/>
      <c r="AV170" s="1496">
        <f t="shared" si="91"/>
        <v>0</v>
      </c>
      <c r="AW170" s="1496">
        <f t="shared" si="92"/>
        <v>0</v>
      </c>
      <c r="AX170" s="14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5"/>
      <c r="AV171" s="1496">
        <f t="shared" si="91"/>
        <v>0</v>
      </c>
      <c r="AW171" s="1496">
        <f t="shared" si="92"/>
        <v>0</v>
      </c>
      <c r="AX171" s="14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5"/>
      <c r="AV172" s="1496">
        <f t="shared" si="91"/>
        <v>0</v>
      </c>
      <c r="AW172" s="1496">
        <f t="shared" si="92"/>
        <v>0</v>
      </c>
      <c r="AX172" s="14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5"/>
      <c r="AV173" s="1496">
        <f t="shared" si="91"/>
        <v>0</v>
      </c>
      <c r="AW173" s="1496">
        <f t="shared" si="92"/>
        <v>0</v>
      </c>
      <c r="AX173" s="14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5"/>
      <c r="AV174" s="1496">
        <f t="shared" si="91"/>
        <v>0</v>
      </c>
      <c r="AW174" s="1496">
        <f t="shared" si="92"/>
        <v>0</v>
      </c>
      <c r="AX174" s="14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5"/>
      <c r="AV175" s="1496">
        <f t="shared" si="91"/>
        <v>0</v>
      </c>
      <c r="AW175" s="1496">
        <f t="shared" si="92"/>
        <v>0</v>
      </c>
      <c r="AX175" s="14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5"/>
      <c r="AV176" s="1496">
        <f t="shared" si="91"/>
        <v>0</v>
      </c>
      <c r="AW176" s="1496">
        <f t="shared" si="92"/>
        <v>0</v>
      </c>
      <c r="AX176" s="14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5"/>
      <c r="AV177" s="1496">
        <f t="shared" ref="AV177:AV207" si="120">A177</f>
        <v>0</v>
      </c>
      <c r="AW177" s="1496">
        <f t="shared" ref="AW177:AW207" si="121">B177</f>
        <v>0</v>
      </c>
      <c r="AX177" s="14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5"/>
      <c r="AV178" s="1496">
        <f t="shared" si="120"/>
        <v>0</v>
      </c>
      <c r="AW178" s="1496">
        <f t="shared" si="121"/>
        <v>0</v>
      </c>
      <c r="AX178" s="14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5"/>
      <c r="AV179" s="1496">
        <f t="shared" si="120"/>
        <v>0</v>
      </c>
      <c r="AW179" s="1496">
        <f t="shared" si="121"/>
        <v>0</v>
      </c>
      <c r="AX179" s="14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5"/>
      <c r="AV180" s="1496">
        <f t="shared" si="120"/>
        <v>0</v>
      </c>
      <c r="AW180" s="1496">
        <f t="shared" si="121"/>
        <v>0</v>
      </c>
      <c r="AX180" s="14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5"/>
      <c r="AV181" s="1496">
        <f t="shared" si="120"/>
        <v>0</v>
      </c>
      <c r="AW181" s="1496">
        <f t="shared" si="121"/>
        <v>0</v>
      </c>
      <c r="AX181" s="14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5"/>
      <c r="AV182" s="1496">
        <f t="shared" si="120"/>
        <v>0</v>
      </c>
      <c r="AW182" s="1496">
        <f t="shared" si="121"/>
        <v>0</v>
      </c>
      <c r="AX182" s="14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5"/>
      <c r="AV183" s="1496">
        <f t="shared" si="120"/>
        <v>0</v>
      </c>
      <c r="AW183" s="1496">
        <f t="shared" si="121"/>
        <v>0</v>
      </c>
      <c r="AX183" s="14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5"/>
      <c r="AV184" s="1496">
        <f t="shared" si="120"/>
        <v>0</v>
      </c>
      <c r="AW184" s="1496">
        <f t="shared" si="121"/>
        <v>0</v>
      </c>
      <c r="AX184" s="14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5"/>
      <c r="AV185" s="1496">
        <f t="shared" si="120"/>
        <v>0</v>
      </c>
      <c r="AW185" s="1496">
        <f t="shared" si="121"/>
        <v>0</v>
      </c>
      <c r="AX185" s="14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5"/>
      <c r="AV186" s="1496">
        <f t="shared" si="120"/>
        <v>0</v>
      </c>
      <c r="AW186" s="1496">
        <f t="shared" si="121"/>
        <v>0</v>
      </c>
      <c r="AX186" s="14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5"/>
      <c r="AV187" s="1496">
        <f t="shared" si="120"/>
        <v>0</v>
      </c>
      <c r="AW187" s="1496">
        <f t="shared" si="121"/>
        <v>0</v>
      </c>
      <c r="AX187" s="14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5"/>
      <c r="AV188" s="1496">
        <f t="shared" si="120"/>
        <v>0</v>
      </c>
      <c r="AW188" s="1496">
        <f t="shared" si="121"/>
        <v>0</v>
      </c>
      <c r="AX188" s="14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5"/>
      <c r="AV189" s="1496">
        <f t="shared" si="120"/>
        <v>0</v>
      </c>
      <c r="AW189" s="1496">
        <f t="shared" si="121"/>
        <v>0</v>
      </c>
      <c r="AX189" s="14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5"/>
      <c r="AV190" s="1496">
        <f t="shared" si="120"/>
        <v>0</v>
      </c>
      <c r="AW190" s="1496">
        <f t="shared" si="121"/>
        <v>0</v>
      </c>
      <c r="AX190" s="14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5"/>
      <c r="AV191" s="1496">
        <f t="shared" si="120"/>
        <v>0</v>
      </c>
      <c r="AW191" s="1496">
        <f t="shared" si="121"/>
        <v>0</v>
      </c>
      <c r="AX191" s="14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5"/>
      <c r="AV192" s="1496">
        <f t="shared" si="120"/>
        <v>0</v>
      </c>
      <c r="AW192" s="1496">
        <f t="shared" si="121"/>
        <v>0</v>
      </c>
      <c r="AX192" s="14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5"/>
      <c r="AV193" s="1496">
        <f t="shared" si="120"/>
        <v>0</v>
      </c>
      <c r="AW193" s="1496">
        <f t="shared" si="121"/>
        <v>0</v>
      </c>
      <c r="AX193" s="14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5"/>
      <c r="AV194" s="1496">
        <f t="shared" si="120"/>
        <v>0</v>
      </c>
      <c r="AW194" s="1496">
        <f t="shared" si="121"/>
        <v>0</v>
      </c>
      <c r="AX194" s="14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5"/>
      <c r="AV195" s="1496">
        <f t="shared" si="120"/>
        <v>0</v>
      </c>
      <c r="AW195" s="1496">
        <f t="shared" si="121"/>
        <v>0</v>
      </c>
      <c r="AX195" s="14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5"/>
      <c r="AV196" s="1496">
        <f t="shared" si="120"/>
        <v>0</v>
      </c>
      <c r="AW196" s="1496">
        <f t="shared" si="121"/>
        <v>0</v>
      </c>
      <c r="AX196" s="14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5"/>
      <c r="AV197" s="1496">
        <f t="shared" si="120"/>
        <v>0</v>
      </c>
      <c r="AW197" s="1496">
        <f t="shared" si="121"/>
        <v>0</v>
      </c>
      <c r="AX197" s="14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5"/>
      <c r="AV198" s="1496">
        <f t="shared" si="120"/>
        <v>0</v>
      </c>
      <c r="AW198" s="1496">
        <f t="shared" si="121"/>
        <v>0</v>
      </c>
      <c r="AX198" s="14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5"/>
      <c r="AV199" s="1496">
        <f t="shared" si="120"/>
        <v>0</v>
      </c>
      <c r="AW199" s="1496">
        <f t="shared" si="121"/>
        <v>0</v>
      </c>
      <c r="AX199" s="14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5"/>
      <c r="AV200" s="1496">
        <f t="shared" si="120"/>
        <v>0</v>
      </c>
      <c r="AW200" s="1496">
        <f t="shared" si="121"/>
        <v>0</v>
      </c>
      <c r="AX200" s="14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5"/>
      <c r="AV201" s="1496">
        <f t="shared" si="120"/>
        <v>0</v>
      </c>
      <c r="AW201" s="1496">
        <f t="shared" si="121"/>
        <v>0</v>
      </c>
      <c r="AX201" s="14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5"/>
      <c r="AV202" s="1496">
        <f t="shared" si="120"/>
        <v>0</v>
      </c>
      <c r="AW202" s="1496">
        <f t="shared" si="121"/>
        <v>0</v>
      </c>
      <c r="AX202" s="14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5"/>
      <c r="AV203" s="1496">
        <f t="shared" si="120"/>
        <v>0</v>
      </c>
      <c r="AW203" s="1496">
        <f t="shared" si="121"/>
        <v>0</v>
      </c>
      <c r="AX203" s="14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5"/>
      <c r="AV204" s="1496">
        <f t="shared" si="120"/>
        <v>0</v>
      </c>
      <c r="AW204" s="1496">
        <f t="shared" si="121"/>
        <v>0</v>
      </c>
      <c r="AX204" s="14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5"/>
      <c r="AV205" s="1496">
        <f t="shared" si="120"/>
        <v>0</v>
      </c>
      <c r="AW205" s="1496">
        <f t="shared" si="121"/>
        <v>0</v>
      </c>
      <c r="AX205" s="14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5"/>
      <c r="AV206" s="1496">
        <f t="shared" si="120"/>
        <v>0</v>
      </c>
      <c r="AW206" s="1496">
        <f t="shared" si="121"/>
        <v>0</v>
      </c>
      <c r="AX206" s="14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5"/>
      <c r="AV207" s="1496">
        <f t="shared" si="120"/>
        <v>0</v>
      </c>
      <c r="AW207" s="1496">
        <f t="shared" si="121"/>
        <v>0</v>
      </c>
      <c r="AX207" s="14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5"/>
      <c r="AV208" s="1496">
        <f t="shared" ref="AV208:AV302" si="127">A208</f>
        <v>0</v>
      </c>
      <c r="AW208" s="1496">
        <f t="shared" ref="AW208:AW302" si="128">B208</f>
        <v>0</v>
      </c>
      <c r="AX208" s="14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5"/>
      <c r="AV209" s="1496">
        <f t="shared" si="127"/>
        <v>0</v>
      </c>
      <c r="AW209" s="1496">
        <f t="shared" si="128"/>
        <v>0</v>
      </c>
      <c r="AX209" s="14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5"/>
      <c r="AV210" s="1496">
        <f t="shared" si="127"/>
        <v>0</v>
      </c>
      <c r="AW210" s="1496">
        <f t="shared" si="128"/>
        <v>0</v>
      </c>
      <c r="AX210" s="14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5"/>
      <c r="AV211" s="1496">
        <f t="shared" si="127"/>
        <v>0</v>
      </c>
      <c r="AW211" s="1496">
        <f t="shared" si="128"/>
        <v>0</v>
      </c>
      <c r="AX211" s="14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5"/>
      <c r="AV212" s="1496">
        <f t="shared" si="127"/>
        <v>0</v>
      </c>
      <c r="AW212" s="1496">
        <f t="shared" si="128"/>
        <v>0</v>
      </c>
      <c r="AX212" s="14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5"/>
      <c r="AV213" s="1496">
        <f t="shared" si="127"/>
        <v>0</v>
      </c>
      <c r="AW213" s="1496">
        <f t="shared" si="128"/>
        <v>0</v>
      </c>
      <c r="AX213" s="14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5"/>
      <c r="AV214" s="1496">
        <f t="shared" si="127"/>
        <v>0</v>
      </c>
      <c r="AW214" s="1496">
        <f t="shared" si="128"/>
        <v>0</v>
      </c>
      <c r="AX214" s="14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5"/>
      <c r="AV215" s="1496">
        <f t="shared" si="127"/>
        <v>0</v>
      </c>
      <c r="AW215" s="1496">
        <f t="shared" si="128"/>
        <v>0</v>
      </c>
      <c r="AX215" s="14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5"/>
      <c r="AV216" s="1496">
        <f t="shared" si="127"/>
        <v>0</v>
      </c>
      <c r="AW216" s="1496">
        <f t="shared" si="128"/>
        <v>0</v>
      </c>
      <c r="AX216" s="14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5"/>
      <c r="AV217" s="1496">
        <f t="shared" si="127"/>
        <v>0</v>
      </c>
      <c r="AW217" s="1496">
        <f t="shared" si="128"/>
        <v>0</v>
      </c>
      <c r="AX217" s="14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5"/>
      <c r="AV218" s="1496">
        <f t="shared" si="127"/>
        <v>0</v>
      </c>
      <c r="AW218" s="1496">
        <f t="shared" si="128"/>
        <v>0</v>
      </c>
      <c r="AX218" s="14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5"/>
      <c r="AV219" s="1496">
        <f t="shared" si="127"/>
        <v>0</v>
      </c>
      <c r="AW219" s="1496">
        <f t="shared" si="128"/>
        <v>0</v>
      </c>
      <c r="AX219" s="14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5"/>
      <c r="AV220" s="1496">
        <f t="shared" si="127"/>
        <v>0</v>
      </c>
      <c r="AW220" s="1496">
        <f t="shared" si="128"/>
        <v>0</v>
      </c>
      <c r="AX220" s="14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5"/>
      <c r="AV221" s="1496">
        <f t="shared" si="127"/>
        <v>0</v>
      </c>
      <c r="AW221" s="1496">
        <f t="shared" si="128"/>
        <v>0</v>
      </c>
      <c r="AX221" s="14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5"/>
      <c r="AV222" s="1496">
        <f t="shared" si="127"/>
        <v>0</v>
      </c>
      <c r="AW222" s="1496">
        <f t="shared" si="128"/>
        <v>0</v>
      </c>
      <c r="AX222" s="14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5"/>
      <c r="AV223" s="1496">
        <f t="shared" si="127"/>
        <v>0</v>
      </c>
      <c r="AW223" s="1496">
        <f t="shared" si="128"/>
        <v>0</v>
      </c>
      <c r="AX223" s="14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5"/>
      <c r="AV224" s="1496">
        <f t="shared" si="127"/>
        <v>0</v>
      </c>
      <c r="AW224" s="1496">
        <f t="shared" si="128"/>
        <v>0</v>
      </c>
      <c r="AX224" s="14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5"/>
      <c r="AV225" s="1496">
        <f t="shared" si="127"/>
        <v>0</v>
      </c>
      <c r="AW225" s="1496">
        <f t="shared" si="128"/>
        <v>0</v>
      </c>
      <c r="AX225" s="14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5"/>
      <c r="AV226" s="1496">
        <f t="shared" si="127"/>
        <v>0</v>
      </c>
      <c r="AW226" s="1496">
        <f t="shared" si="128"/>
        <v>0</v>
      </c>
      <c r="AX226" s="14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5"/>
      <c r="AV227" s="1496">
        <f t="shared" si="127"/>
        <v>0</v>
      </c>
      <c r="AW227" s="1496">
        <f t="shared" si="128"/>
        <v>0</v>
      </c>
      <c r="AX227" s="14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5"/>
      <c r="AV228" s="1496">
        <f t="shared" si="127"/>
        <v>0</v>
      </c>
      <c r="AW228" s="1496">
        <f t="shared" si="128"/>
        <v>0</v>
      </c>
      <c r="AX228" s="14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5"/>
      <c r="AV229" s="1496">
        <f t="shared" si="127"/>
        <v>0</v>
      </c>
      <c r="AW229" s="1496">
        <f t="shared" si="128"/>
        <v>0</v>
      </c>
      <c r="AX229" s="14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5"/>
      <c r="AV230" s="1496">
        <f t="shared" si="127"/>
        <v>0</v>
      </c>
      <c r="AW230" s="1496">
        <f t="shared" si="128"/>
        <v>0</v>
      </c>
      <c r="AX230" s="14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5"/>
      <c r="AV231" s="1496">
        <f t="shared" si="127"/>
        <v>0</v>
      </c>
      <c r="AW231" s="1496">
        <f t="shared" si="128"/>
        <v>0</v>
      </c>
      <c r="AX231" s="14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5"/>
      <c r="AV232" s="1496">
        <f t="shared" si="127"/>
        <v>0</v>
      </c>
      <c r="AW232" s="1496">
        <f t="shared" si="128"/>
        <v>0</v>
      </c>
      <c r="AX232" s="14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5"/>
      <c r="AV233" s="1496">
        <f t="shared" si="127"/>
        <v>0</v>
      </c>
      <c r="AW233" s="1496">
        <f t="shared" si="128"/>
        <v>0</v>
      </c>
      <c r="AX233" s="14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5"/>
      <c r="AV234" s="1496">
        <f t="shared" si="127"/>
        <v>0</v>
      </c>
      <c r="AW234" s="1496">
        <f t="shared" si="128"/>
        <v>0</v>
      </c>
      <c r="AX234" s="14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5"/>
      <c r="AV235" s="1496">
        <f t="shared" si="127"/>
        <v>0</v>
      </c>
      <c r="AW235" s="1496">
        <f t="shared" si="128"/>
        <v>0</v>
      </c>
      <c r="AX235" s="14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5"/>
      <c r="AV236" s="1496">
        <f t="shared" si="127"/>
        <v>0</v>
      </c>
      <c r="AW236" s="1496">
        <f t="shared" si="128"/>
        <v>0</v>
      </c>
      <c r="AX236" s="14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5"/>
      <c r="AV237" s="1496">
        <f t="shared" si="127"/>
        <v>0</v>
      </c>
      <c r="AW237" s="1496">
        <f t="shared" si="128"/>
        <v>0</v>
      </c>
      <c r="AX237" s="14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5"/>
      <c r="AV238" s="1496">
        <f t="shared" si="127"/>
        <v>0</v>
      </c>
      <c r="AW238" s="1496">
        <f t="shared" si="128"/>
        <v>0</v>
      </c>
      <c r="AX238" s="14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5"/>
      <c r="AV239" s="1496">
        <f t="shared" si="127"/>
        <v>0</v>
      </c>
      <c r="AW239" s="1496">
        <f t="shared" si="128"/>
        <v>0</v>
      </c>
      <c r="AX239" s="14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5"/>
      <c r="AV240" s="1496">
        <f t="shared" si="127"/>
        <v>0</v>
      </c>
      <c r="AW240" s="1496">
        <f t="shared" si="128"/>
        <v>0</v>
      </c>
      <c r="AX240" s="14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5"/>
      <c r="AV241" s="1496">
        <f t="shared" si="127"/>
        <v>0</v>
      </c>
      <c r="AW241" s="1496">
        <f t="shared" si="128"/>
        <v>0</v>
      </c>
      <c r="AX241" s="14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5"/>
      <c r="AV242" s="1496">
        <f t="shared" si="127"/>
        <v>0</v>
      </c>
      <c r="AW242" s="1496">
        <f t="shared" si="128"/>
        <v>0</v>
      </c>
      <c r="AX242" s="14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5"/>
      <c r="AV243" s="1496">
        <f t="shared" si="127"/>
        <v>0</v>
      </c>
      <c r="AW243" s="1496">
        <f t="shared" si="128"/>
        <v>0</v>
      </c>
      <c r="AX243" s="14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5"/>
      <c r="AV244" s="1496">
        <f t="shared" si="127"/>
        <v>0</v>
      </c>
      <c r="AW244" s="1496">
        <f t="shared" si="128"/>
        <v>0</v>
      </c>
      <c r="AX244" s="14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5"/>
      <c r="AV245" s="1496">
        <f t="shared" si="127"/>
        <v>0</v>
      </c>
      <c r="AW245" s="1496">
        <f t="shared" si="128"/>
        <v>0</v>
      </c>
      <c r="AX245" s="14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5"/>
      <c r="AV246" s="1496">
        <f t="shared" si="127"/>
        <v>0</v>
      </c>
      <c r="AW246" s="1496">
        <f t="shared" si="128"/>
        <v>0</v>
      </c>
      <c r="AX246" s="14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5"/>
      <c r="AV247" s="1496">
        <f t="shared" si="127"/>
        <v>0</v>
      </c>
      <c r="AW247" s="1496">
        <f t="shared" si="128"/>
        <v>0</v>
      </c>
      <c r="AX247" s="14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5"/>
      <c r="AV248" s="1496">
        <f t="shared" si="127"/>
        <v>0</v>
      </c>
      <c r="AW248" s="1496">
        <f t="shared" si="128"/>
        <v>0</v>
      </c>
      <c r="AX248" s="14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5"/>
      <c r="AV249" s="1496">
        <f t="shared" si="127"/>
        <v>0</v>
      </c>
      <c r="AW249" s="1496">
        <f t="shared" si="128"/>
        <v>0</v>
      </c>
      <c r="AX249" s="14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5"/>
      <c r="AV250" s="1496">
        <f t="shared" si="127"/>
        <v>0</v>
      </c>
      <c r="AW250" s="1496">
        <f t="shared" si="128"/>
        <v>0</v>
      </c>
      <c r="AX250" s="14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5"/>
      <c r="AV251" s="1496">
        <f t="shared" si="127"/>
        <v>0</v>
      </c>
      <c r="AW251" s="1496">
        <f t="shared" si="128"/>
        <v>0</v>
      </c>
      <c r="AX251" s="14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5"/>
      <c r="AV252" s="1496">
        <f t="shared" si="127"/>
        <v>0</v>
      </c>
      <c r="AW252" s="1496">
        <f t="shared" si="128"/>
        <v>0</v>
      </c>
      <c r="AX252" s="14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5"/>
      <c r="AV253" s="1496">
        <f t="shared" si="127"/>
        <v>0</v>
      </c>
      <c r="AW253" s="1496">
        <f t="shared" si="128"/>
        <v>0</v>
      </c>
      <c r="AX253" s="14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5"/>
      <c r="AV254" s="1496">
        <f t="shared" si="127"/>
        <v>0</v>
      </c>
      <c r="AW254" s="1496">
        <f t="shared" si="128"/>
        <v>0</v>
      </c>
      <c r="AX254" s="14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5"/>
      <c r="AV255" s="1496">
        <f t="shared" si="127"/>
        <v>0</v>
      </c>
      <c r="AW255" s="1496">
        <f t="shared" si="128"/>
        <v>0</v>
      </c>
      <c r="AX255" s="14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5"/>
      <c r="AV256" s="1496">
        <f t="shared" si="127"/>
        <v>0</v>
      </c>
      <c r="AW256" s="1496">
        <f t="shared" si="128"/>
        <v>0</v>
      </c>
      <c r="AX256" s="14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5"/>
      <c r="AV257" s="1496">
        <f t="shared" si="127"/>
        <v>0</v>
      </c>
      <c r="AW257" s="1496">
        <f t="shared" si="128"/>
        <v>0</v>
      </c>
      <c r="AX257" s="14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5"/>
      <c r="AV258" s="1496">
        <f t="shared" si="127"/>
        <v>0</v>
      </c>
      <c r="AW258" s="1496">
        <f t="shared" si="128"/>
        <v>0</v>
      </c>
      <c r="AX258" s="14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5"/>
      <c r="AV259" s="1496">
        <f t="shared" si="127"/>
        <v>0</v>
      </c>
      <c r="AW259" s="1496">
        <f t="shared" si="128"/>
        <v>0</v>
      </c>
      <c r="AX259" s="14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5"/>
      <c r="AV260" s="1496">
        <f t="shared" si="127"/>
        <v>0</v>
      </c>
      <c r="AW260" s="1496">
        <f t="shared" si="128"/>
        <v>0</v>
      </c>
      <c r="AX260" s="14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5"/>
      <c r="AV261" s="1496">
        <f t="shared" si="127"/>
        <v>0</v>
      </c>
      <c r="AW261" s="1496">
        <f t="shared" si="128"/>
        <v>0</v>
      </c>
      <c r="AX261" s="14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5"/>
      <c r="AV262" s="1496">
        <f t="shared" si="127"/>
        <v>0</v>
      </c>
      <c r="AW262" s="1496">
        <f t="shared" si="128"/>
        <v>0</v>
      </c>
      <c r="AX262" s="14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5"/>
      <c r="AV263" s="1496">
        <f t="shared" si="127"/>
        <v>0</v>
      </c>
      <c r="AW263" s="1496">
        <f t="shared" si="128"/>
        <v>0</v>
      </c>
      <c r="AX263" s="14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5"/>
      <c r="AV264" s="1496">
        <f t="shared" si="127"/>
        <v>0</v>
      </c>
      <c r="AW264" s="1496">
        <f t="shared" si="128"/>
        <v>0</v>
      </c>
      <c r="AX264" s="14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5"/>
      <c r="AV265" s="1496">
        <f t="shared" si="127"/>
        <v>0</v>
      </c>
      <c r="AW265" s="1496">
        <f t="shared" si="128"/>
        <v>0</v>
      </c>
      <c r="AX265" s="14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5"/>
      <c r="AV266" s="1496">
        <f t="shared" si="127"/>
        <v>0</v>
      </c>
      <c r="AW266" s="1496">
        <f t="shared" si="128"/>
        <v>0</v>
      </c>
      <c r="AX266" s="14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5"/>
      <c r="AV267" s="1496">
        <f t="shared" si="127"/>
        <v>0</v>
      </c>
      <c r="AW267" s="1496">
        <f t="shared" si="128"/>
        <v>0</v>
      </c>
      <c r="AX267" s="14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5"/>
      <c r="AV268" s="1496">
        <f t="shared" si="127"/>
        <v>0</v>
      </c>
      <c r="AW268" s="1496">
        <f t="shared" si="128"/>
        <v>0</v>
      </c>
      <c r="AX268" s="14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5"/>
      <c r="AV269" s="1496">
        <f t="shared" si="127"/>
        <v>0</v>
      </c>
      <c r="AW269" s="1496">
        <f t="shared" si="128"/>
        <v>0</v>
      </c>
      <c r="AX269" s="14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5"/>
      <c r="AV270" s="1496">
        <f t="shared" si="127"/>
        <v>0</v>
      </c>
      <c r="AW270" s="1496">
        <f t="shared" si="128"/>
        <v>0</v>
      </c>
      <c r="AX270" s="14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5"/>
      <c r="AV271" s="1496">
        <f t="shared" si="127"/>
        <v>0</v>
      </c>
      <c r="AW271" s="1496">
        <f t="shared" si="128"/>
        <v>0</v>
      </c>
      <c r="AX271" s="14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5"/>
      <c r="AV272" s="1496">
        <f t="shared" si="127"/>
        <v>0</v>
      </c>
      <c r="AW272" s="1496">
        <f t="shared" si="128"/>
        <v>0</v>
      </c>
      <c r="AX272" s="14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5"/>
      <c r="AV273" s="1496">
        <f t="shared" si="127"/>
        <v>0</v>
      </c>
      <c r="AW273" s="1496">
        <f t="shared" si="128"/>
        <v>0</v>
      </c>
      <c r="AX273" s="14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5"/>
      <c r="AV274" s="1496">
        <f t="shared" si="127"/>
        <v>0</v>
      </c>
      <c r="AW274" s="1496">
        <f t="shared" si="128"/>
        <v>0</v>
      </c>
      <c r="AX274" s="14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5"/>
      <c r="AV275" s="1496">
        <f t="shared" si="127"/>
        <v>0</v>
      </c>
      <c r="AW275" s="1496">
        <f t="shared" si="128"/>
        <v>0</v>
      </c>
      <c r="AX275" s="14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5"/>
      <c r="AV276" s="1496">
        <f t="shared" si="127"/>
        <v>0</v>
      </c>
      <c r="AW276" s="1496">
        <f t="shared" si="128"/>
        <v>0</v>
      </c>
      <c r="AX276" s="14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5"/>
      <c r="AV277" s="1496">
        <f t="shared" si="127"/>
        <v>0</v>
      </c>
      <c r="AW277" s="1496">
        <f t="shared" si="128"/>
        <v>0</v>
      </c>
      <c r="AX277" s="14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5"/>
      <c r="AV278" s="1496">
        <f t="shared" si="127"/>
        <v>0</v>
      </c>
      <c r="AW278" s="1496">
        <f t="shared" si="128"/>
        <v>0</v>
      </c>
      <c r="AX278" s="14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5"/>
      <c r="AV279" s="1496">
        <f t="shared" si="127"/>
        <v>0</v>
      </c>
      <c r="AW279" s="1496">
        <f t="shared" si="128"/>
        <v>0</v>
      </c>
      <c r="AX279" s="14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5"/>
      <c r="AV280" s="1496">
        <f t="shared" si="127"/>
        <v>0</v>
      </c>
      <c r="AW280" s="1496">
        <f t="shared" si="128"/>
        <v>0</v>
      </c>
      <c r="AX280" s="14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5"/>
      <c r="AV281" s="1496">
        <f t="shared" si="127"/>
        <v>0</v>
      </c>
      <c r="AW281" s="1496">
        <f t="shared" si="128"/>
        <v>0</v>
      </c>
      <c r="AX281" s="14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5"/>
      <c r="AV282" s="1496">
        <f t="shared" si="127"/>
        <v>0</v>
      </c>
      <c r="AW282" s="1496">
        <f t="shared" si="128"/>
        <v>0</v>
      </c>
      <c r="AX282" s="14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5"/>
      <c r="AV283" s="1496">
        <f t="shared" si="127"/>
        <v>0</v>
      </c>
      <c r="AW283" s="1496">
        <f t="shared" si="128"/>
        <v>0</v>
      </c>
      <c r="AX283" s="14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5"/>
      <c r="AV284" s="1496">
        <f t="shared" si="127"/>
        <v>0</v>
      </c>
      <c r="AW284" s="1496">
        <f t="shared" si="128"/>
        <v>0</v>
      </c>
      <c r="AX284" s="14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5"/>
      <c r="AV285" s="1496">
        <f t="shared" si="127"/>
        <v>0</v>
      </c>
      <c r="AW285" s="1496">
        <f t="shared" si="128"/>
        <v>0</v>
      </c>
      <c r="AX285" s="14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5"/>
      <c r="AV286" s="1496">
        <f t="shared" si="127"/>
        <v>0</v>
      </c>
      <c r="AW286" s="1496">
        <f t="shared" si="128"/>
        <v>0</v>
      </c>
      <c r="AX286" s="14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5"/>
      <c r="AV287" s="1496">
        <f t="shared" si="127"/>
        <v>0</v>
      </c>
      <c r="AW287" s="1496">
        <f t="shared" si="128"/>
        <v>0</v>
      </c>
      <c r="AX287" s="14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5"/>
      <c r="AV288" s="1496">
        <f t="shared" si="127"/>
        <v>0</v>
      </c>
      <c r="AW288" s="1496">
        <f t="shared" si="128"/>
        <v>0</v>
      </c>
      <c r="AX288" s="14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5"/>
      <c r="AV289" s="1496">
        <f t="shared" si="127"/>
        <v>0</v>
      </c>
      <c r="AW289" s="1496">
        <f t="shared" si="128"/>
        <v>0</v>
      </c>
      <c r="AX289" s="14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5"/>
      <c r="AV290" s="1496">
        <f t="shared" si="127"/>
        <v>0</v>
      </c>
      <c r="AW290" s="1496">
        <f t="shared" si="128"/>
        <v>0</v>
      </c>
      <c r="AX290" s="14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5"/>
      <c r="AV291" s="1496">
        <f t="shared" si="127"/>
        <v>0</v>
      </c>
      <c r="AW291" s="1496">
        <f t="shared" si="128"/>
        <v>0</v>
      </c>
      <c r="AX291" s="14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5"/>
      <c r="AV292" s="1496">
        <f t="shared" si="127"/>
        <v>0</v>
      </c>
      <c r="AW292" s="1496">
        <f t="shared" si="128"/>
        <v>0</v>
      </c>
      <c r="AX292" s="14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5"/>
      <c r="AV293" s="1496">
        <f t="shared" si="127"/>
        <v>0</v>
      </c>
      <c r="AW293" s="1496">
        <f t="shared" si="128"/>
        <v>0</v>
      </c>
      <c r="AX293" s="14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5"/>
      <c r="AV294" s="1496">
        <f t="shared" si="127"/>
        <v>0</v>
      </c>
      <c r="AW294" s="1496">
        <f t="shared" si="128"/>
        <v>0</v>
      </c>
      <c r="AX294" s="14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5"/>
      <c r="AV295" s="1496">
        <f t="shared" si="127"/>
        <v>0</v>
      </c>
      <c r="AW295" s="1496">
        <f t="shared" si="128"/>
        <v>0</v>
      </c>
      <c r="AX295" s="14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5"/>
      <c r="AV296" s="1496">
        <f t="shared" si="127"/>
        <v>0</v>
      </c>
      <c r="AW296" s="1496">
        <f t="shared" si="128"/>
        <v>0</v>
      </c>
      <c r="AX296" s="14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5"/>
      <c r="AV297" s="1496">
        <f t="shared" si="127"/>
        <v>0</v>
      </c>
      <c r="AW297" s="1496">
        <f t="shared" si="128"/>
        <v>0</v>
      </c>
      <c r="AX297" s="14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5"/>
      <c r="AV298" s="1496">
        <f t="shared" si="127"/>
        <v>0</v>
      </c>
      <c r="AW298" s="1496">
        <f t="shared" si="128"/>
        <v>0</v>
      </c>
      <c r="AX298" s="14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5"/>
      <c r="AV299" s="1496">
        <f t="shared" si="127"/>
        <v>0</v>
      </c>
      <c r="AW299" s="1496">
        <f t="shared" si="128"/>
        <v>0</v>
      </c>
      <c r="AX299" s="14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5"/>
      <c r="AV300" s="1496">
        <f t="shared" si="127"/>
        <v>0</v>
      </c>
      <c r="AW300" s="1496">
        <f t="shared" si="128"/>
        <v>0</v>
      </c>
      <c r="AX300" s="14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5"/>
      <c r="AV301" s="1496">
        <f t="shared" si="127"/>
        <v>0</v>
      </c>
      <c r="AW301" s="1496">
        <f t="shared" si="128"/>
        <v>0</v>
      </c>
      <c r="AX301" s="14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5"/>
      <c r="AV302" s="1496">
        <f t="shared" si="127"/>
        <v>0</v>
      </c>
      <c r="AW302" s="1496">
        <f t="shared" si="128"/>
        <v>0</v>
      </c>
      <c r="AX302" s="14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5"/>
      <c r="AV303" s="1496">
        <f t="shared" ref="AV303:AV334" si="178">A303</f>
        <v>0</v>
      </c>
      <c r="AW303" s="1496">
        <f t="shared" ref="AW303:AW334" si="179">B303</f>
        <v>0</v>
      </c>
      <c r="AX303" s="14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5"/>
      <c r="AV304" s="1496">
        <f t="shared" si="178"/>
        <v>0</v>
      </c>
      <c r="AW304" s="1496">
        <f t="shared" si="179"/>
        <v>0</v>
      </c>
      <c r="AX304" s="14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5"/>
      <c r="AV305" s="1496">
        <f t="shared" si="178"/>
        <v>0</v>
      </c>
      <c r="AW305" s="1496">
        <f t="shared" si="179"/>
        <v>0</v>
      </c>
      <c r="AX305" s="14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5"/>
      <c r="AV306" s="1496">
        <f t="shared" si="178"/>
        <v>0</v>
      </c>
      <c r="AW306" s="1496">
        <f t="shared" si="179"/>
        <v>0</v>
      </c>
      <c r="AX306" s="14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5"/>
      <c r="AV307" s="1496">
        <f t="shared" si="178"/>
        <v>0</v>
      </c>
      <c r="AW307" s="1496">
        <f t="shared" si="179"/>
        <v>0</v>
      </c>
      <c r="AX307" s="14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5"/>
      <c r="AV308" s="1496">
        <f t="shared" si="178"/>
        <v>0</v>
      </c>
      <c r="AW308" s="1496">
        <f t="shared" si="179"/>
        <v>0</v>
      </c>
      <c r="AX308" s="14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5"/>
      <c r="AV309" s="1496">
        <f t="shared" si="178"/>
        <v>0</v>
      </c>
      <c r="AW309" s="1496">
        <f t="shared" si="179"/>
        <v>0</v>
      </c>
      <c r="AX309" s="14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5"/>
      <c r="AV310" s="1496">
        <f t="shared" si="178"/>
        <v>0</v>
      </c>
      <c r="AW310" s="1496">
        <f t="shared" si="179"/>
        <v>0</v>
      </c>
      <c r="AX310" s="14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5"/>
      <c r="AV311" s="1496">
        <f t="shared" si="178"/>
        <v>0</v>
      </c>
      <c r="AW311" s="1496">
        <f t="shared" si="179"/>
        <v>0</v>
      </c>
      <c r="AX311" s="14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5"/>
      <c r="AV312" s="1496">
        <f t="shared" si="178"/>
        <v>0</v>
      </c>
      <c r="AW312" s="1496">
        <f t="shared" si="179"/>
        <v>0</v>
      </c>
      <c r="AX312" s="14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5"/>
      <c r="AV313" s="1496">
        <f t="shared" si="178"/>
        <v>0</v>
      </c>
      <c r="AW313" s="1496">
        <f t="shared" si="179"/>
        <v>0</v>
      </c>
      <c r="AX313" s="14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5"/>
      <c r="AV314" s="1496">
        <f t="shared" si="178"/>
        <v>0</v>
      </c>
      <c r="AW314" s="1496">
        <f t="shared" si="179"/>
        <v>0</v>
      </c>
      <c r="AX314" s="14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5"/>
      <c r="AV315" s="1496">
        <f t="shared" si="178"/>
        <v>0</v>
      </c>
      <c r="AW315" s="1496">
        <f t="shared" si="179"/>
        <v>0</v>
      </c>
      <c r="AX315" s="14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5"/>
      <c r="AV316" s="1496">
        <f t="shared" si="178"/>
        <v>0</v>
      </c>
      <c r="AW316" s="1496">
        <f t="shared" si="179"/>
        <v>0</v>
      </c>
      <c r="AX316" s="14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5"/>
      <c r="AV317" s="1496">
        <f t="shared" si="178"/>
        <v>0</v>
      </c>
      <c r="AW317" s="1496">
        <f t="shared" si="179"/>
        <v>0</v>
      </c>
      <c r="AX317" s="14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5"/>
      <c r="AV318" s="1496">
        <f t="shared" si="178"/>
        <v>0</v>
      </c>
      <c r="AW318" s="1496">
        <f t="shared" si="179"/>
        <v>0</v>
      </c>
      <c r="AX318" s="14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5"/>
      <c r="AV319" s="1496">
        <f t="shared" si="178"/>
        <v>0</v>
      </c>
      <c r="AW319" s="1496">
        <f t="shared" si="179"/>
        <v>0</v>
      </c>
      <c r="AX319" s="14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5"/>
      <c r="AV320" s="1496">
        <f t="shared" si="178"/>
        <v>0</v>
      </c>
      <c r="AW320" s="1496">
        <f t="shared" si="179"/>
        <v>0</v>
      </c>
      <c r="AX320" s="14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5"/>
      <c r="AV321" s="1496">
        <f t="shared" si="178"/>
        <v>0</v>
      </c>
      <c r="AW321" s="1496">
        <f t="shared" si="179"/>
        <v>0</v>
      </c>
      <c r="AX321" s="14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5"/>
      <c r="AV322" s="1496">
        <f t="shared" si="178"/>
        <v>0</v>
      </c>
      <c r="AW322" s="1496">
        <f t="shared" si="179"/>
        <v>0</v>
      </c>
      <c r="AX322" s="14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5"/>
      <c r="AV323" s="1496">
        <f t="shared" si="178"/>
        <v>0</v>
      </c>
      <c r="AW323" s="1496">
        <f t="shared" si="179"/>
        <v>0</v>
      </c>
      <c r="AX323" s="14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5"/>
      <c r="AV324" s="1496">
        <f t="shared" si="178"/>
        <v>0</v>
      </c>
      <c r="AW324" s="1496">
        <f t="shared" si="179"/>
        <v>0</v>
      </c>
      <c r="AX324" s="14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5"/>
      <c r="AV325" s="1496">
        <f t="shared" si="178"/>
        <v>0</v>
      </c>
      <c r="AW325" s="1496">
        <f t="shared" si="179"/>
        <v>0</v>
      </c>
      <c r="AX325" s="14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5"/>
      <c r="AV326" s="1496">
        <f t="shared" si="178"/>
        <v>0</v>
      </c>
      <c r="AW326" s="1496">
        <f t="shared" si="179"/>
        <v>0</v>
      </c>
      <c r="AX326" s="14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5"/>
      <c r="AV327" s="1496">
        <f t="shared" si="178"/>
        <v>0</v>
      </c>
      <c r="AW327" s="1496">
        <f t="shared" si="179"/>
        <v>0</v>
      </c>
      <c r="AX327" s="14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5"/>
      <c r="AV328" s="1496">
        <f t="shared" si="178"/>
        <v>0</v>
      </c>
      <c r="AW328" s="1496">
        <f t="shared" si="179"/>
        <v>0</v>
      </c>
      <c r="AX328" s="14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5"/>
      <c r="AV329" s="1496">
        <f t="shared" si="178"/>
        <v>0</v>
      </c>
      <c r="AW329" s="1496">
        <f t="shared" si="179"/>
        <v>0</v>
      </c>
      <c r="AX329" s="14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5"/>
      <c r="AV330" s="1496">
        <f t="shared" si="178"/>
        <v>0</v>
      </c>
      <c r="AW330" s="1496">
        <f t="shared" si="179"/>
        <v>0</v>
      </c>
      <c r="AX330" s="14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5"/>
      <c r="AV331" s="1496">
        <f t="shared" si="178"/>
        <v>0</v>
      </c>
      <c r="AW331" s="1496">
        <f t="shared" si="179"/>
        <v>0</v>
      </c>
      <c r="AX331" s="14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5"/>
      <c r="AV332" s="1496">
        <f t="shared" si="178"/>
        <v>0</v>
      </c>
      <c r="AW332" s="1496">
        <f t="shared" si="179"/>
        <v>0</v>
      </c>
      <c r="AX332" s="14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5"/>
      <c r="AV333" s="1496">
        <f t="shared" si="178"/>
        <v>0</v>
      </c>
      <c r="AW333" s="1496">
        <f t="shared" si="179"/>
        <v>0</v>
      </c>
      <c r="AX333" s="14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5"/>
      <c r="AV334" s="1496">
        <f t="shared" si="178"/>
        <v>0</v>
      </c>
      <c r="AW334" s="1496">
        <f t="shared" si="179"/>
        <v>0</v>
      </c>
      <c r="AX334" s="14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5"/>
      <c r="AV335" s="1496">
        <f t="shared" ref="AV335:AV366" si="207">A335</f>
        <v>0</v>
      </c>
      <c r="AW335" s="1496">
        <f t="shared" ref="AW335:AW366" si="208">B335</f>
        <v>0</v>
      </c>
      <c r="AX335" s="14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5"/>
      <c r="AV336" s="1496">
        <f t="shared" si="207"/>
        <v>0</v>
      </c>
      <c r="AW336" s="1496">
        <f t="shared" si="208"/>
        <v>0</v>
      </c>
      <c r="AX336" s="14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5"/>
      <c r="AV337" s="1496">
        <f t="shared" si="207"/>
        <v>0</v>
      </c>
      <c r="AW337" s="1496">
        <f t="shared" si="208"/>
        <v>0</v>
      </c>
      <c r="AX337" s="14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5"/>
      <c r="AV338" s="1496">
        <f t="shared" si="207"/>
        <v>0</v>
      </c>
      <c r="AW338" s="1496">
        <f t="shared" si="208"/>
        <v>0</v>
      </c>
      <c r="AX338" s="14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5"/>
      <c r="AV339" s="1496">
        <f t="shared" si="207"/>
        <v>0</v>
      </c>
      <c r="AW339" s="1496">
        <f t="shared" si="208"/>
        <v>0</v>
      </c>
      <c r="AX339" s="14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5"/>
      <c r="AV340" s="1496">
        <f t="shared" si="207"/>
        <v>0</v>
      </c>
      <c r="AW340" s="1496">
        <f t="shared" si="208"/>
        <v>0</v>
      </c>
      <c r="AX340" s="14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5"/>
      <c r="AV341" s="1496">
        <f t="shared" si="207"/>
        <v>0</v>
      </c>
      <c r="AW341" s="1496">
        <f t="shared" si="208"/>
        <v>0</v>
      </c>
      <c r="AX341" s="14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5"/>
      <c r="AV342" s="1496">
        <f t="shared" si="207"/>
        <v>0</v>
      </c>
      <c r="AW342" s="1496">
        <f t="shared" si="208"/>
        <v>0</v>
      </c>
      <c r="AX342" s="14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5"/>
      <c r="AV343" s="1496">
        <f t="shared" si="207"/>
        <v>0</v>
      </c>
      <c r="AW343" s="1496">
        <f t="shared" si="208"/>
        <v>0</v>
      </c>
      <c r="AX343" s="14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5"/>
      <c r="AV344" s="1496">
        <f t="shared" si="207"/>
        <v>0</v>
      </c>
      <c r="AW344" s="1496">
        <f t="shared" si="208"/>
        <v>0</v>
      </c>
      <c r="AX344" s="14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5"/>
      <c r="AV345" s="1496">
        <f t="shared" si="207"/>
        <v>0</v>
      </c>
      <c r="AW345" s="1496">
        <f t="shared" si="208"/>
        <v>0</v>
      </c>
      <c r="AX345" s="14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5"/>
      <c r="AV346" s="1496">
        <f t="shared" si="207"/>
        <v>0</v>
      </c>
      <c r="AW346" s="1496">
        <f t="shared" si="208"/>
        <v>0</v>
      </c>
      <c r="AX346" s="14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5"/>
      <c r="AV347" s="1496">
        <f t="shared" si="207"/>
        <v>0</v>
      </c>
      <c r="AW347" s="1496">
        <f t="shared" si="208"/>
        <v>0</v>
      </c>
      <c r="AX347" s="14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5"/>
      <c r="AV348" s="1496">
        <f t="shared" si="207"/>
        <v>0</v>
      </c>
      <c r="AW348" s="1496">
        <f t="shared" si="208"/>
        <v>0</v>
      </c>
      <c r="AX348" s="14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5"/>
      <c r="AV349" s="1496">
        <f t="shared" si="207"/>
        <v>0</v>
      </c>
      <c r="AW349" s="1496">
        <f t="shared" si="208"/>
        <v>0</v>
      </c>
      <c r="AX349" s="14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5"/>
      <c r="AV350" s="1496">
        <f t="shared" si="207"/>
        <v>0</v>
      </c>
      <c r="AW350" s="1496">
        <f t="shared" si="208"/>
        <v>0</v>
      </c>
      <c r="AX350" s="14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5"/>
      <c r="AV351" s="1496">
        <f t="shared" si="207"/>
        <v>0</v>
      </c>
      <c r="AW351" s="1496">
        <f t="shared" si="208"/>
        <v>0</v>
      </c>
      <c r="AX351" s="14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5"/>
      <c r="AV352" s="1496">
        <f t="shared" si="207"/>
        <v>0</v>
      </c>
      <c r="AW352" s="1496">
        <f t="shared" si="208"/>
        <v>0</v>
      </c>
      <c r="AX352" s="14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5"/>
      <c r="AV353" s="1496">
        <f t="shared" si="207"/>
        <v>0</v>
      </c>
      <c r="AW353" s="1496">
        <f t="shared" si="208"/>
        <v>0</v>
      </c>
      <c r="AX353" s="14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5"/>
      <c r="AV354" s="1496">
        <f t="shared" si="207"/>
        <v>0</v>
      </c>
      <c r="AW354" s="1496">
        <f t="shared" si="208"/>
        <v>0</v>
      </c>
      <c r="AX354" s="14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5"/>
      <c r="AV355" s="1496">
        <f t="shared" si="207"/>
        <v>0</v>
      </c>
      <c r="AW355" s="1496">
        <f t="shared" si="208"/>
        <v>0</v>
      </c>
      <c r="AX355" s="14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5"/>
      <c r="AV356" s="1496">
        <f t="shared" si="207"/>
        <v>0</v>
      </c>
      <c r="AW356" s="1496">
        <f t="shared" si="208"/>
        <v>0</v>
      </c>
      <c r="AX356" s="14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5"/>
      <c r="AV357" s="1496">
        <f t="shared" si="207"/>
        <v>0</v>
      </c>
      <c r="AW357" s="1496">
        <f t="shared" si="208"/>
        <v>0</v>
      </c>
      <c r="AX357" s="14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5"/>
      <c r="AV358" s="1496">
        <f t="shared" si="207"/>
        <v>0</v>
      </c>
      <c r="AW358" s="1496">
        <f t="shared" si="208"/>
        <v>0</v>
      </c>
      <c r="AX358" s="14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5"/>
      <c r="AV359" s="1496">
        <f t="shared" si="207"/>
        <v>0</v>
      </c>
      <c r="AW359" s="1496">
        <f t="shared" si="208"/>
        <v>0</v>
      </c>
      <c r="AX359" s="14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5"/>
      <c r="AV360" s="1496">
        <f t="shared" si="207"/>
        <v>0</v>
      </c>
      <c r="AW360" s="1496">
        <f t="shared" si="208"/>
        <v>0</v>
      </c>
      <c r="AX360" s="14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5"/>
      <c r="AV361" s="1496">
        <f t="shared" si="207"/>
        <v>0</v>
      </c>
      <c r="AW361" s="1496">
        <f t="shared" si="208"/>
        <v>0</v>
      </c>
      <c r="AX361" s="14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5"/>
      <c r="AV362" s="1496">
        <f t="shared" si="207"/>
        <v>0</v>
      </c>
      <c r="AW362" s="1496">
        <f t="shared" si="208"/>
        <v>0</v>
      </c>
      <c r="AX362" s="14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5"/>
      <c r="AV363" s="1496">
        <f t="shared" si="207"/>
        <v>0</v>
      </c>
      <c r="AW363" s="1496">
        <f t="shared" si="208"/>
        <v>0</v>
      </c>
      <c r="AX363" s="14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5"/>
      <c r="AV364" s="1496">
        <f t="shared" si="207"/>
        <v>0</v>
      </c>
      <c r="AW364" s="1496">
        <f t="shared" si="208"/>
        <v>0</v>
      </c>
      <c r="AX364" s="14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5"/>
      <c r="AV365" s="1496">
        <f t="shared" si="207"/>
        <v>0</v>
      </c>
      <c r="AW365" s="1496">
        <f t="shared" si="208"/>
        <v>0</v>
      </c>
      <c r="AX365" s="14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5"/>
      <c r="AV366" s="1496">
        <f t="shared" si="207"/>
        <v>0</v>
      </c>
      <c r="AW366" s="1496">
        <f t="shared" si="208"/>
        <v>0</v>
      </c>
      <c r="AX366" s="14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5"/>
      <c r="AV367" s="1496">
        <f t="shared" ref="AV367:AV397" si="236">A367</f>
        <v>0</v>
      </c>
      <c r="AW367" s="1496">
        <f t="shared" ref="AW367:AW397" si="237">B367</f>
        <v>0</v>
      </c>
      <c r="AX367" s="14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5"/>
      <c r="AV368" s="1496">
        <f t="shared" si="236"/>
        <v>0</v>
      </c>
      <c r="AW368" s="1496">
        <f t="shared" si="237"/>
        <v>0</v>
      </c>
      <c r="AX368" s="14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5"/>
      <c r="AV369" s="1496">
        <f t="shared" si="236"/>
        <v>0</v>
      </c>
      <c r="AW369" s="1496">
        <f t="shared" si="237"/>
        <v>0</v>
      </c>
      <c r="AX369" s="14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5"/>
      <c r="AV370" s="1496">
        <f t="shared" si="236"/>
        <v>0</v>
      </c>
      <c r="AW370" s="1496">
        <f t="shared" si="237"/>
        <v>0</v>
      </c>
      <c r="AX370" s="14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5"/>
      <c r="AV371" s="1496">
        <f t="shared" si="236"/>
        <v>0</v>
      </c>
      <c r="AW371" s="1496">
        <f t="shared" si="237"/>
        <v>0</v>
      </c>
      <c r="AX371" s="14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5"/>
      <c r="AV372" s="1496">
        <f t="shared" si="236"/>
        <v>0</v>
      </c>
      <c r="AW372" s="1496">
        <f t="shared" si="237"/>
        <v>0</v>
      </c>
      <c r="AX372" s="14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5"/>
      <c r="AV373" s="1496">
        <f t="shared" si="236"/>
        <v>0</v>
      </c>
      <c r="AW373" s="1496">
        <f t="shared" si="237"/>
        <v>0</v>
      </c>
      <c r="AX373" s="14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5"/>
      <c r="AV374" s="1496">
        <f t="shared" si="236"/>
        <v>0</v>
      </c>
      <c r="AW374" s="1496">
        <f t="shared" si="237"/>
        <v>0</v>
      </c>
      <c r="AX374" s="14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5"/>
      <c r="AV375" s="1496">
        <f t="shared" si="236"/>
        <v>0</v>
      </c>
      <c r="AW375" s="1496">
        <f t="shared" si="237"/>
        <v>0</v>
      </c>
      <c r="AX375" s="14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5"/>
      <c r="AV376" s="1496">
        <f t="shared" si="236"/>
        <v>0</v>
      </c>
      <c r="AW376" s="1496">
        <f t="shared" si="237"/>
        <v>0</v>
      </c>
      <c r="AX376" s="14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5"/>
      <c r="AV377" s="1496">
        <f t="shared" si="236"/>
        <v>0</v>
      </c>
      <c r="AW377" s="1496">
        <f t="shared" si="237"/>
        <v>0</v>
      </c>
      <c r="AX377" s="14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5"/>
      <c r="AV378" s="1496">
        <f t="shared" si="236"/>
        <v>0</v>
      </c>
      <c r="AW378" s="1496">
        <f t="shared" si="237"/>
        <v>0</v>
      </c>
      <c r="AX378" s="14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5"/>
      <c r="AV379" s="1496">
        <f t="shared" si="236"/>
        <v>0</v>
      </c>
      <c r="AW379" s="1496">
        <f t="shared" si="237"/>
        <v>0</v>
      </c>
      <c r="AX379" s="14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5"/>
      <c r="AV380" s="1496">
        <f t="shared" si="236"/>
        <v>0</v>
      </c>
      <c r="AW380" s="1496">
        <f t="shared" si="237"/>
        <v>0</v>
      </c>
      <c r="AX380" s="14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5"/>
      <c r="AV381" s="1496">
        <f t="shared" si="236"/>
        <v>0</v>
      </c>
      <c r="AW381" s="1496">
        <f t="shared" si="237"/>
        <v>0</v>
      </c>
      <c r="AX381" s="14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5"/>
      <c r="AV382" s="1496">
        <f t="shared" si="236"/>
        <v>0</v>
      </c>
      <c r="AW382" s="1496">
        <f t="shared" si="237"/>
        <v>0</v>
      </c>
      <c r="AX382" s="14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5"/>
      <c r="AV383" s="1496">
        <f t="shared" si="236"/>
        <v>0</v>
      </c>
      <c r="AW383" s="1496">
        <f t="shared" si="237"/>
        <v>0</v>
      </c>
      <c r="AX383" s="14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5"/>
      <c r="AV384" s="1496">
        <f t="shared" si="236"/>
        <v>0</v>
      </c>
      <c r="AW384" s="1496">
        <f t="shared" si="237"/>
        <v>0</v>
      </c>
      <c r="AX384" s="14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5"/>
      <c r="AV385" s="1496">
        <f t="shared" si="236"/>
        <v>0</v>
      </c>
      <c r="AW385" s="1496">
        <f t="shared" si="237"/>
        <v>0</v>
      </c>
      <c r="AX385" s="14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5"/>
      <c r="AV386" s="1496">
        <f t="shared" si="236"/>
        <v>0</v>
      </c>
      <c r="AW386" s="1496">
        <f t="shared" si="237"/>
        <v>0</v>
      </c>
      <c r="AX386" s="14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5"/>
      <c r="AV387" s="1496">
        <f t="shared" si="236"/>
        <v>0</v>
      </c>
      <c r="AW387" s="1496">
        <f t="shared" si="237"/>
        <v>0</v>
      </c>
      <c r="AX387" s="14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5"/>
      <c r="AV388" s="1496">
        <f t="shared" si="236"/>
        <v>0</v>
      </c>
      <c r="AW388" s="1496">
        <f t="shared" si="237"/>
        <v>0</v>
      </c>
      <c r="AX388" s="14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5"/>
      <c r="AV389" s="1496">
        <f t="shared" si="236"/>
        <v>0</v>
      </c>
      <c r="AW389" s="1496">
        <f t="shared" si="237"/>
        <v>0</v>
      </c>
      <c r="AX389" s="14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5"/>
      <c r="AV390" s="1496">
        <f t="shared" si="236"/>
        <v>0</v>
      </c>
      <c r="AW390" s="1496">
        <f t="shared" si="237"/>
        <v>0</v>
      </c>
      <c r="AX390" s="14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5"/>
      <c r="AV391" s="1496">
        <f t="shared" si="236"/>
        <v>0</v>
      </c>
      <c r="AW391" s="1496">
        <f t="shared" si="237"/>
        <v>0</v>
      </c>
      <c r="AX391" s="14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5"/>
      <c r="AV392" s="1496">
        <f t="shared" si="236"/>
        <v>0</v>
      </c>
      <c r="AW392" s="1496">
        <f t="shared" si="237"/>
        <v>0</v>
      </c>
      <c r="AX392" s="14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5"/>
      <c r="AV393" s="1496">
        <f t="shared" si="236"/>
        <v>0</v>
      </c>
      <c r="AW393" s="1496">
        <f t="shared" si="237"/>
        <v>0</v>
      </c>
      <c r="AX393" s="14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5"/>
      <c r="AV394" s="1496">
        <f t="shared" si="236"/>
        <v>0</v>
      </c>
      <c r="AW394" s="1496">
        <f t="shared" si="237"/>
        <v>0</v>
      </c>
      <c r="AX394" s="14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5"/>
      <c r="AV395" s="1496">
        <f t="shared" si="236"/>
        <v>0</v>
      </c>
      <c r="AW395" s="1496">
        <f t="shared" si="237"/>
        <v>0</v>
      </c>
      <c r="AX395" s="14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5"/>
      <c r="AV396" s="1496">
        <f t="shared" si="236"/>
        <v>0</v>
      </c>
      <c r="AW396" s="1496">
        <f t="shared" si="237"/>
        <v>0</v>
      </c>
      <c r="AX396" s="14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5"/>
      <c r="AV397" s="1496">
        <f t="shared" si="236"/>
        <v>0</v>
      </c>
      <c r="AW397" s="1496">
        <f t="shared" si="237"/>
        <v>0</v>
      </c>
      <c r="AX397" s="14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5"/>
      <c r="AV398" s="1496">
        <f t="shared" ref="AV398:AV492" si="243">A398</f>
        <v>0</v>
      </c>
      <c r="AW398" s="1496">
        <f t="shared" ref="AW398:AW492" si="244">B398</f>
        <v>0</v>
      </c>
      <c r="AX398" s="14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5"/>
      <c r="AV399" s="1496">
        <f t="shared" si="243"/>
        <v>0</v>
      </c>
      <c r="AW399" s="1496">
        <f t="shared" si="244"/>
        <v>0</v>
      </c>
      <c r="AX399" s="14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5"/>
      <c r="AV400" s="1496">
        <f t="shared" si="243"/>
        <v>0</v>
      </c>
      <c r="AW400" s="1496">
        <f t="shared" si="244"/>
        <v>0</v>
      </c>
      <c r="AX400" s="14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5"/>
      <c r="AV401" s="1496">
        <f t="shared" si="243"/>
        <v>0</v>
      </c>
      <c r="AW401" s="1496">
        <f t="shared" si="244"/>
        <v>0</v>
      </c>
      <c r="AX401" s="14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5"/>
      <c r="AV402" s="1496">
        <f t="shared" si="243"/>
        <v>0</v>
      </c>
      <c r="AW402" s="1496">
        <f t="shared" si="244"/>
        <v>0</v>
      </c>
      <c r="AX402" s="14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5"/>
      <c r="AV403" s="1496">
        <f t="shared" si="243"/>
        <v>0</v>
      </c>
      <c r="AW403" s="1496">
        <f t="shared" si="244"/>
        <v>0</v>
      </c>
      <c r="AX403" s="14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5"/>
      <c r="AV404" s="1496">
        <f t="shared" si="243"/>
        <v>0</v>
      </c>
      <c r="AW404" s="1496">
        <f t="shared" si="244"/>
        <v>0</v>
      </c>
      <c r="AX404" s="14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5"/>
      <c r="AV405" s="1496">
        <f t="shared" si="243"/>
        <v>0</v>
      </c>
      <c r="AW405" s="1496">
        <f t="shared" si="244"/>
        <v>0</v>
      </c>
      <c r="AX405" s="14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5"/>
      <c r="AV406" s="1496">
        <f t="shared" si="243"/>
        <v>0</v>
      </c>
      <c r="AW406" s="1496">
        <f t="shared" si="244"/>
        <v>0</v>
      </c>
      <c r="AX406" s="14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5"/>
      <c r="AV407" s="1496">
        <f t="shared" si="243"/>
        <v>0</v>
      </c>
      <c r="AW407" s="1496">
        <f t="shared" si="244"/>
        <v>0</v>
      </c>
      <c r="AX407" s="14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5"/>
      <c r="AV408" s="1496">
        <f t="shared" si="243"/>
        <v>0</v>
      </c>
      <c r="AW408" s="1496">
        <f t="shared" si="244"/>
        <v>0</v>
      </c>
      <c r="AX408" s="14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5"/>
      <c r="AV409" s="1496">
        <f t="shared" si="243"/>
        <v>0</v>
      </c>
      <c r="AW409" s="1496">
        <f t="shared" si="244"/>
        <v>0</v>
      </c>
      <c r="AX409" s="14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5"/>
      <c r="AV410" s="1496">
        <f t="shared" si="243"/>
        <v>0</v>
      </c>
      <c r="AW410" s="1496">
        <f t="shared" si="244"/>
        <v>0</v>
      </c>
      <c r="AX410" s="14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5"/>
      <c r="AV411" s="1496">
        <f t="shared" si="243"/>
        <v>0</v>
      </c>
      <c r="AW411" s="1496">
        <f t="shared" si="244"/>
        <v>0</v>
      </c>
      <c r="AX411" s="14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5"/>
      <c r="AV412" s="1496">
        <f t="shared" si="243"/>
        <v>0</v>
      </c>
      <c r="AW412" s="1496">
        <f t="shared" si="244"/>
        <v>0</v>
      </c>
      <c r="AX412" s="14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5"/>
      <c r="AV413" s="1496">
        <f t="shared" si="243"/>
        <v>0</v>
      </c>
      <c r="AW413" s="1496">
        <f t="shared" si="244"/>
        <v>0</v>
      </c>
      <c r="AX413" s="14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5"/>
      <c r="AV414" s="1496">
        <f t="shared" si="243"/>
        <v>0</v>
      </c>
      <c r="AW414" s="1496">
        <f t="shared" si="244"/>
        <v>0</v>
      </c>
      <c r="AX414" s="14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5"/>
      <c r="AV415" s="1496">
        <f t="shared" si="243"/>
        <v>0</v>
      </c>
      <c r="AW415" s="1496">
        <f t="shared" si="244"/>
        <v>0</v>
      </c>
      <c r="AX415" s="14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5"/>
      <c r="AV416" s="1496">
        <f t="shared" si="243"/>
        <v>0</v>
      </c>
      <c r="AW416" s="1496">
        <f t="shared" si="244"/>
        <v>0</v>
      </c>
      <c r="AX416" s="14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5"/>
      <c r="AV417" s="1496">
        <f t="shared" si="243"/>
        <v>0</v>
      </c>
      <c r="AW417" s="1496">
        <f t="shared" si="244"/>
        <v>0</v>
      </c>
      <c r="AX417" s="14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5"/>
      <c r="AV418" s="1496">
        <f t="shared" si="243"/>
        <v>0</v>
      </c>
      <c r="AW418" s="1496">
        <f t="shared" si="244"/>
        <v>0</v>
      </c>
      <c r="AX418" s="14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5"/>
      <c r="AV419" s="1496">
        <f t="shared" si="243"/>
        <v>0</v>
      </c>
      <c r="AW419" s="1496">
        <f t="shared" si="244"/>
        <v>0</v>
      </c>
      <c r="AX419" s="14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5"/>
      <c r="AV420" s="1496">
        <f t="shared" si="243"/>
        <v>0</v>
      </c>
      <c r="AW420" s="1496">
        <f t="shared" si="244"/>
        <v>0</v>
      </c>
      <c r="AX420" s="14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5"/>
      <c r="AV421" s="1496">
        <f t="shared" si="243"/>
        <v>0</v>
      </c>
      <c r="AW421" s="1496">
        <f t="shared" si="244"/>
        <v>0</v>
      </c>
      <c r="AX421" s="14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5"/>
      <c r="AV422" s="1496">
        <f t="shared" si="243"/>
        <v>0</v>
      </c>
      <c r="AW422" s="1496">
        <f t="shared" si="244"/>
        <v>0</v>
      </c>
      <c r="AX422" s="14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5"/>
      <c r="AV423" s="1496">
        <f t="shared" si="243"/>
        <v>0</v>
      </c>
      <c r="AW423" s="1496">
        <f t="shared" si="244"/>
        <v>0</v>
      </c>
      <c r="AX423" s="14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5"/>
      <c r="AV424" s="1496">
        <f t="shared" si="243"/>
        <v>0</v>
      </c>
      <c r="AW424" s="1496">
        <f t="shared" si="244"/>
        <v>0</v>
      </c>
      <c r="AX424" s="14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5"/>
      <c r="AV425" s="1496">
        <f t="shared" si="243"/>
        <v>0</v>
      </c>
      <c r="AW425" s="1496">
        <f t="shared" si="244"/>
        <v>0</v>
      </c>
      <c r="AX425" s="14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5"/>
      <c r="AV426" s="1496">
        <f t="shared" si="243"/>
        <v>0</v>
      </c>
      <c r="AW426" s="1496">
        <f t="shared" si="244"/>
        <v>0</v>
      </c>
      <c r="AX426" s="14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5"/>
      <c r="AV427" s="1496">
        <f t="shared" si="243"/>
        <v>0</v>
      </c>
      <c r="AW427" s="1496">
        <f t="shared" si="244"/>
        <v>0</v>
      </c>
      <c r="AX427" s="14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5"/>
      <c r="AV428" s="1496">
        <f t="shared" si="243"/>
        <v>0</v>
      </c>
      <c r="AW428" s="1496">
        <f t="shared" si="244"/>
        <v>0</v>
      </c>
      <c r="AX428" s="14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5"/>
      <c r="AV429" s="1496">
        <f t="shared" si="243"/>
        <v>0</v>
      </c>
      <c r="AW429" s="1496">
        <f t="shared" si="244"/>
        <v>0</v>
      </c>
      <c r="AX429" s="14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5"/>
      <c r="AV430" s="1496">
        <f t="shared" si="243"/>
        <v>0</v>
      </c>
      <c r="AW430" s="1496">
        <f t="shared" si="244"/>
        <v>0</v>
      </c>
      <c r="AX430" s="14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5"/>
      <c r="AV431" s="1496">
        <f t="shared" si="243"/>
        <v>0</v>
      </c>
      <c r="AW431" s="1496">
        <f t="shared" si="244"/>
        <v>0</v>
      </c>
      <c r="AX431" s="14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5"/>
      <c r="AV432" s="1496">
        <f t="shared" si="243"/>
        <v>0</v>
      </c>
      <c r="AW432" s="1496">
        <f t="shared" si="244"/>
        <v>0</v>
      </c>
      <c r="AX432" s="14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5"/>
      <c r="AV433" s="1496">
        <f t="shared" si="243"/>
        <v>0</v>
      </c>
      <c r="AW433" s="1496">
        <f t="shared" si="244"/>
        <v>0</v>
      </c>
      <c r="AX433" s="14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5"/>
      <c r="AV434" s="1496">
        <f t="shared" si="243"/>
        <v>0</v>
      </c>
      <c r="AW434" s="1496">
        <f t="shared" si="244"/>
        <v>0</v>
      </c>
      <c r="AX434" s="14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5"/>
      <c r="AV435" s="1496">
        <f t="shared" si="243"/>
        <v>0</v>
      </c>
      <c r="AW435" s="1496">
        <f t="shared" si="244"/>
        <v>0</v>
      </c>
      <c r="AX435" s="14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5"/>
      <c r="AV436" s="1496">
        <f t="shared" si="243"/>
        <v>0</v>
      </c>
      <c r="AW436" s="1496">
        <f t="shared" si="244"/>
        <v>0</v>
      </c>
      <c r="AX436" s="14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5"/>
      <c r="AV437" s="1496">
        <f t="shared" si="243"/>
        <v>0</v>
      </c>
      <c r="AW437" s="1496">
        <f t="shared" si="244"/>
        <v>0</v>
      </c>
      <c r="AX437" s="14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5"/>
      <c r="AV438" s="1496">
        <f t="shared" si="243"/>
        <v>0</v>
      </c>
      <c r="AW438" s="1496">
        <f t="shared" si="244"/>
        <v>0</v>
      </c>
      <c r="AX438" s="14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5"/>
      <c r="AV439" s="1496">
        <f t="shared" si="243"/>
        <v>0</v>
      </c>
      <c r="AW439" s="1496">
        <f t="shared" si="244"/>
        <v>0</v>
      </c>
      <c r="AX439" s="14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5"/>
      <c r="AV440" s="1496">
        <f t="shared" si="243"/>
        <v>0</v>
      </c>
      <c r="AW440" s="1496">
        <f t="shared" si="244"/>
        <v>0</v>
      </c>
      <c r="AX440" s="14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5"/>
      <c r="AV441" s="1496">
        <f t="shared" si="243"/>
        <v>0</v>
      </c>
      <c r="AW441" s="1496">
        <f t="shared" si="244"/>
        <v>0</v>
      </c>
      <c r="AX441" s="14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5"/>
      <c r="AV442" s="1496">
        <f t="shared" si="243"/>
        <v>0</v>
      </c>
      <c r="AW442" s="1496">
        <f t="shared" si="244"/>
        <v>0</v>
      </c>
      <c r="AX442" s="14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5"/>
      <c r="AV443" s="1496">
        <f t="shared" si="243"/>
        <v>0</v>
      </c>
      <c r="AW443" s="1496">
        <f t="shared" si="244"/>
        <v>0</v>
      </c>
      <c r="AX443" s="14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5"/>
      <c r="AV444" s="1496">
        <f t="shared" si="243"/>
        <v>0</v>
      </c>
      <c r="AW444" s="1496">
        <f t="shared" si="244"/>
        <v>0</v>
      </c>
      <c r="AX444" s="14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5"/>
      <c r="AV445" s="1496">
        <f t="shared" si="243"/>
        <v>0</v>
      </c>
      <c r="AW445" s="1496">
        <f t="shared" si="244"/>
        <v>0</v>
      </c>
      <c r="AX445" s="14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5"/>
      <c r="AV446" s="1496">
        <f t="shared" si="243"/>
        <v>0</v>
      </c>
      <c r="AW446" s="1496">
        <f t="shared" si="244"/>
        <v>0</v>
      </c>
      <c r="AX446" s="14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5"/>
      <c r="AV447" s="1496">
        <f t="shared" si="243"/>
        <v>0</v>
      </c>
      <c r="AW447" s="1496">
        <f t="shared" si="244"/>
        <v>0</v>
      </c>
      <c r="AX447" s="14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5"/>
      <c r="AV448" s="1496">
        <f t="shared" si="243"/>
        <v>0</v>
      </c>
      <c r="AW448" s="1496">
        <f t="shared" si="244"/>
        <v>0</v>
      </c>
      <c r="AX448" s="14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5"/>
      <c r="AV449" s="1496">
        <f t="shared" si="243"/>
        <v>0</v>
      </c>
      <c r="AW449" s="1496">
        <f t="shared" si="244"/>
        <v>0</v>
      </c>
      <c r="AX449" s="14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5"/>
      <c r="AV450" s="1496">
        <f t="shared" si="243"/>
        <v>0</v>
      </c>
      <c r="AW450" s="1496">
        <f t="shared" si="244"/>
        <v>0</v>
      </c>
      <c r="AX450" s="14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5"/>
      <c r="AV451" s="1496">
        <f t="shared" si="243"/>
        <v>0</v>
      </c>
      <c r="AW451" s="1496">
        <f t="shared" si="244"/>
        <v>0</v>
      </c>
      <c r="AX451" s="14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5"/>
      <c r="AV452" s="1496">
        <f t="shared" si="243"/>
        <v>0</v>
      </c>
      <c r="AW452" s="1496">
        <f t="shared" si="244"/>
        <v>0</v>
      </c>
      <c r="AX452" s="14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5"/>
      <c r="AV453" s="1496">
        <f t="shared" si="243"/>
        <v>0</v>
      </c>
      <c r="AW453" s="1496">
        <f t="shared" si="244"/>
        <v>0</v>
      </c>
      <c r="AX453" s="14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5"/>
      <c r="AV454" s="1496">
        <f t="shared" si="243"/>
        <v>0</v>
      </c>
      <c r="AW454" s="1496">
        <f t="shared" si="244"/>
        <v>0</v>
      </c>
      <c r="AX454" s="14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5"/>
      <c r="AV455" s="1496">
        <f t="shared" si="243"/>
        <v>0</v>
      </c>
      <c r="AW455" s="1496">
        <f t="shared" si="244"/>
        <v>0</v>
      </c>
      <c r="AX455" s="14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5"/>
      <c r="AV456" s="1496">
        <f t="shared" si="243"/>
        <v>0</v>
      </c>
      <c r="AW456" s="1496">
        <f t="shared" si="244"/>
        <v>0</v>
      </c>
      <c r="AX456" s="14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5"/>
      <c r="AV457" s="1496">
        <f t="shared" si="243"/>
        <v>0</v>
      </c>
      <c r="AW457" s="1496">
        <f t="shared" si="244"/>
        <v>0</v>
      </c>
      <c r="AX457" s="14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5"/>
      <c r="AV458" s="1496">
        <f t="shared" si="243"/>
        <v>0</v>
      </c>
      <c r="AW458" s="1496">
        <f t="shared" si="244"/>
        <v>0</v>
      </c>
      <c r="AX458" s="14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5"/>
      <c r="AV459" s="1496">
        <f t="shared" si="243"/>
        <v>0</v>
      </c>
      <c r="AW459" s="1496">
        <f t="shared" si="244"/>
        <v>0</v>
      </c>
      <c r="AX459" s="14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5"/>
      <c r="AV460" s="1496">
        <f t="shared" si="243"/>
        <v>0</v>
      </c>
      <c r="AW460" s="1496">
        <f t="shared" si="244"/>
        <v>0</v>
      </c>
      <c r="AX460" s="14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5"/>
      <c r="AV461" s="1496">
        <f t="shared" si="243"/>
        <v>0</v>
      </c>
      <c r="AW461" s="1496">
        <f t="shared" si="244"/>
        <v>0</v>
      </c>
      <c r="AX461" s="14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5"/>
      <c r="AV462" s="1496">
        <f t="shared" si="243"/>
        <v>0</v>
      </c>
      <c r="AW462" s="1496">
        <f t="shared" si="244"/>
        <v>0</v>
      </c>
      <c r="AX462" s="14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5"/>
      <c r="AV463" s="1496">
        <f t="shared" si="243"/>
        <v>0</v>
      </c>
      <c r="AW463" s="1496">
        <f t="shared" si="244"/>
        <v>0</v>
      </c>
      <c r="AX463" s="14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5"/>
      <c r="AV464" s="1496">
        <f t="shared" si="243"/>
        <v>0</v>
      </c>
      <c r="AW464" s="1496">
        <f t="shared" si="244"/>
        <v>0</v>
      </c>
      <c r="AX464" s="14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5"/>
      <c r="AV465" s="1496">
        <f t="shared" si="243"/>
        <v>0</v>
      </c>
      <c r="AW465" s="1496">
        <f t="shared" si="244"/>
        <v>0</v>
      </c>
      <c r="AX465" s="14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5"/>
      <c r="AV466" s="1496">
        <f t="shared" si="243"/>
        <v>0</v>
      </c>
      <c r="AW466" s="1496">
        <f t="shared" si="244"/>
        <v>0</v>
      </c>
      <c r="AX466" s="14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5"/>
      <c r="AV467" s="1496">
        <f t="shared" si="243"/>
        <v>0</v>
      </c>
      <c r="AW467" s="1496">
        <f t="shared" si="244"/>
        <v>0</v>
      </c>
      <c r="AX467" s="14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5"/>
      <c r="AV468" s="1496">
        <f t="shared" si="243"/>
        <v>0</v>
      </c>
      <c r="AW468" s="1496">
        <f t="shared" si="244"/>
        <v>0</v>
      </c>
      <c r="AX468" s="14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5"/>
      <c r="AV469" s="1496">
        <f t="shared" si="243"/>
        <v>0</v>
      </c>
      <c r="AW469" s="1496">
        <f t="shared" si="244"/>
        <v>0</v>
      </c>
      <c r="AX469" s="14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5"/>
      <c r="AV470" s="1496">
        <f t="shared" si="243"/>
        <v>0</v>
      </c>
      <c r="AW470" s="1496">
        <f t="shared" si="244"/>
        <v>0</v>
      </c>
      <c r="AX470" s="14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5"/>
      <c r="AV471" s="1496">
        <f t="shared" si="243"/>
        <v>0</v>
      </c>
      <c r="AW471" s="1496">
        <f t="shared" si="244"/>
        <v>0</v>
      </c>
      <c r="AX471" s="14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5"/>
      <c r="AV472" s="1496">
        <f t="shared" si="243"/>
        <v>0</v>
      </c>
      <c r="AW472" s="1496">
        <f t="shared" si="244"/>
        <v>0</v>
      </c>
      <c r="AX472" s="14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5"/>
      <c r="AV473" s="1496">
        <f t="shared" si="243"/>
        <v>0</v>
      </c>
      <c r="AW473" s="1496">
        <f t="shared" si="244"/>
        <v>0</v>
      </c>
      <c r="AX473" s="14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5"/>
      <c r="AV474" s="1496">
        <f t="shared" si="243"/>
        <v>0</v>
      </c>
      <c r="AW474" s="1496">
        <f t="shared" si="244"/>
        <v>0</v>
      </c>
      <c r="AX474" s="14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5"/>
      <c r="AV475" s="1496">
        <f t="shared" si="243"/>
        <v>0</v>
      </c>
      <c r="AW475" s="1496">
        <f t="shared" si="244"/>
        <v>0</v>
      </c>
      <c r="AX475" s="14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5"/>
      <c r="AV476" s="1496">
        <f t="shared" si="243"/>
        <v>0</v>
      </c>
      <c r="AW476" s="1496">
        <f t="shared" si="244"/>
        <v>0</v>
      </c>
      <c r="AX476" s="14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5"/>
      <c r="AV477" s="1496">
        <f t="shared" si="243"/>
        <v>0</v>
      </c>
      <c r="AW477" s="1496">
        <f t="shared" si="244"/>
        <v>0</v>
      </c>
      <c r="AX477" s="14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5"/>
      <c r="AV478" s="1496">
        <f t="shared" si="243"/>
        <v>0</v>
      </c>
      <c r="AW478" s="1496">
        <f t="shared" si="244"/>
        <v>0</v>
      </c>
      <c r="AX478" s="14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5"/>
      <c r="AV479" s="1496">
        <f t="shared" si="243"/>
        <v>0</v>
      </c>
      <c r="AW479" s="1496">
        <f t="shared" si="244"/>
        <v>0</v>
      </c>
      <c r="AX479" s="14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5"/>
      <c r="AV480" s="1496">
        <f t="shared" si="243"/>
        <v>0</v>
      </c>
      <c r="AW480" s="1496">
        <f t="shared" si="244"/>
        <v>0</v>
      </c>
      <c r="AX480" s="14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5"/>
      <c r="AV481" s="1496">
        <f t="shared" si="243"/>
        <v>0</v>
      </c>
      <c r="AW481" s="1496">
        <f t="shared" si="244"/>
        <v>0</v>
      </c>
      <c r="AX481" s="14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5"/>
      <c r="AV482" s="1496">
        <f t="shared" si="243"/>
        <v>0</v>
      </c>
      <c r="AW482" s="1496">
        <f t="shared" si="244"/>
        <v>0</v>
      </c>
      <c r="AX482" s="14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5"/>
      <c r="AV483" s="1496">
        <f t="shared" si="243"/>
        <v>0</v>
      </c>
      <c r="AW483" s="1496">
        <f t="shared" si="244"/>
        <v>0</v>
      </c>
      <c r="AX483" s="14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5"/>
      <c r="AV484" s="1496">
        <f t="shared" si="243"/>
        <v>0</v>
      </c>
      <c r="AW484" s="1496">
        <f t="shared" si="244"/>
        <v>0</v>
      </c>
      <c r="AX484" s="14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5"/>
      <c r="AV485" s="1496">
        <f t="shared" si="243"/>
        <v>0</v>
      </c>
      <c r="AW485" s="1496">
        <f t="shared" si="244"/>
        <v>0</v>
      </c>
      <c r="AX485" s="14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5"/>
      <c r="AV486" s="1496">
        <f t="shared" si="243"/>
        <v>0</v>
      </c>
      <c r="AW486" s="1496">
        <f t="shared" si="244"/>
        <v>0</v>
      </c>
      <c r="AX486" s="14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5"/>
      <c r="AV487" s="1496">
        <f t="shared" si="243"/>
        <v>0</v>
      </c>
      <c r="AW487" s="1496">
        <f t="shared" si="244"/>
        <v>0</v>
      </c>
      <c r="AX487" s="14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5"/>
      <c r="AV488" s="1496">
        <f t="shared" si="243"/>
        <v>0</v>
      </c>
      <c r="AW488" s="1496">
        <f t="shared" si="244"/>
        <v>0</v>
      </c>
      <c r="AX488" s="14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5"/>
      <c r="AV489" s="1496">
        <f t="shared" si="243"/>
        <v>0</v>
      </c>
      <c r="AW489" s="1496">
        <f t="shared" si="244"/>
        <v>0</v>
      </c>
      <c r="AX489" s="14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5"/>
      <c r="AV490" s="1496">
        <f t="shared" si="243"/>
        <v>0</v>
      </c>
      <c r="AW490" s="1496">
        <f t="shared" si="244"/>
        <v>0</v>
      </c>
      <c r="AX490" s="14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5"/>
      <c r="AV491" s="1496">
        <f t="shared" si="243"/>
        <v>0</v>
      </c>
      <c r="AW491" s="1496">
        <f t="shared" si="244"/>
        <v>0</v>
      </c>
      <c r="AX491" s="14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5"/>
      <c r="AV492" s="1496">
        <f t="shared" si="243"/>
        <v>0</v>
      </c>
      <c r="AW492" s="1496">
        <f t="shared" si="244"/>
        <v>0</v>
      </c>
      <c r="AX492" s="14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5"/>
      <c r="AV493" s="1496">
        <f t="shared" ref="AV493:AV520" si="294">A493</f>
        <v>0</v>
      </c>
      <c r="AW493" s="1496">
        <f t="shared" ref="AW493:AW520" si="295">B493</f>
        <v>0</v>
      </c>
      <c r="AX493" s="14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5"/>
      <c r="AV494" s="1496">
        <f t="shared" si="294"/>
        <v>0</v>
      </c>
      <c r="AW494" s="1496">
        <f t="shared" si="295"/>
        <v>0</v>
      </c>
      <c r="AX494" s="14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5"/>
      <c r="AV495" s="1496">
        <f t="shared" si="294"/>
        <v>0</v>
      </c>
      <c r="AW495" s="1496">
        <f t="shared" si="295"/>
        <v>0</v>
      </c>
      <c r="AX495" s="14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5"/>
      <c r="AV496" s="1496">
        <f t="shared" si="294"/>
        <v>0</v>
      </c>
      <c r="AW496" s="1496">
        <f t="shared" si="295"/>
        <v>0</v>
      </c>
      <c r="AX496" s="14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5"/>
      <c r="AV497" s="1496">
        <f t="shared" si="294"/>
        <v>0</v>
      </c>
      <c r="AW497" s="1496">
        <f t="shared" si="295"/>
        <v>0</v>
      </c>
      <c r="AX497" s="14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5"/>
      <c r="AV498" s="1496">
        <f t="shared" si="294"/>
        <v>0</v>
      </c>
      <c r="AW498" s="1496">
        <f t="shared" si="295"/>
        <v>0</v>
      </c>
      <c r="AX498" s="14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5"/>
      <c r="AV499" s="1496">
        <f t="shared" si="294"/>
        <v>0</v>
      </c>
      <c r="AW499" s="1496">
        <f t="shared" si="295"/>
        <v>0</v>
      </c>
      <c r="AX499" s="14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5"/>
      <c r="AV500" s="1496">
        <f t="shared" si="294"/>
        <v>0</v>
      </c>
      <c r="AW500" s="1496">
        <f t="shared" si="295"/>
        <v>0</v>
      </c>
      <c r="AX500" s="14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5"/>
      <c r="AV501" s="1496">
        <f t="shared" si="294"/>
        <v>0</v>
      </c>
      <c r="AW501" s="1496">
        <f t="shared" si="295"/>
        <v>0</v>
      </c>
      <c r="AX501" s="14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5"/>
      <c r="AV502" s="1496">
        <f t="shared" si="294"/>
        <v>0</v>
      </c>
      <c r="AW502" s="1496">
        <f t="shared" si="295"/>
        <v>0</v>
      </c>
      <c r="AX502" s="14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5"/>
      <c r="AV503" s="1496">
        <f t="shared" si="294"/>
        <v>0</v>
      </c>
      <c r="AW503" s="1496">
        <f t="shared" si="295"/>
        <v>0</v>
      </c>
      <c r="AX503" s="14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5"/>
      <c r="AV504" s="1496">
        <f t="shared" si="294"/>
        <v>0</v>
      </c>
      <c r="AW504" s="1496">
        <f t="shared" si="295"/>
        <v>0</v>
      </c>
      <c r="AX504" s="14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5"/>
      <c r="AV505" s="1496">
        <f t="shared" si="294"/>
        <v>0</v>
      </c>
      <c r="AW505" s="1496">
        <f t="shared" si="295"/>
        <v>0</v>
      </c>
      <c r="AX505" s="14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5"/>
      <c r="AV506" s="1496">
        <f t="shared" si="294"/>
        <v>0</v>
      </c>
      <c r="AW506" s="1496">
        <f t="shared" si="295"/>
        <v>0</v>
      </c>
      <c r="AX506" s="14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5"/>
      <c r="AV507" s="1496">
        <f t="shared" si="294"/>
        <v>0</v>
      </c>
      <c r="AW507" s="1496">
        <f t="shared" si="295"/>
        <v>0</v>
      </c>
      <c r="AX507" s="14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5"/>
      <c r="AV508" s="1496">
        <f t="shared" si="294"/>
        <v>0</v>
      </c>
      <c r="AW508" s="1496">
        <f t="shared" si="295"/>
        <v>0</v>
      </c>
      <c r="AX508" s="14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5"/>
      <c r="AV509" s="1496">
        <f t="shared" si="294"/>
        <v>0</v>
      </c>
      <c r="AW509" s="1496">
        <f t="shared" si="295"/>
        <v>0</v>
      </c>
      <c r="AX509" s="14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5"/>
      <c r="AV510" s="1496">
        <f t="shared" si="294"/>
        <v>0</v>
      </c>
      <c r="AW510" s="1496">
        <f t="shared" si="295"/>
        <v>0</v>
      </c>
      <c r="AX510" s="14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5"/>
      <c r="AV511" s="1496">
        <f t="shared" si="294"/>
        <v>0</v>
      </c>
      <c r="AW511" s="1496">
        <f t="shared" si="295"/>
        <v>0</v>
      </c>
      <c r="AX511" s="14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5"/>
      <c r="AV512" s="1496">
        <f t="shared" si="294"/>
        <v>0</v>
      </c>
      <c r="AW512" s="1496">
        <f t="shared" si="295"/>
        <v>0</v>
      </c>
      <c r="AX512" s="14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5"/>
      <c r="AV513" s="1496">
        <f t="shared" si="294"/>
        <v>0</v>
      </c>
      <c r="AW513" s="1496">
        <f t="shared" si="295"/>
        <v>0</v>
      </c>
      <c r="AX513" s="14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5"/>
      <c r="AV514" s="1496">
        <f t="shared" si="294"/>
        <v>0</v>
      </c>
      <c r="AW514" s="1496">
        <f t="shared" si="295"/>
        <v>0</v>
      </c>
      <c r="AX514" s="14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5"/>
      <c r="AV515" s="1496">
        <f t="shared" si="294"/>
        <v>0</v>
      </c>
      <c r="AW515" s="1496">
        <f t="shared" si="295"/>
        <v>0</v>
      </c>
      <c r="AX515" s="14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5"/>
      <c r="AV516" s="1496">
        <f t="shared" si="294"/>
        <v>0</v>
      </c>
      <c r="AW516" s="1496">
        <f t="shared" si="295"/>
        <v>0</v>
      </c>
      <c r="AX516" s="14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5"/>
      <c r="AV517" s="1496">
        <f t="shared" si="294"/>
        <v>0</v>
      </c>
      <c r="AW517" s="1496">
        <f t="shared" si="295"/>
        <v>0</v>
      </c>
      <c r="AX517" s="14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5"/>
      <c r="AV518" s="1496">
        <f t="shared" si="294"/>
        <v>0</v>
      </c>
      <c r="AW518" s="1496">
        <f t="shared" si="295"/>
        <v>0</v>
      </c>
      <c r="AX518" s="14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5"/>
      <c r="AV519" s="1496">
        <f t="shared" si="294"/>
        <v>0</v>
      </c>
      <c r="AW519" s="1496">
        <f t="shared" si="295"/>
        <v>0</v>
      </c>
      <c r="AX519" s="14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5"/>
      <c r="AV520" s="1496">
        <f t="shared" si="294"/>
        <v>0</v>
      </c>
      <c r="AW520" s="1496">
        <f t="shared" si="295"/>
        <v>0</v>
      </c>
      <c r="AX520" s="14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5"/>
      <c r="AV521" s="1496">
        <f t="shared" ref="AV521:AV552" si="298">A521</f>
        <v>0</v>
      </c>
      <c r="AW521" s="1496">
        <f t="shared" ref="AW521:AW552" si="299">B521</f>
        <v>0</v>
      </c>
      <c r="AX521" s="14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5"/>
      <c r="AV522" s="1496">
        <f t="shared" si="298"/>
        <v>0</v>
      </c>
      <c r="AW522" s="1496">
        <f t="shared" si="299"/>
        <v>0</v>
      </c>
      <c r="AX522" s="14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5"/>
      <c r="AV523" s="1496">
        <f t="shared" si="298"/>
        <v>0</v>
      </c>
      <c r="AW523" s="1496">
        <f t="shared" si="299"/>
        <v>0</v>
      </c>
      <c r="AX523" s="14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5"/>
      <c r="AV524" s="1496">
        <f t="shared" si="298"/>
        <v>0</v>
      </c>
      <c r="AW524" s="1496">
        <f t="shared" si="299"/>
        <v>0</v>
      </c>
      <c r="AX524" s="14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5"/>
      <c r="AV525" s="1496">
        <f t="shared" si="298"/>
        <v>0</v>
      </c>
      <c r="AW525" s="1496">
        <f t="shared" si="299"/>
        <v>0</v>
      </c>
      <c r="AX525" s="14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5"/>
      <c r="AV526" s="1496">
        <f t="shared" si="298"/>
        <v>0</v>
      </c>
      <c r="AW526" s="1496">
        <f t="shared" si="299"/>
        <v>0</v>
      </c>
      <c r="AX526" s="14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5"/>
      <c r="AV527" s="1496">
        <f t="shared" si="298"/>
        <v>0</v>
      </c>
      <c r="AW527" s="1496">
        <f t="shared" si="299"/>
        <v>0</v>
      </c>
      <c r="AX527" s="14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5"/>
      <c r="AV528" s="1496">
        <f t="shared" si="298"/>
        <v>0</v>
      </c>
      <c r="AW528" s="1496">
        <f t="shared" si="299"/>
        <v>0</v>
      </c>
      <c r="AX528" s="14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5"/>
      <c r="AV529" s="1496">
        <f t="shared" si="298"/>
        <v>0</v>
      </c>
      <c r="AW529" s="1496">
        <f t="shared" si="299"/>
        <v>0</v>
      </c>
      <c r="AX529" s="14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5"/>
      <c r="AV530" s="1496">
        <f t="shared" si="298"/>
        <v>0</v>
      </c>
      <c r="AW530" s="1496">
        <f t="shared" si="299"/>
        <v>0</v>
      </c>
      <c r="AX530" s="14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5"/>
      <c r="AV531" s="1496">
        <f t="shared" si="298"/>
        <v>0</v>
      </c>
      <c r="AW531" s="1496">
        <f t="shared" si="299"/>
        <v>0</v>
      </c>
      <c r="AX531" s="14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5"/>
      <c r="AV532" s="1496">
        <f t="shared" si="298"/>
        <v>0</v>
      </c>
      <c r="AW532" s="1496">
        <f t="shared" si="299"/>
        <v>0</v>
      </c>
      <c r="AX532" s="14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5"/>
      <c r="AV533" s="1496">
        <f t="shared" si="298"/>
        <v>0</v>
      </c>
      <c r="AW533" s="1496">
        <f t="shared" si="299"/>
        <v>0</v>
      </c>
      <c r="AX533" s="14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5"/>
      <c r="AV534" s="1496">
        <f t="shared" si="298"/>
        <v>0</v>
      </c>
      <c r="AW534" s="1496">
        <f t="shared" si="299"/>
        <v>0</v>
      </c>
      <c r="AX534" s="14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5"/>
      <c r="AV535" s="1496">
        <f t="shared" si="298"/>
        <v>0</v>
      </c>
      <c r="AW535" s="1496">
        <f t="shared" si="299"/>
        <v>0</v>
      </c>
      <c r="AX535" s="14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5"/>
      <c r="AV536" s="1496">
        <f t="shared" si="298"/>
        <v>0</v>
      </c>
      <c r="AW536" s="1496">
        <f t="shared" si="299"/>
        <v>0</v>
      </c>
      <c r="AX536" s="14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5"/>
      <c r="AV537" s="1496">
        <f t="shared" si="298"/>
        <v>0</v>
      </c>
      <c r="AW537" s="1496">
        <f t="shared" si="299"/>
        <v>0</v>
      </c>
      <c r="AX537" s="14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5"/>
      <c r="AV538" s="1496">
        <f t="shared" si="298"/>
        <v>0</v>
      </c>
      <c r="AW538" s="1496">
        <f t="shared" si="299"/>
        <v>0</v>
      </c>
      <c r="AX538" s="14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5"/>
      <c r="AV539" s="1496">
        <f t="shared" si="298"/>
        <v>0</v>
      </c>
      <c r="AW539" s="1496">
        <f t="shared" si="299"/>
        <v>0</v>
      </c>
      <c r="AX539" s="14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5"/>
      <c r="AV540" s="1496">
        <f t="shared" si="298"/>
        <v>0</v>
      </c>
      <c r="AW540" s="1496">
        <f t="shared" si="299"/>
        <v>0</v>
      </c>
      <c r="AX540" s="14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5"/>
      <c r="AV541" s="1496">
        <f t="shared" si="298"/>
        <v>0</v>
      </c>
      <c r="AW541" s="1496">
        <f t="shared" si="299"/>
        <v>0</v>
      </c>
      <c r="AX541" s="14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5"/>
      <c r="AV542" s="1496">
        <f t="shared" si="298"/>
        <v>0</v>
      </c>
      <c r="AW542" s="1496">
        <f t="shared" si="299"/>
        <v>0</v>
      </c>
      <c r="AX542" s="14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5"/>
      <c r="AV543" s="1496">
        <f t="shared" si="298"/>
        <v>0</v>
      </c>
      <c r="AW543" s="1496">
        <f t="shared" si="299"/>
        <v>0</v>
      </c>
      <c r="AX543" s="14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5"/>
      <c r="AV544" s="1496">
        <f t="shared" si="298"/>
        <v>0</v>
      </c>
      <c r="AW544" s="1496">
        <f t="shared" si="299"/>
        <v>0</v>
      </c>
      <c r="AX544" s="14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5"/>
      <c r="AV545" s="1496">
        <f t="shared" si="298"/>
        <v>0</v>
      </c>
      <c r="AW545" s="1496">
        <f t="shared" si="299"/>
        <v>0</v>
      </c>
      <c r="AX545" s="14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5"/>
      <c r="AV546" s="1496">
        <f t="shared" si="298"/>
        <v>0</v>
      </c>
      <c r="AW546" s="1496">
        <f t="shared" si="299"/>
        <v>0</v>
      </c>
      <c r="AX546" s="14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5"/>
      <c r="AV547" s="1496">
        <f t="shared" si="298"/>
        <v>0</v>
      </c>
      <c r="AW547" s="1496">
        <f t="shared" si="299"/>
        <v>0</v>
      </c>
      <c r="AX547" s="14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5"/>
      <c r="AV548" s="1496">
        <f t="shared" si="298"/>
        <v>0</v>
      </c>
      <c r="AW548" s="1496">
        <f t="shared" si="299"/>
        <v>0</v>
      </c>
      <c r="AX548" s="14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5"/>
      <c r="AV549" s="1496">
        <f t="shared" si="298"/>
        <v>0</v>
      </c>
      <c r="AW549" s="1496">
        <f t="shared" si="299"/>
        <v>0</v>
      </c>
      <c r="AX549" s="14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5"/>
      <c r="AV550" s="1496">
        <f t="shared" si="298"/>
        <v>0</v>
      </c>
      <c r="AW550" s="1496">
        <f t="shared" si="299"/>
        <v>0</v>
      </c>
      <c r="AX550" s="14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5"/>
      <c r="AV551" s="1496">
        <f t="shared" si="298"/>
        <v>0</v>
      </c>
      <c r="AW551" s="1496">
        <f t="shared" si="299"/>
        <v>0</v>
      </c>
      <c r="AX551" s="14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5"/>
      <c r="AV552" s="1496">
        <f t="shared" si="298"/>
        <v>0</v>
      </c>
      <c r="AW552" s="1496">
        <f t="shared" si="299"/>
        <v>0</v>
      </c>
      <c r="AX552" s="14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5"/>
      <c r="AV553" s="1496">
        <f t="shared" ref="AV553:AV587" si="330">A553</f>
        <v>0</v>
      </c>
      <c r="AW553" s="1496">
        <f t="shared" ref="AW553:AW587" si="331">B553</f>
        <v>0</v>
      </c>
      <c r="AX553" s="14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5"/>
      <c r="AV554" s="1496">
        <f t="shared" si="330"/>
        <v>0</v>
      </c>
      <c r="AW554" s="1496">
        <f t="shared" si="331"/>
        <v>0</v>
      </c>
      <c r="AX554" s="14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5"/>
      <c r="AV555" s="1496">
        <f t="shared" si="330"/>
        <v>0</v>
      </c>
      <c r="AW555" s="1496">
        <f t="shared" si="331"/>
        <v>0</v>
      </c>
      <c r="AX555" s="14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5"/>
      <c r="AV556" s="1496">
        <f t="shared" si="330"/>
        <v>0</v>
      </c>
      <c r="AW556" s="1496">
        <f t="shared" si="331"/>
        <v>0</v>
      </c>
      <c r="AX556" s="14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5"/>
      <c r="AV557" s="1496">
        <f t="shared" si="330"/>
        <v>0</v>
      </c>
      <c r="AW557" s="1496">
        <f t="shared" si="331"/>
        <v>0</v>
      </c>
      <c r="AX557" s="14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5"/>
      <c r="AV558" s="1496">
        <f t="shared" si="330"/>
        <v>0</v>
      </c>
      <c r="AW558" s="1496">
        <f t="shared" si="331"/>
        <v>0</v>
      </c>
      <c r="AX558" s="14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5"/>
      <c r="AV559" s="1496">
        <f t="shared" si="330"/>
        <v>0</v>
      </c>
      <c r="AW559" s="1496">
        <f t="shared" si="331"/>
        <v>0</v>
      </c>
      <c r="AX559" s="14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5"/>
      <c r="AV560" s="1496">
        <f t="shared" si="330"/>
        <v>0</v>
      </c>
      <c r="AW560" s="1496">
        <f t="shared" si="331"/>
        <v>0</v>
      </c>
      <c r="AX560" s="14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5"/>
      <c r="AV561" s="1496">
        <f t="shared" si="330"/>
        <v>0</v>
      </c>
      <c r="AW561" s="1496">
        <f t="shared" si="331"/>
        <v>0</v>
      </c>
      <c r="AX561" s="14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5"/>
      <c r="AV562" s="1496">
        <f t="shared" si="330"/>
        <v>0</v>
      </c>
      <c r="AW562" s="1496">
        <f t="shared" si="331"/>
        <v>0</v>
      </c>
      <c r="AX562" s="14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5"/>
      <c r="AV563" s="1496">
        <f t="shared" si="330"/>
        <v>0</v>
      </c>
      <c r="AW563" s="1496">
        <f t="shared" si="331"/>
        <v>0</v>
      </c>
      <c r="AX563" s="14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5"/>
      <c r="AV564" s="1496">
        <f t="shared" si="330"/>
        <v>0</v>
      </c>
      <c r="AW564" s="1496">
        <f t="shared" si="331"/>
        <v>0</v>
      </c>
      <c r="AX564" s="14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5"/>
      <c r="AV565" s="1496">
        <f t="shared" si="330"/>
        <v>0</v>
      </c>
      <c r="AW565" s="1496">
        <f t="shared" si="331"/>
        <v>0</v>
      </c>
      <c r="AX565" s="14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5"/>
      <c r="AV566" s="1496">
        <f t="shared" si="330"/>
        <v>0</v>
      </c>
      <c r="AW566" s="1496">
        <f t="shared" si="331"/>
        <v>0</v>
      </c>
      <c r="AX566" s="14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5"/>
      <c r="AV567" s="1496">
        <f t="shared" si="330"/>
        <v>0</v>
      </c>
      <c r="AW567" s="1496">
        <f t="shared" si="331"/>
        <v>0</v>
      </c>
      <c r="AX567" s="14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5"/>
      <c r="AV568" s="1496">
        <f t="shared" si="330"/>
        <v>0</v>
      </c>
      <c r="AW568" s="1496">
        <f t="shared" si="331"/>
        <v>0</v>
      </c>
      <c r="AX568" s="14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5"/>
      <c r="AV569" s="1496">
        <f t="shared" si="330"/>
        <v>0</v>
      </c>
      <c r="AW569" s="1496">
        <f t="shared" si="331"/>
        <v>0</v>
      </c>
      <c r="AX569" s="14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5"/>
      <c r="AV570" s="1496">
        <f t="shared" si="330"/>
        <v>0</v>
      </c>
      <c r="AW570" s="1496">
        <f t="shared" si="331"/>
        <v>0</v>
      </c>
      <c r="AX570" s="14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5"/>
      <c r="AV571" s="1496">
        <f t="shared" si="330"/>
        <v>0</v>
      </c>
      <c r="AW571" s="1496">
        <f t="shared" si="331"/>
        <v>0</v>
      </c>
      <c r="AX571" s="14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5"/>
      <c r="AV572" s="1496">
        <f t="shared" si="330"/>
        <v>0</v>
      </c>
      <c r="AW572" s="1496">
        <f t="shared" si="331"/>
        <v>0</v>
      </c>
      <c r="AX572" s="14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5"/>
      <c r="AV573" s="1496">
        <f t="shared" si="330"/>
        <v>0</v>
      </c>
      <c r="AW573" s="1496">
        <f t="shared" si="331"/>
        <v>0</v>
      </c>
      <c r="AX573" s="14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5"/>
      <c r="AV574" s="1496">
        <f t="shared" si="330"/>
        <v>0</v>
      </c>
      <c r="AW574" s="1496">
        <f t="shared" si="331"/>
        <v>0</v>
      </c>
      <c r="AX574" s="14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5"/>
      <c r="AV575" s="1496">
        <f t="shared" si="330"/>
        <v>0</v>
      </c>
      <c r="AW575" s="1496">
        <f t="shared" si="331"/>
        <v>0</v>
      </c>
      <c r="AX575" s="14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5"/>
      <c r="AV576" s="1496">
        <f t="shared" si="330"/>
        <v>0</v>
      </c>
      <c r="AW576" s="1496">
        <f t="shared" si="331"/>
        <v>0</v>
      </c>
      <c r="AX576" s="14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5"/>
      <c r="AV577" s="1496">
        <f t="shared" si="330"/>
        <v>0</v>
      </c>
      <c r="AW577" s="1496">
        <f t="shared" si="331"/>
        <v>0</v>
      </c>
      <c r="AX577" s="14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5"/>
      <c r="AV578" s="1496">
        <f t="shared" si="330"/>
        <v>0</v>
      </c>
      <c r="AW578" s="1496">
        <f t="shared" si="331"/>
        <v>0</v>
      </c>
      <c r="AX578" s="14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5"/>
      <c r="AV579" s="1496">
        <f t="shared" si="330"/>
        <v>0</v>
      </c>
      <c r="AW579" s="1496">
        <f t="shared" si="331"/>
        <v>0</v>
      </c>
      <c r="AX579" s="14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5"/>
      <c r="AV580" s="1496">
        <f t="shared" si="330"/>
        <v>0</v>
      </c>
      <c r="AW580" s="1496">
        <f t="shared" si="331"/>
        <v>0</v>
      </c>
      <c r="AX580" s="14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5"/>
      <c r="AV581" s="1496">
        <f t="shared" si="330"/>
        <v>0</v>
      </c>
      <c r="AW581" s="1496">
        <f t="shared" si="331"/>
        <v>0</v>
      </c>
      <c r="AX581" s="14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5"/>
      <c r="AV582" s="1496">
        <f t="shared" si="330"/>
        <v>0</v>
      </c>
      <c r="AW582" s="1496">
        <f t="shared" si="331"/>
        <v>0</v>
      </c>
      <c r="AX582" s="14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5"/>
      <c r="AV583" s="1496">
        <f t="shared" si="330"/>
        <v>0</v>
      </c>
      <c r="AW583" s="1496">
        <f t="shared" si="331"/>
        <v>0</v>
      </c>
      <c r="AX583" s="14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5"/>
      <c r="AV584" s="1496">
        <f t="shared" si="330"/>
        <v>0</v>
      </c>
      <c r="AW584" s="1496">
        <f t="shared" si="331"/>
        <v>0</v>
      </c>
      <c r="AX584" s="14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5"/>
      <c r="AV585" s="1496">
        <f t="shared" si="330"/>
        <v>0</v>
      </c>
      <c r="AW585" s="1496">
        <f t="shared" si="331"/>
        <v>0</v>
      </c>
      <c r="AX585" s="14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5"/>
      <c r="AV586" s="1496">
        <f t="shared" si="330"/>
        <v>0</v>
      </c>
      <c r="AW586" s="1496">
        <f t="shared" si="331"/>
        <v>0</v>
      </c>
      <c r="AX586" s="14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5"/>
      <c r="AV587" s="1496">
        <f t="shared" si="330"/>
        <v>0</v>
      </c>
      <c r="AW587" s="1496">
        <f t="shared" si="331"/>
        <v>0</v>
      </c>
      <c r="AX587" s="14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9" t="s">
        <v>0</v>
      </c>
      <c r="B1" s="3309" t="s">
        <v>4</v>
      </c>
      <c r="C1" s="3309" t="s">
        <v>5</v>
      </c>
      <c r="D1" s="3310" t="s">
        <v>53</v>
      </c>
      <c r="E1" s="3310" t="s">
        <v>54</v>
      </c>
      <c r="F1" s="3310"/>
      <c r="G1" s="3310"/>
      <c r="H1" s="3310"/>
      <c r="I1" s="3310"/>
      <c r="J1" s="3310"/>
      <c r="K1" s="3310"/>
      <c r="L1" s="3310"/>
      <c r="M1" s="3310"/>
    </row>
    <row r="2" spans="1:13" ht="27" customHeight="1">
      <c r="A2" s="3309"/>
      <c r="B2" s="3309"/>
      <c r="C2" s="3309"/>
      <c r="D2" s="3310"/>
      <c r="E2" s="3310" t="s">
        <v>37</v>
      </c>
      <c r="F2" s="3310" t="s">
        <v>38</v>
      </c>
      <c r="G2" s="3310"/>
      <c r="H2" s="3310"/>
      <c r="I2" s="3310"/>
      <c r="J2" s="3310" t="s">
        <v>39</v>
      </c>
      <c r="K2" s="3310"/>
      <c r="L2" s="3310"/>
      <c r="M2" s="3310"/>
    </row>
    <row r="3" spans="1:13" ht="28.5">
      <c r="A3" s="3309"/>
      <c r="B3" s="3309"/>
      <c r="C3" s="3309"/>
      <c r="D3" s="3310"/>
      <c r="E3" s="33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0" t="s">
        <v>55</v>
      </c>
      <c r="B9" s="3310"/>
      <c r="C9" s="33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40" sqref="L4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5"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1756</v>
      </c>
      <c r="B1" s="1273"/>
      <c r="C1" s="1273"/>
      <c r="D1" s="1273"/>
      <c r="E1" s="1273"/>
      <c r="F1" s="1273"/>
      <c r="G1" s="1273"/>
      <c r="H1" s="1273"/>
      <c r="I1" s="1273"/>
      <c r="J1" s="1273"/>
      <c r="K1" s="1273"/>
      <c r="L1" s="1273"/>
      <c r="M1" s="1273"/>
      <c r="N1" s="1273"/>
      <c r="O1" s="1273"/>
      <c r="P1" s="1273"/>
    </row>
    <row r="2" spans="1:16" ht="15">
      <c r="A2" s="3320" t="s">
        <v>1757</v>
      </c>
      <c r="B2" s="3320"/>
      <c r="C2" s="3320"/>
      <c r="D2" s="904" t="s">
        <v>1733</v>
      </c>
      <c r="E2" s="1793" t="s">
        <v>1734</v>
      </c>
      <c r="F2" s="2855"/>
      <c r="G2" s="2846"/>
      <c r="H2" s="2847"/>
      <c r="I2" s="2517" t="s">
        <v>1758</v>
      </c>
      <c r="J2" s="2855"/>
      <c r="K2" s="2855"/>
      <c r="L2" s="2855"/>
      <c r="M2" s="2855"/>
      <c r="N2" s="2857"/>
      <c r="O2" s="2855"/>
      <c r="P2" s="2855"/>
    </row>
    <row r="3" spans="1:16" ht="15.75" thickBot="1">
      <c r="A3" s="3321" t="s">
        <v>1731</v>
      </c>
      <c r="B3" s="3321"/>
      <c r="C3" s="3321"/>
      <c r="D3" s="46">
        <f>'数据-基础表'!AY6</f>
        <v>15415.9</v>
      </c>
      <c r="E3" s="46">
        <f>'数据-基础表'!AZ5</f>
        <v>18907.05</v>
      </c>
      <c r="F3" s="2855"/>
      <c r="G3" s="1279"/>
      <c r="H3" s="1157" t="s">
        <v>1732</v>
      </c>
      <c r="I3" s="964">
        <f>ROUND('数据-基础表'!B3/'数据-基础表'!A3,2)</f>
        <v>1.23</v>
      </c>
      <c r="J3" s="2855"/>
      <c r="K3" s="2855"/>
      <c r="L3" s="2855"/>
      <c r="M3" s="2855"/>
      <c r="N3" s="2857"/>
      <c r="O3" s="2855"/>
      <c r="P3" s="2855"/>
    </row>
    <row r="4" spans="1:16" ht="15">
      <c r="A4" s="3322"/>
      <c r="B4" s="3323"/>
      <c r="C4" s="3324"/>
      <c r="D4" s="1795" t="s">
        <v>1733</v>
      </c>
      <c r="E4" s="1796" t="s">
        <v>1734</v>
      </c>
      <c r="F4" s="2855"/>
      <c r="G4" s="2848" t="s">
        <v>1759</v>
      </c>
      <c r="H4" s="1157" t="s">
        <v>1739</v>
      </c>
      <c r="I4" s="964">
        <f>ROUND(SUMIF('数据-基础表'!I9:AS9,"地上",'数据-基础表'!I5:AS5)/'数据-基础表'!A3,2)</f>
        <v>0.28999999999999998</v>
      </c>
      <c r="J4" s="2855"/>
      <c r="K4" s="2855"/>
      <c r="L4" s="2855"/>
      <c r="M4" s="2855"/>
      <c r="N4" s="2857"/>
      <c r="O4" s="2855"/>
      <c r="P4" s="2855"/>
    </row>
    <row r="5" spans="1:16">
      <c r="A5" s="47" t="s">
        <v>1735</v>
      </c>
      <c r="B5" s="3325" t="s">
        <v>1736</v>
      </c>
      <c r="C5" s="3325"/>
      <c r="D5" s="48">
        <f>ROUND($D$3*E5/$E$3,2)</f>
        <v>0</v>
      </c>
      <c r="E5" s="49">
        <f>SUMIF('数据-基础表'!$11:$11,"住宅",'数据-基础表'!$5:$5)</f>
        <v>0</v>
      </c>
      <c r="F5" s="2855"/>
      <c r="G5" s="1279"/>
      <c r="H5" s="1157" t="s">
        <v>1732</v>
      </c>
      <c r="I5" s="964">
        <f>ROUND(E31/D31,2)</f>
        <v>1.23</v>
      </c>
      <c r="J5" s="2855"/>
      <c r="K5" s="2855"/>
      <c r="L5" s="2855"/>
      <c r="M5" s="2855"/>
      <c r="N5" s="2855"/>
      <c r="O5" s="2855"/>
      <c r="P5" s="2855"/>
    </row>
    <row r="6" spans="1:16" ht="15" thickBot="1">
      <c r="A6" s="1798"/>
      <c r="B6" s="3325" t="s">
        <v>1737</v>
      </c>
      <c r="C6" s="3325"/>
      <c r="D6" s="48">
        <f>ROUND($D$3*E6/$E$3,2)</f>
        <v>15415.9</v>
      </c>
      <c r="E6" s="49">
        <f>E3-E5</f>
        <v>18907.05</v>
      </c>
      <c r="F6" s="2855"/>
      <c r="G6" s="2849" t="s">
        <v>1738</v>
      </c>
      <c r="H6" s="1280" t="s">
        <v>1739</v>
      </c>
      <c r="I6" s="2850">
        <f>ROUND(F31/D31,2)</f>
        <v>0.28999999999999998</v>
      </c>
      <c r="J6" s="2855"/>
      <c r="K6" s="2855"/>
      <c r="L6" s="2855"/>
      <c r="M6" s="2855"/>
      <c r="N6" s="2855"/>
      <c r="O6" s="2855"/>
      <c r="P6" s="2855"/>
    </row>
    <row r="7" spans="1:16" ht="15.75" thickBot="1">
      <c r="A7" s="3317"/>
      <c r="B7" s="3318"/>
      <c r="C7" s="3319"/>
      <c r="D7" s="1795" t="s">
        <v>1733</v>
      </c>
      <c r="E7" s="1799"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3558.17</v>
      </c>
      <c r="E8" s="51">
        <f>SUMIF('数据-基础表'!BB10:BK10,"地上",'数据-基础表'!BB5:BK5)</f>
        <v>4363.97</v>
      </c>
      <c r="F8" s="2855"/>
      <c r="G8" s="2856"/>
      <c r="H8" s="2856"/>
      <c r="I8" s="2855"/>
      <c r="J8" s="2855"/>
      <c r="K8" s="2855"/>
      <c r="L8" s="2855"/>
      <c r="M8" s="2855"/>
      <c r="N8" s="2855"/>
      <c r="O8" s="2855"/>
      <c r="P8" s="2855"/>
    </row>
    <row r="9" spans="1:16">
      <c r="A9" s="1800"/>
      <c r="B9" s="1801"/>
      <c r="C9" s="48" t="s">
        <v>1745</v>
      </c>
      <c r="D9" s="48">
        <f t="shared" si="0"/>
        <v>0</v>
      </c>
      <c r="E9" s="52">
        <v>0</v>
      </c>
      <c r="F9" s="2855"/>
      <c r="G9" s="2856"/>
      <c r="H9" s="2856"/>
      <c r="I9" s="2855"/>
      <c r="J9" s="2855"/>
      <c r="K9" s="2855"/>
      <c r="L9" s="2855"/>
      <c r="M9" s="2855"/>
      <c r="N9" s="2855"/>
      <c r="O9" s="2855"/>
      <c r="P9" s="2855"/>
    </row>
    <row r="10" spans="1:16">
      <c r="A10" s="1800"/>
      <c r="B10" s="1801"/>
      <c r="C10" s="48" t="s">
        <v>1754</v>
      </c>
      <c r="D10" s="48">
        <f t="shared" si="0"/>
        <v>0</v>
      </c>
      <c r="E10" s="51">
        <f>SUMPRODUCT(('数据-基础表'!BB10:BK10="地下")*('数据-基础表'!BB11:BK11="商业")*('数据-基础表'!BB5:BK5))</f>
        <v>0</v>
      </c>
      <c r="F10" s="2855"/>
      <c r="G10" s="2856"/>
      <c r="H10" s="2856"/>
      <c r="I10" s="2855"/>
      <c r="J10" s="2855"/>
      <c r="K10" s="2855"/>
      <c r="L10" s="2855"/>
      <c r="M10" s="2855"/>
      <c r="N10" s="2855"/>
      <c r="O10" s="2855"/>
      <c r="P10" s="2855"/>
    </row>
    <row r="11" spans="1:16">
      <c r="A11" s="1800"/>
      <c r="B11" s="1801"/>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0"/>
      <c r="B12" s="1801"/>
      <c r="C12" s="48" t="s">
        <v>1747</v>
      </c>
      <c r="D12" s="48">
        <f t="shared" si="0"/>
        <v>0</v>
      </c>
      <c r="E12" s="51">
        <f>SUMPRODUCT(('数据-基础表'!BB10:BK10="地下")*('数据-基础表'!BB11:BK11="仓储")*('数据-基础表'!BB5:BK5))</f>
        <v>0</v>
      </c>
      <c r="F12" s="2855"/>
      <c r="G12" s="2856"/>
      <c r="H12" s="2856"/>
      <c r="I12" s="2855"/>
      <c r="J12" s="2855"/>
      <c r="K12" s="2855"/>
      <c r="L12" s="2855"/>
      <c r="M12" s="2855"/>
      <c r="N12" s="2855"/>
      <c r="O12" s="2855"/>
      <c r="P12" s="2855"/>
    </row>
    <row r="13" spans="1:16">
      <c r="A13" s="1800"/>
      <c r="B13" s="1801"/>
      <c r="C13" s="48" t="s">
        <v>1748</v>
      </c>
      <c r="D13" s="48">
        <f t="shared" si="0"/>
        <v>6740.37</v>
      </c>
      <c r="E13" s="51">
        <f>SUMPRODUCT(('数据-基础表'!BB10:BK10="地下")*('数据-基础表'!BB11:BK11="车库")*('数据-基础表'!BB5:BK5))</f>
        <v>8266.82</v>
      </c>
      <c r="F13" s="2855"/>
      <c r="G13" s="2856"/>
      <c r="H13" s="2856"/>
      <c r="I13" s="2855"/>
      <c r="J13" s="2855"/>
      <c r="K13" s="2855"/>
      <c r="L13" s="2855"/>
      <c r="M13" s="2855"/>
      <c r="N13" s="2855"/>
      <c r="O13" s="2855"/>
      <c r="P13" s="2855"/>
    </row>
    <row r="14" spans="1:16">
      <c r="A14" s="1800"/>
      <c r="B14" s="1801"/>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0"/>
      <c r="B15" s="1801"/>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8"/>
      <c r="B16" s="1801"/>
      <c r="C16" s="50" t="s">
        <v>1749</v>
      </c>
      <c r="D16" s="50">
        <f>SUM(D8:D15)</f>
        <v>10298.540000000001</v>
      </c>
      <c r="E16" s="53">
        <f>SUM(E8:E15)</f>
        <v>12630.79</v>
      </c>
      <c r="F16" s="2855"/>
      <c r="G16" s="2856"/>
      <c r="H16" s="1802" t="s">
        <v>1761</v>
      </c>
      <c r="I16" s="1803"/>
      <c r="J16" s="1273"/>
      <c r="K16" s="3314" t="s">
        <v>1761</v>
      </c>
      <c r="L16" s="3315"/>
      <c r="M16" s="3315"/>
      <c r="N16" s="3315"/>
      <c r="O16" s="3315"/>
      <c r="P16" s="3316"/>
    </row>
    <row r="17" spans="1:19" ht="15">
      <c r="A17" s="1804" t="s">
        <v>1762</v>
      </c>
      <c r="B17" s="1805" t="s">
        <v>1763</v>
      </c>
      <c r="C17" s="1806" t="s">
        <v>1764</v>
      </c>
      <c r="D17" s="1807" t="s">
        <v>1752</v>
      </c>
      <c r="E17" s="1808" t="s">
        <v>1753</v>
      </c>
      <c r="F17" s="1809"/>
      <c r="G17" s="1810"/>
      <c r="H17" s="1811" t="s">
        <v>1765</v>
      </c>
      <c r="I17" s="1812" t="s">
        <v>1750</v>
      </c>
      <c r="J17" s="1273"/>
      <c r="K17" s="3311" t="s">
        <v>1766</v>
      </c>
      <c r="L17" s="3312"/>
      <c r="M17" s="3313"/>
      <c r="N17" s="3311" t="s">
        <v>1767</v>
      </c>
      <c r="O17" s="3312"/>
      <c r="P17" s="3313"/>
      <c r="R17" s="1794" t="s">
        <v>1768</v>
      </c>
      <c r="S17" s="60"/>
    </row>
    <row r="18" spans="1:19" ht="15">
      <c r="A18" s="1800"/>
      <c r="B18" s="1813"/>
      <c r="C18" s="1814"/>
      <c r="D18" s="1815"/>
      <c r="E18" s="1816" t="s">
        <v>1769</v>
      </c>
      <c r="F18" s="1817" t="s">
        <v>1770</v>
      </c>
      <c r="G18" s="1818" t="s">
        <v>1771</v>
      </c>
      <c r="H18" s="1172" t="s">
        <v>1772</v>
      </c>
      <c r="I18" s="1819" t="s">
        <v>1773</v>
      </c>
      <c r="J18" s="1273"/>
      <c r="K18" s="1172" t="s">
        <v>1774</v>
      </c>
      <c r="L18" s="1820" t="s">
        <v>1775</v>
      </c>
      <c r="M18" s="964" t="s">
        <v>1776</v>
      </c>
      <c r="N18" s="1172" t="s">
        <v>1774</v>
      </c>
      <c r="O18" s="1820" t="s">
        <v>1775</v>
      </c>
      <c r="P18" s="964" t="s">
        <v>1776</v>
      </c>
      <c r="R18" s="1157" t="s">
        <v>1777</v>
      </c>
      <c r="S18" s="1157" t="s">
        <v>1778</v>
      </c>
    </row>
    <row r="19" spans="1:19">
      <c r="A19" s="1821"/>
      <c r="B19" s="50" t="s">
        <v>1751</v>
      </c>
      <c r="C19" s="3208" t="s">
        <v>3129</v>
      </c>
      <c r="D19" s="48">
        <f>ROUND($D$3*E19/$E$3,2)</f>
        <v>15387.59</v>
      </c>
      <c r="E19" s="56">
        <f t="shared" ref="E19:E26" si="1">SUM(F19:G19)</f>
        <v>18872.330000000002</v>
      </c>
      <c r="F19" s="2995">
        <f>'数据-基础表'!I5</f>
        <v>4363.97</v>
      </c>
      <c r="G19" s="2996">
        <f>'数据-基础表'!K5+'数据-基础表'!M5</f>
        <v>14508.36</v>
      </c>
      <c r="H19" s="679">
        <f>ROUND($D$3*I19/$E$3,2)</f>
        <v>28.31</v>
      </c>
      <c r="I19" s="51">
        <f t="shared" ref="I19:I26" si="2">IF($I$17="自定义",P19,M19)</f>
        <v>34.72</v>
      </c>
      <c r="J19" s="1273"/>
      <c r="K19" s="1272">
        <f t="shared" ref="K19:K26" si="3">ROUND(E$28*E19/E$27,2)</f>
        <v>34.72</v>
      </c>
      <c r="L19" s="1157">
        <f t="shared" ref="L19:L26" si="4">ROUND(IF(COUNTIF(C19,"*住宅*")&gt;0,E$29*E19/E$32,0),2)</f>
        <v>0</v>
      </c>
      <c r="M19" s="1284">
        <f>K19+L19</f>
        <v>34.72</v>
      </c>
      <c r="N19" s="1823"/>
      <c r="O19" s="1824"/>
      <c r="P19" s="1284">
        <f>N19+O19</f>
        <v>0</v>
      </c>
      <c r="R19" s="1157">
        <f t="shared" ref="R19:S26" si="5">D19+H19</f>
        <v>15415.9</v>
      </c>
      <c r="S19" s="1158">
        <f t="shared" si="5"/>
        <v>18907.050000000003</v>
      </c>
    </row>
    <row r="20" spans="1:19">
      <c r="A20" s="1825"/>
      <c r="B20" s="50" t="s">
        <v>1779</v>
      </c>
      <c r="C20" s="1822"/>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1822"/>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15387.59</v>
      </c>
      <c r="E27" s="1275">
        <f>IF(SUM(E19:E26)='数据-基础表'!BA5,SUM(E19:E26),IF(F27="地上面积有误","面积有误","地下面积有误"))</f>
        <v>18872.330000000002</v>
      </c>
      <c r="F27" s="1274">
        <f>IF(SUM(F19:F26)=E8,SUM(F19:F26),"地上面积有误")</f>
        <v>4363.97</v>
      </c>
      <c r="G27" s="1276">
        <f>SUM(G19:G26)</f>
        <v>14508.36</v>
      </c>
      <c r="H27" s="1277">
        <f>SUM(H19:H26)</f>
        <v>28.31</v>
      </c>
      <c r="I27" s="1278">
        <f>SUM(I19:I26)</f>
        <v>34.72</v>
      </c>
      <c r="J27" s="1273"/>
      <c r="K27" s="1281">
        <f>SUM(K19:K26)</f>
        <v>34.72</v>
      </c>
      <c r="L27" s="1282">
        <f>SUM(L19:L26)</f>
        <v>0</v>
      </c>
      <c r="M27" s="1285">
        <f>SUM(M19:M26)</f>
        <v>34.72</v>
      </c>
      <c r="N27" s="1281">
        <f t="shared" ref="N27:O27" si="10">SUM(N19:N26)</f>
        <v>0</v>
      </c>
      <c r="O27" s="1282">
        <f t="shared" si="10"/>
        <v>0</v>
      </c>
      <c r="P27" s="1283">
        <f>SUM(P19:P26)</f>
        <v>0</v>
      </c>
      <c r="R27" s="1159">
        <f>IF(SUM(R19:R26)=$D$3,SUM(R19:R26),SUM(R19:R26)&amp;"误差"&amp;ROUND(SUM(R19:R26)-$D$3,2))</f>
        <v>15415.9</v>
      </c>
      <c r="S27" s="1157">
        <f>IF(SUM(S19:S26)=$E$3,SUM(S19:S26),SUM(S19:S26)&amp;"误差"&amp;ROUND(SUM(S19:S26)-E3,2))</f>
        <v>18907.050000000003</v>
      </c>
    </row>
    <row r="28" spans="1:19">
      <c r="A28" s="1825"/>
      <c r="B28" s="50" t="s">
        <v>1781</v>
      </c>
      <c r="C28" s="1169" t="s">
        <v>1782</v>
      </c>
      <c r="D28" s="48">
        <f>ROUND($D$3*E28/$E$3,2)</f>
        <v>28.31</v>
      </c>
      <c r="E28" s="56">
        <f>SUM(F28:G28)</f>
        <v>34.72</v>
      </c>
      <c r="F28" s="60">
        <f>'数据-基础表'!BQ5+'数据-基础表'!BS5</f>
        <v>34.72</v>
      </c>
      <c r="G28" s="61">
        <f>'数据-基础表'!BR5+'数据-基础表'!BT5</f>
        <v>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28.31</v>
      </c>
      <c r="E30" s="1274">
        <f>SUM(E28:E29)</f>
        <v>34.72</v>
      </c>
      <c r="F30" s="1274">
        <f>SUM(F28:F29)</f>
        <v>34.72</v>
      </c>
      <c r="G30" s="1276">
        <f>SUM(G28:G29)</f>
        <v>0</v>
      </c>
      <c r="H30" s="2855"/>
      <c r="I30" s="2855"/>
      <c r="J30" s="2855"/>
      <c r="K30" s="2855"/>
      <c r="L30" s="2855"/>
      <c r="M30" s="2855"/>
      <c r="N30" s="2855"/>
      <c r="O30" s="2855"/>
      <c r="P30" s="2855"/>
    </row>
    <row r="31" spans="1:19" ht="15.75" thickBot="1">
      <c r="A31" s="1831"/>
      <c r="B31" s="1832"/>
      <c r="C31" s="944" t="s">
        <v>1784</v>
      </c>
      <c r="D31" s="685">
        <f>D27+D30</f>
        <v>15415.9</v>
      </c>
      <c r="E31" s="685">
        <f>E27+E30</f>
        <v>18907.050000000003</v>
      </c>
      <c r="F31" s="686">
        <f>F27+F30</f>
        <v>4398.6900000000005</v>
      </c>
      <c r="G31" s="687">
        <f>G27+G30</f>
        <v>14508.36</v>
      </c>
      <c r="H31" s="2855"/>
      <c r="I31" s="2855"/>
      <c r="J31" s="2855"/>
      <c r="K31" s="2855"/>
      <c r="L31" s="2855"/>
      <c r="M31" s="2855"/>
      <c r="N31" s="2855"/>
      <c r="O31" s="2855"/>
      <c r="P31" s="2855"/>
    </row>
    <row r="32" spans="1:19">
      <c r="A32" s="1797"/>
      <c r="B32" s="1797" t="s">
        <v>1785</v>
      </c>
      <c r="C32" s="1797"/>
      <c r="D32" s="1797"/>
      <c r="E32" s="1184">
        <f>SUMIF(C19:C26,"*住宅*",E19:E26)</f>
        <v>0</v>
      </c>
      <c r="F32" s="1797"/>
      <c r="G32" s="1797"/>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7" sqref="AL7"/>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9" width="8.875" style="1837" customWidth="1"/>
    <col min="10" max="10" width="12.12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4"/>
      <c r="D1" s="1835"/>
      <c r="E1" s="1324"/>
      <c r="F1" s="1324"/>
      <c r="G1" s="1324"/>
      <c r="H1" s="1324"/>
      <c r="I1" s="1324"/>
      <c r="J1" s="1324"/>
      <c r="K1" s="164"/>
      <c r="L1" s="16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69"/>
      <c r="AO1" s="2869"/>
      <c r="AP1" s="2869"/>
      <c r="AQ1" s="2869"/>
      <c r="AR1" s="2869"/>
    </row>
    <row r="2" spans="1:67" s="1713" customFormat="1" ht="15.75" thickBot="1">
      <c r="A2" s="1838" t="s">
        <v>1787</v>
      </c>
      <c r="B2" s="1176">
        <f>项目基本情况!D3</f>
        <v>44645</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6" t="s">
        <v>1792</v>
      </c>
      <c r="AA4" s="1806"/>
      <c r="AB4" s="1806"/>
      <c r="AC4" s="1806"/>
      <c r="AD4" s="1806"/>
      <c r="AE4" s="1804" t="s">
        <v>1793</v>
      </c>
      <c r="AF4" s="1806"/>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1807</v>
      </c>
      <c r="O5" s="1857" t="s">
        <v>1808</v>
      </c>
      <c r="P5" s="1860" t="s">
        <v>1809</v>
      </c>
      <c r="Q5" s="65" t="s">
        <v>1810</v>
      </c>
      <c r="R5" s="1861" t="s">
        <v>1811</v>
      </c>
      <c r="S5" s="1862" t="s">
        <v>1812</v>
      </c>
      <c r="T5" s="1863" t="s">
        <v>1813</v>
      </c>
      <c r="U5" s="1177" t="s">
        <v>1814</v>
      </c>
      <c r="V5" s="1178" t="s">
        <v>1815</v>
      </c>
      <c r="W5" s="1178" t="s">
        <v>1816</v>
      </c>
      <c r="X5" s="67"/>
      <c r="Y5" s="66" t="s">
        <v>1817</v>
      </c>
      <c r="Z5" s="1864" t="s">
        <v>1814</v>
      </c>
      <c r="AA5" s="1178" t="s">
        <v>1815</v>
      </c>
      <c r="AB5" s="1178" t="s">
        <v>1816</v>
      </c>
      <c r="AC5" s="67"/>
      <c r="AD5" s="67" t="s">
        <v>1817</v>
      </c>
      <c r="AE5" s="1177" t="s">
        <v>1818</v>
      </c>
      <c r="AF5" s="1178" t="s">
        <v>1819</v>
      </c>
      <c r="AG5" s="66" t="s">
        <v>1820</v>
      </c>
      <c r="AH5" s="1177" t="s">
        <v>1821</v>
      </c>
      <c r="AI5" s="1864" t="s">
        <v>1822</v>
      </c>
      <c r="AJ5" s="1864" t="s">
        <v>1823</v>
      </c>
      <c r="AK5" s="1178" t="s">
        <v>1824</v>
      </c>
      <c r="AL5" s="1178" t="s">
        <v>1825</v>
      </c>
      <c r="AM5" s="66" t="s">
        <v>1826</v>
      </c>
      <c r="AN5" s="1865" t="s">
        <v>1827</v>
      </c>
      <c r="AO5" s="1716" t="s">
        <v>1828</v>
      </c>
      <c r="AP5" s="1159" t="s">
        <v>1829</v>
      </c>
      <c r="AQ5" s="1866" t="s">
        <v>1830</v>
      </c>
      <c r="AR5" s="1866" t="s">
        <v>1831</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工业</v>
      </c>
      <c r="B6" s="1868" t="str">
        <f>IF(A6=0,"","经营性")</f>
        <v>经营性</v>
      </c>
      <c r="C6" s="1869" t="s">
        <v>6</v>
      </c>
      <c r="D6" s="967">
        <f>SUMIF(项目基本情况!D$12:I$12,C6,项目基本情况!D$14:I$14)</f>
        <v>50</v>
      </c>
      <c r="E6" s="966">
        <f>IF(B6="","",SUMIF(项目基本情况!D$12:I$12,C6,项目基本情况!D$13:I$13))</f>
        <v>57827</v>
      </c>
      <c r="F6" s="68">
        <f>SUMIF(项目基本情况!D$12:I$12,C6,项目基本情况!D$15:I$15)</f>
        <v>36.11</v>
      </c>
      <c r="G6" s="69">
        <f>IF(ISERROR(ROUND(POWER(1+H6,D6-F6)*(POWER(1+H6,F6)-1)/(POWER(1+H6,D6)-1),3)),0,ROUND(POWER(1+H6,D6-F6)*(POWER(1+H6,F6)-1)/(POWER(1+H6,D6)-1),3))</f>
        <v>0.89500000000000002</v>
      </c>
      <c r="H6" s="741">
        <v>4.4999999999999998E-2</v>
      </c>
      <c r="I6" s="741">
        <v>5.5E-2</v>
      </c>
      <c r="J6" s="70">
        <v>7.0000000000000007E-2</v>
      </c>
      <c r="K6" s="1161">
        <f>SUMIF('数据-汇总表'!C$19:C$33,A6,'数据-汇总表'!E$19:E$33)</f>
        <v>18872.330000000002</v>
      </c>
      <c r="L6" s="742">
        <v>5000</v>
      </c>
      <c r="M6" s="71">
        <f t="shared" ref="M6:M14" si="0">ROUND(K6*L6/10000,0)</f>
        <v>9436</v>
      </c>
      <c r="N6" s="740">
        <v>0.6</v>
      </c>
      <c r="O6" s="71">
        <f>IF($N$5="成新度","——",ROUND(M6*N6,0))</f>
        <v>5662</v>
      </c>
      <c r="P6" s="72">
        <f>IF($N$5="成新度","——",M6-O6)</f>
        <v>3774</v>
      </c>
      <c r="Q6" s="743">
        <v>0.1</v>
      </c>
      <c r="R6" s="73">
        <f ca="1">SUMIF('数据-汇总表'!C$19:C$33,A6,'数据-汇总表'!R$19:R$27)</f>
        <v>15415.9</v>
      </c>
      <c r="S6" s="54">
        <f>IF('数据-汇总表'!$I$17="按面积比例",SUMIF('数据-汇总表'!C$19:C$33,A6,'数据-汇总表'!K$19:K$33),SUMIF('数据-汇总表'!C$19:C$33,A6,'数据-汇总表'!N$19:N$33))</f>
        <v>34.72</v>
      </c>
      <c r="T6" s="1306">
        <f>ROUND($L$14*S6/10000,0)</f>
        <v>17</v>
      </c>
      <c r="U6" s="74">
        <v>2</v>
      </c>
      <c r="V6" s="75">
        <v>0</v>
      </c>
      <c r="W6" s="75">
        <v>0.1</v>
      </c>
      <c r="X6" s="1171"/>
      <c r="Y6" s="76">
        <v>1</v>
      </c>
      <c r="Z6" s="77"/>
      <c r="AA6" s="70"/>
      <c r="AB6" s="70"/>
      <c r="AC6" s="1171"/>
      <c r="AD6" s="78"/>
      <c r="AE6" s="1172">
        <f ca="1">IF(AN6="",0,SUMIF(INDIRECT("'"&amp;AN6&amp;"'"&amp;"!E:E"),$AE$5,INDIRECT("'"&amp;AN6&amp;"'"&amp;"!F:F")))</f>
        <v>35.61</v>
      </c>
      <c r="AF6" s="1501"/>
      <c r="AG6" s="143">
        <f>IF(AF6="",0,AE6-AF6)</f>
        <v>0</v>
      </c>
      <c r="AH6" s="79">
        <f>'数据-汇总表'!E31</f>
        <v>18907.050000000003</v>
      </c>
      <c r="AI6" s="81">
        <v>365</v>
      </c>
      <c r="AJ6" s="82"/>
      <c r="AK6" s="83">
        <v>0.01</v>
      </c>
      <c r="AL6" s="84">
        <v>1.5E-3</v>
      </c>
      <c r="AM6" s="85">
        <v>0.01</v>
      </c>
      <c r="AN6" s="1870" t="s">
        <v>3159</v>
      </c>
      <c r="AO6" s="55">
        <f ca="1">SUMIF(INDIRECT("'"&amp;AN6&amp;"'"&amp;"!A:A"),"总价",INDIRECT("'"&amp;AN6&amp;"'"&amp;"!B:B"))</f>
        <v>13545</v>
      </c>
      <c r="AP6" s="1871">
        <f>IF(C6="住宅",K6*L6,0)</f>
        <v>0</v>
      </c>
      <c r="AQ6" s="55">
        <f>ROUND($L$14*$N$14*S6/10000,0)</f>
        <v>10</v>
      </c>
      <c r="AR6" s="55">
        <f>ROUND($L$14*(1-$N$14)*S6/10000,0)</f>
        <v>7</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1"/>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1"/>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1"/>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1"/>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1"/>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1"/>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1"/>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1832</v>
      </c>
      <c r="B14" s="1868" t="s">
        <v>1833</v>
      </c>
      <c r="C14" s="1873" t="s">
        <v>1832</v>
      </c>
      <c r="D14" s="967"/>
      <c r="E14" s="966"/>
      <c r="F14" s="68"/>
      <c r="G14" s="69"/>
      <c r="H14" s="1160"/>
      <c r="I14" s="1160"/>
      <c r="J14" s="1160"/>
      <c r="K14" s="1161">
        <f>SUMIF('数据-汇总表'!C$19:C$33,A14,'数据-汇总表'!E$19:E$33)</f>
        <v>34.72</v>
      </c>
      <c r="L14" s="87">
        <f>L6</f>
        <v>5000</v>
      </c>
      <c r="M14" s="71">
        <f t="shared" si="0"/>
        <v>17</v>
      </c>
      <c r="N14" s="88">
        <f>N6</f>
        <v>0.6</v>
      </c>
      <c r="O14" s="71">
        <f t="shared" si="3"/>
        <v>10</v>
      </c>
      <c r="P14" s="72">
        <f t="shared" si="4"/>
        <v>7</v>
      </c>
      <c r="Q14" s="1164"/>
      <c r="R14" s="73"/>
      <c r="S14" s="54"/>
      <c r="T14" s="1306"/>
      <c r="U14" s="679"/>
      <c r="V14" s="1166"/>
      <c r="W14" s="1166"/>
      <c r="X14" s="1167"/>
      <c r="Y14" s="1168"/>
      <c r="Z14" s="1169"/>
      <c r="AA14" s="1170"/>
      <c r="AB14" s="1170"/>
      <c r="AC14" s="1171"/>
      <c r="AD14" s="1167"/>
      <c r="AE14" s="1172"/>
      <c r="AF14" s="55"/>
      <c r="AG14" s="143"/>
      <c r="AH14" s="1172"/>
      <c r="AI14" s="1510"/>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1834</v>
      </c>
      <c r="B15" s="1868" t="s">
        <v>1833</v>
      </c>
      <c r="C15" s="1873" t="s">
        <v>1835</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0"/>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1836</v>
      </c>
      <c r="B16" s="93"/>
      <c r="C16" s="942"/>
      <c r="D16" s="1875"/>
      <c r="E16" s="93"/>
      <c r="F16" s="93"/>
      <c r="G16" s="94">
        <f>ROUND(SUMPRODUCT(G6:G13,K6:K13)/SUMPRODUCT((G6:G13&gt;0)*(K6:K13)),3)</f>
        <v>0.89500000000000002</v>
      </c>
      <c r="H16" s="95">
        <f>ROUND(SUMPRODUCT(H6:H13,K6:K13)/SUMPRODUCT((H6:H13&gt;0)*(K6:K13)),3)</f>
        <v>4.4999999999999998E-2</v>
      </c>
      <c r="I16" s="96"/>
      <c r="J16" s="96"/>
      <c r="K16" s="97">
        <f>SUM(K6:K15)</f>
        <v>18907.050000000003</v>
      </c>
      <c r="L16" s="98">
        <f>ROUND(M16*10000/SUM(K6:K14),0)</f>
        <v>5000</v>
      </c>
      <c r="M16" s="98">
        <f>SUM(M6:M14)</f>
        <v>9453</v>
      </c>
      <c r="N16" s="99">
        <f>ROUND(SUMPRODUCT(M6:M14,N6:N14)/M16,3)</f>
        <v>0.6</v>
      </c>
      <c r="O16" s="98">
        <f>SUM(O6:O14)</f>
        <v>5672</v>
      </c>
      <c r="P16" s="98">
        <f>SUM(P6:P14)</f>
        <v>3781</v>
      </c>
      <c r="Q16" s="100">
        <f>ROUND(SUMPRODUCT(Q6:Q13,K6:K13)/SUMPRODUCT((Q6:Q13&gt;0)*(K6:K13)),2)</f>
        <v>0.1</v>
      </c>
      <c r="R16" s="1165">
        <f ca="1">SUM(R6:R13)</f>
        <v>15415.9</v>
      </c>
      <c r="S16" s="101">
        <f>SUM(S6:S13)</f>
        <v>34.72</v>
      </c>
      <c r="T16" s="102">
        <f>IF(SUMIF(T6:T13,"&lt;9E307")=M14,SUMIF(T6:T13,"&lt;9E307"),"有误，请检查")</f>
        <v>17</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3209" t="s">
        <v>3131</v>
      </c>
      <c r="K17" s="3210">
        <v>2395</v>
      </c>
      <c r="L17" s="3209" t="s">
        <v>3132</v>
      </c>
      <c r="M17" s="3210">
        <f>'数据-汇总表'!F19</f>
        <v>4363.97</v>
      </c>
      <c r="N17" s="3211">
        <f>K24</f>
        <v>5639</v>
      </c>
      <c r="O17" s="3209" t="s">
        <v>3141</v>
      </c>
      <c r="P17" s="3209" t="s">
        <v>3142</v>
      </c>
      <c r="Q17" s="3212" t="s">
        <v>3133</v>
      </c>
      <c r="R17" s="3213" t="s">
        <v>3134</v>
      </c>
      <c r="S17" s="3214">
        <v>0</v>
      </c>
      <c r="T17" s="3209">
        <f>'数据-基础表'!G13</f>
        <v>2745.55</v>
      </c>
      <c r="U17" s="2869"/>
      <c r="V17" s="3222" t="s">
        <v>3151</v>
      </c>
      <c r="W17" s="2739" t="s">
        <v>3152</v>
      </c>
      <c r="X17" s="2739"/>
      <c r="Y17" s="2739" t="s">
        <v>3153</v>
      </c>
      <c r="Z17" s="2739"/>
      <c r="AA17" s="2739"/>
      <c r="AB17" s="2739">
        <f>3.5*2</f>
        <v>7</v>
      </c>
      <c r="AC17" s="2739">
        <v>4363.97</v>
      </c>
      <c r="AD17" s="2869">
        <f>AC17*2</f>
        <v>8727.94</v>
      </c>
      <c r="AE17" s="2869">
        <f>AB17*AC17*365</f>
        <v>11149943.35</v>
      </c>
      <c r="AF17" s="2869">
        <f>AC17/2/4</f>
        <v>545.49625000000003</v>
      </c>
      <c r="AG17" s="2869"/>
      <c r="AH17" s="2869">
        <v>6</v>
      </c>
      <c r="AI17" s="2869">
        <f>AH17*AC17</f>
        <v>26183.82</v>
      </c>
      <c r="AJ17" s="2869"/>
      <c r="AK17" s="2869"/>
      <c r="AL17" s="2869"/>
      <c r="AM17" s="2869"/>
      <c r="AN17" s="2869"/>
      <c r="AO17" s="2869"/>
      <c r="AP17" s="2869"/>
      <c r="AQ17" s="2869"/>
      <c r="AR17" s="2869"/>
    </row>
    <row r="18" spans="1:67" ht="15" thickBot="1">
      <c r="A18" s="64" t="s">
        <v>1837</v>
      </c>
      <c r="B18" s="2883"/>
      <c r="C18" s="2871"/>
      <c r="D18" s="2874"/>
      <c r="E18" s="2871"/>
      <c r="F18" s="2871"/>
      <c r="G18" s="2871"/>
      <c r="H18" s="2871"/>
      <c r="I18" s="2871"/>
      <c r="J18" s="3209" t="s">
        <v>3135</v>
      </c>
      <c r="K18" s="3210">
        <v>1.2310000000000001</v>
      </c>
      <c r="L18" s="3210"/>
      <c r="M18" s="3210">
        <f>'数据-汇总表'!G19</f>
        <v>14508.36</v>
      </c>
      <c r="N18" s="3211">
        <v>3500</v>
      </c>
      <c r="O18" s="3209" t="s">
        <v>3143</v>
      </c>
      <c r="P18" s="3209" t="s">
        <v>3144</v>
      </c>
      <c r="Q18" s="3215" t="s">
        <v>3136</v>
      </c>
      <c r="R18" s="3213" t="s">
        <v>3145</v>
      </c>
      <c r="S18" s="3214">
        <v>1</v>
      </c>
      <c r="T18" s="3209">
        <f>'数据-基础表'!G14</f>
        <v>1994.6</v>
      </c>
      <c r="U18" s="2869"/>
      <c r="V18" s="3222" t="s">
        <v>3154</v>
      </c>
      <c r="W18" s="2739">
        <f>2.5*1.5</f>
        <v>3.75</v>
      </c>
      <c r="X18" s="2739">
        <v>1.5</v>
      </c>
      <c r="Y18" s="3222" t="s">
        <v>3155</v>
      </c>
      <c r="Z18" s="2739"/>
      <c r="AA18" s="2739"/>
      <c r="AB18" s="2739">
        <v>3.5</v>
      </c>
      <c r="AC18" s="2739">
        <v>3120.77</v>
      </c>
      <c r="AD18" s="2869">
        <f>AC18</f>
        <v>3120.77</v>
      </c>
      <c r="AE18" s="2869">
        <f>AB18*AC18*365</f>
        <v>3986783.6749999998</v>
      </c>
      <c r="AF18" s="2869">
        <f>AD18/4</f>
        <v>780.1925</v>
      </c>
      <c r="AG18" s="2869"/>
      <c r="AH18" s="2869">
        <v>3</v>
      </c>
      <c r="AI18" s="2869">
        <f t="shared" ref="AI18:AI19" si="12">AH18*AC18</f>
        <v>9362.31</v>
      </c>
      <c r="AJ18" s="2869"/>
      <c r="AK18" s="2869"/>
      <c r="AL18" s="2869"/>
      <c r="AM18" s="2869"/>
      <c r="AN18" s="2869"/>
      <c r="AO18" s="2869"/>
      <c r="AP18" s="2869"/>
      <c r="AQ18" s="2869"/>
      <c r="AR18" s="2869"/>
    </row>
    <row r="19" spans="1:67" ht="14.25">
      <c r="A19" s="1877" t="s">
        <v>1838</v>
      </c>
      <c r="B19" s="108">
        <v>0</v>
      </c>
      <c r="C19" s="2999" t="s">
        <v>2978</v>
      </c>
      <c r="D19" s="2874"/>
      <c r="E19" s="2871"/>
      <c r="F19" s="2871"/>
      <c r="G19" s="2871"/>
      <c r="H19" s="2871"/>
      <c r="I19" s="2871"/>
      <c r="J19" s="3209" t="s">
        <v>3146</v>
      </c>
      <c r="K19" s="3210"/>
      <c r="L19" s="3210"/>
      <c r="M19" s="3210"/>
      <c r="N19" s="3210">
        <f>ROUND((M17*N17+M18*N18)/K16,0)</f>
        <v>3987</v>
      </c>
      <c r="O19" s="3210"/>
      <c r="P19" s="3215"/>
      <c r="Q19" s="3215" t="s">
        <v>3137</v>
      </c>
      <c r="R19" s="3216" t="s">
        <v>3147</v>
      </c>
      <c r="S19" s="3214">
        <v>1</v>
      </c>
      <c r="T19" s="3209">
        <f>'数据-基础表'!G15</f>
        <v>2902.3100000000004</v>
      </c>
      <c r="U19" s="2869"/>
      <c r="V19" s="3223" t="s">
        <v>3156</v>
      </c>
      <c r="W19" s="2739"/>
      <c r="X19" s="2739"/>
      <c r="Y19" s="2739" t="s">
        <v>3157</v>
      </c>
      <c r="Z19" s="2739"/>
      <c r="AA19" s="2739"/>
      <c r="AB19" s="2739">
        <v>0</v>
      </c>
      <c r="AC19" s="2739">
        <v>11387.59</v>
      </c>
      <c r="AD19" s="2869">
        <f>AC19</f>
        <v>11387.59</v>
      </c>
      <c r="AE19" s="2869"/>
      <c r="AF19" s="2869"/>
      <c r="AG19" s="2869"/>
      <c r="AH19" s="2869">
        <v>0.5</v>
      </c>
      <c r="AI19" s="2869">
        <f t="shared" si="12"/>
        <v>5693.7950000000001</v>
      </c>
      <c r="AJ19" s="2869"/>
      <c r="AK19" s="2869"/>
      <c r="AL19" s="2869"/>
      <c r="AM19" s="2869"/>
      <c r="AN19" s="2869"/>
      <c r="AO19" s="2869"/>
      <c r="AP19" s="2869"/>
      <c r="AQ19" s="2869"/>
      <c r="AR19" s="2869"/>
    </row>
    <row r="20" spans="1:67" ht="14.25">
      <c r="A20" s="1878" t="s">
        <v>1839</v>
      </c>
      <c r="B20" s="109">
        <v>1.5</v>
      </c>
      <c r="C20" s="3000" t="s">
        <v>2976</v>
      </c>
      <c r="D20" s="2874"/>
      <c r="E20" s="2871"/>
      <c r="F20" s="2871"/>
      <c r="G20" s="2871"/>
      <c r="H20" s="2871"/>
      <c r="I20" s="2871"/>
      <c r="J20" s="3209" t="s">
        <v>3138</v>
      </c>
      <c r="K20" s="3210">
        <f>ROUND(K17*K18*1.05,0)</f>
        <v>3096</v>
      </c>
      <c r="L20" s="3210"/>
      <c r="M20" s="3210"/>
      <c r="N20" s="3210"/>
      <c r="O20" s="3210"/>
      <c r="P20" s="3210"/>
      <c r="Q20" s="3210" t="s">
        <v>3139</v>
      </c>
      <c r="R20" s="3209" t="s">
        <v>3148</v>
      </c>
      <c r="S20" s="3217">
        <v>1</v>
      </c>
      <c r="T20" s="3209">
        <f>'数据-基础表'!G16</f>
        <v>2963.05</v>
      </c>
      <c r="U20" s="2869"/>
      <c r="V20" s="2739"/>
      <c r="W20" s="2739"/>
      <c r="X20" s="2739"/>
      <c r="Y20" s="3222" t="s">
        <v>3158</v>
      </c>
      <c r="Z20" s="2739"/>
      <c r="AA20" s="2739"/>
      <c r="AB20" s="2739">
        <f>ROUND((AB17*AC17+AB18*AC18+AB19*AC19)/AC20,1)</f>
        <v>2.2000000000000002</v>
      </c>
      <c r="AC20" s="2739">
        <v>18872.330000000002</v>
      </c>
      <c r="AD20" s="2869">
        <f>SUM(AD17:AD19)</f>
        <v>23236.300000000003</v>
      </c>
      <c r="AE20" s="2869">
        <f>AE17+AE18</f>
        <v>15136727.024999999</v>
      </c>
      <c r="AF20" s="2869"/>
      <c r="AG20" s="2869"/>
      <c r="AH20" s="2869"/>
      <c r="AI20" s="2869">
        <f>(AI17+AI18+AI19)*365/10000</f>
        <v>1505.2572624999998</v>
      </c>
      <c r="AJ20" s="2869"/>
      <c r="AK20" s="2869"/>
      <c r="AL20" s="2869"/>
      <c r="AM20" s="2869"/>
      <c r="AN20" s="2869"/>
      <c r="AO20" s="2869"/>
      <c r="AP20" s="2869"/>
      <c r="AQ20" s="2869"/>
      <c r="AR20" s="2869"/>
    </row>
    <row r="21" spans="1:67" ht="14.25">
      <c r="A21" s="1879" t="s">
        <v>1840</v>
      </c>
      <c r="B21" s="109">
        <v>1</v>
      </c>
      <c r="C21" s="2871"/>
      <c r="D21" s="2874"/>
      <c r="E21" s="2871"/>
      <c r="F21" s="2871"/>
      <c r="G21" s="2871"/>
      <c r="H21" s="2871"/>
      <c r="I21" s="2871"/>
      <c r="J21" s="3209" t="s">
        <v>3149</v>
      </c>
      <c r="K21" s="3210"/>
      <c r="L21" s="3210"/>
      <c r="M21" s="3210"/>
      <c r="N21" s="3210"/>
      <c r="O21" s="3210"/>
      <c r="P21" s="3218"/>
      <c r="Q21" s="3213"/>
      <c r="R21" s="3209" t="s">
        <v>3273</v>
      </c>
      <c r="S21" s="3219">
        <v>0.55000000000000004</v>
      </c>
      <c r="T21" s="3210">
        <f>'数据-基础表'!G17</f>
        <v>8301.5399999999991</v>
      </c>
      <c r="U21" s="2869"/>
      <c r="V21" s="2869"/>
      <c r="W21" s="2869"/>
      <c r="X21" s="2869"/>
      <c r="Y21" s="3573"/>
      <c r="Z21" s="3573" t="s">
        <v>3279</v>
      </c>
      <c r="AA21" s="3574" t="s">
        <v>3280</v>
      </c>
      <c r="AB21" s="3573" t="s">
        <v>3281</v>
      </c>
      <c r="AC21" s="3573" t="s">
        <v>3283</v>
      </c>
      <c r="AD21" s="2869">
        <f>AE20/365/AD20</f>
        <v>1.7847284206177398</v>
      </c>
      <c r="AE21" s="2869"/>
      <c r="AF21" s="2869"/>
      <c r="AG21" s="2869"/>
      <c r="AH21" s="2869"/>
      <c r="AI21" s="2869">
        <f>AI20*0.9</f>
        <v>1354.7315362499999</v>
      </c>
      <c r="AJ21" s="2869"/>
      <c r="AK21" s="2869"/>
      <c r="AL21" s="2869"/>
      <c r="AM21" s="2869"/>
      <c r="AN21" s="2869"/>
      <c r="AO21" s="2869"/>
      <c r="AP21" s="2869"/>
      <c r="AQ21" s="2869"/>
      <c r="AR21" s="2869"/>
    </row>
    <row r="22" spans="1:67" ht="14.25">
      <c r="A22" s="1878" t="s">
        <v>1841</v>
      </c>
      <c r="B22" s="110">
        <f>B19+B20</f>
        <v>1.5</v>
      </c>
      <c r="C22" s="2871"/>
      <c r="D22" s="2874"/>
      <c r="E22" s="2871"/>
      <c r="F22" s="2871"/>
      <c r="G22" s="2871"/>
      <c r="H22" s="2871"/>
      <c r="I22" s="2871"/>
      <c r="J22" s="3220" t="s">
        <v>3150</v>
      </c>
      <c r="K22" s="3221">
        <f>ROUND(K20*(1+44*1.5%),0)</f>
        <v>5139</v>
      </c>
      <c r="L22" s="3210"/>
      <c r="M22" s="3210"/>
      <c r="N22" s="3210"/>
      <c r="O22" s="3210"/>
      <c r="P22" s="3218" t="s">
        <v>3276</v>
      </c>
      <c r="Q22" s="3213">
        <v>0.85</v>
      </c>
      <c r="R22" s="3233" t="s">
        <v>3275</v>
      </c>
      <c r="S22" s="3234">
        <f>ROUND((S17*T17+S18*T18+S19*T19+S20*T20+S21*T21)/T22,2)</f>
        <v>0.66</v>
      </c>
      <c r="T22" s="3210">
        <f>T18+T19+T20+T21+T17</f>
        <v>18907.05</v>
      </c>
      <c r="U22" s="2869"/>
      <c r="V22" s="2869"/>
      <c r="W22" s="2869"/>
      <c r="X22" s="2869"/>
      <c r="Y22" s="3573" t="s">
        <v>3278</v>
      </c>
      <c r="Z22" s="3573">
        <v>792.54</v>
      </c>
      <c r="AA22" s="3573">
        <v>526.42999999999995</v>
      </c>
      <c r="AB22" s="3573">
        <v>526.42999999999995</v>
      </c>
      <c r="AC22" s="3573">
        <v>0</v>
      </c>
      <c r="AD22" s="2869"/>
      <c r="AE22" s="2869"/>
      <c r="AF22" s="2869"/>
      <c r="AG22" s="2869"/>
      <c r="AH22" s="2869"/>
      <c r="AI22" s="2869"/>
      <c r="AJ22" s="2869"/>
      <c r="AK22" s="2869"/>
      <c r="AL22" s="2869"/>
      <c r="AM22" s="2869"/>
      <c r="AN22" s="2869"/>
      <c r="AO22" s="2869"/>
      <c r="AP22" s="2869"/>
      <c r="AQ22" s="2869"/>
      <c r="AR22" s="2869"/>
    </row>
    <row r="23" spans="1:67" ht="14.25">
      <c r="A23" s="1879" t="s">
        <v>1842</v>
      </c>
      <c r="B23" s="110">
        <f>B19+B21</f>
        <v>1</v>
      </c>
      <c r="C23" s="2871"/>
      <c r="D23" s="2874"/>
      <c r="E23" s="2871"/>
      <c r="F23" s="2871"/>
      <c r="G23" s="2871"/>
      <c r="H23" s="2871"/>
      <c r="I23" s="2871"/>
      <c r="J23" s="3218" t="s">
        <v>3140</v>
      </c>
      <c r="K23" s="3210">
        <v>500</v>
      </c>
      <c r="L23" s="3210"/>
      <c r="M23" s="3210"/>
      <c r="N23" s="3210"/>
      <c r="O23" s="3210"/>
      <c r="P23" s="3231" t="s">
        <v>3270</v>
      </c>
      <c r="Q23" s="3215"/>
      <c r="R23" s="3210"/>
      <c r="S23" s="3210"/>
      <c r="T23" s="3210"/>
      <c r="U23" s="2869"/>
      <c r="V23" s="2869"/>
      <c r="W23" s="2869"/>
      <c r="X23" s="2869"/>
      <c r="Y23" s="3573" t="s">
        <v>3137</v>
      </c>
      <c r="Z23" s="3573">
        <v>936.83</v>
      </c>
      <c r="AA23" s="3573">
        <v>598.38</v>
      </c>
      <c r="AB23" s="3573">
        <v>598.38</v>
      </c>
      <c r="AC23" s="3573">
        <v>401.22</v>
      </c>
      <c r="AD23" s="2869"/>
      <c r="AE23" s="2869"/>
      <c r="AF23" s="2869"/>
      <c r="AG23" s="2869"/>
      <c r="AH23" s="2869"/>
      <c r="AI23" s="2869"/>
      <c r="AJ23" s="2869"/>
      <c r="AK23" s="2869"/>
      <c r="AL23" s="2869"/>
      <c r="AM23" s="2869"/>
      <c r="AN23" s="2869"/>
      <c r="AO23" s="2869"/>
      <c r="AP23" s="2869"/>
      <c r="AQ23" s="2869"/>
      <c r="AR23" s="2869"/>
    </row>
    <row r="24" spans="1:67" ht="15" thickBot="1">
      <c r="A24" s="1880" t="s">
        <v>1843</v>
      </c>
      <c r="B24" s="111">
        <f>B20-B21</f>
        <v>0.5</v>
      </c>
      <c r="C24" s="2871"/>
      <c r="D24" s="2874"/>
      <c r="E24" s="2871"/>
      <c r="F24" s="2871"/>
      <c r="G24" s="2871"/>
      <c r="H24" s="2871"/>
      <c r="I24" s="2871"/>
      <c r="J24" s="3210"/>
      <c r="K24" s="3210">
        <f>K22+K23</f>
        <v>5639</v>
      </c>
      <c r="L24" s="3210"/>
      <c r="M24" s="3210"/>
      <c r="N24" s="3210"/>
      <c r="O24" s="3210"/>
      <c r="P24" s="3232" t="s">
        <v>3277</v>
      </c>
      <c r="Q24" s="3215"/>
      <c r="R24" s="3210"/>
      <c r="S24" s="3210"/>
      <c r="T24" s="3210"/>
      <c r="U24" s="2869"/>
      <c r="V24" s="2869"/>
      <c r="W24" s="2869"/>
      <c r="X24" s="2869"/>
      <c r="Y24" s="3573" t="s">
        <v>3139</v>
      </c>
      <c r="Z24" s="3573">
        <v>1029.75</v>
      </c>
      <c r="AA24" s="3573">
        <v>633.79999999999995</v>
      </c>
      <c r="AB24" s="3573">
        <v>578.20000000000005</v>
      </c>
      <c r="AC24" s="3573">
        <v>401.08</v>
      </c>
      <c r="AD24" s="2869"/>
      <c r="AE24" s="2869"/>
      <c r="AF24" s="2869"/>
      <c r="AG24" s="2869"/>
      <c r="AH24" s="2869"/>
      <c r="AI24" s="2869"/>
      <c r="AJ24" s="2869"/>
      <c r="AK24" s="2869"/>
      <c r="AL24" s="2869"/>
      <c r="AM24" s="2869"/>
      <c r="AN24" s="2869"/>
      <c r="AO24" s="2869"/>
      <c r="AP24" s="2869"/>
      <c r="AQ24" s="2869"/>
      <c r="AR24" s="2869"/>
    </row>
    <row r="25" spans="1:67" ht="15" thickBot="1">
      <c r="A25" s="1711"/>
      <c r="B25" s="1842"/>
      <c r="C25" s="2871"/>
      <c r="D25" s="2874"/>
      <c r="E25" s="2871"/>
      <c r="F25" s="2871"/>
      <c r="G25" s="2871"/>
      <c r="H25" s="2871"/>
      <c r="I25" s="2871"/>
      <c r="J25" s="3210"/>
      <c r="K25" s="3210"/>
      <c r="L25" s="3210"/>
      <c r="M25" s="3210"/>
      <c r="N25" s="3210"/>
      <c r="O25" s="3210"/>
      <c r="P25" s="3218" t="s">
        <v>3274</v>
      </c>
      <c r="Q25" s="3235">
        <f>Q22*S22</f>
        <v>0.56100000000000005</v>
      </c>
      <c r="R25" s="3210"/>
      <c r="S25" s="3210"/>
      <c r="T25" s="3210"/>
      <c r="U25" s="2869"/>
      <c r="V25" s="2869"/>
      <c r="W25" s="2869"/>
      <c r="X25" s="2869"/>
      <c r="Y25" s="3574" t="s">
        <v>3282</v>
      </c>
      <c r="Z25" s="3573">
        <v>2141.7600000000002</v>
      </c>
      <c r="AA25" s="3573">
        <v>2191.44</v>
      </c>
      <c r="AB25" s="3573">
        <v>0</v>
      </c>
      <c r="AC25" s="3573">
        <v>0</v>
      </c>
      <c r="AD25" s="2869"/>
      <c r="AE25" s="2869"/>
      <c r="AF25" s="2869"/>
      <c r="AG25" s="2869"/>
      <c r="AH25" s="2869"/>
      <c r="AI25" s="2869"/>
      <c r="AJ25" s="2869"/>
      <c r="AK25" s="2869"/>
      <c r="AL25" s="2869"/>
      <c r="AM25" s="2869"/>
      <c r="AN25" s="2869"/>
      <c r="AO25" s="2869"/>
      <c r="AP25" s="2869"/>
      <c r="AQ25" s="2869"/>
      <c r="AR25" s="2869"/>
    </row>
    <row r="26" spans="1:67" ht="15" thickBot="1">
      <c r="A26" s="1838" t="s">
        <v>1844</v>
      </c>
      <c r="B26" s="1881" t="s">
        <v>1845</v>
      </c>
      <c r="C26" s="2875" t="s">
        <v>1846</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3573"/>
      <c r="Z26" s="3573">
        <f>Z22+Z23+Z24+Z25</f>
        <v>4900.88</v>
      </c>
      <c r="AA26" s="3573">
        <f>AA22+AA23+AA24+AA25</f>
        <v>3950.05</v>
      </c>
      <c r="AB26" s="3573">
        <f>AB22+AB23+AB24+AB25</f>
        <v>1703.01</v>
      </c>
      <c r="AC26" s="3573">
        <f>AC22+AC23+AC24+AC25</f>
        <v>802.3</v>
      </c>
      <c r="AD26" s="2869"/>
      <c r="AE26" s="2869"/>
      <c r="AF26" s="2869"/>
      <c r="AG26" s="2869"/>
      <c r="AH26" s="2869"/>
      <c r="AI26" s="2869"/>
      <c r="AJ26" s="2869"/>
      <c r="AK26" s="2869"/>
      <c r="AL26" s="2869"/>
      <c r="AM26" s="2869"/>
      <c r="AN26" s="2869"/>
      <c r="AO26" s="2869"/>
      <c r="AP26" s="2869"/>
      <c r="AQ26" s="2869"/>
      <c r="AR26" s="2869"/>
    </row>
    <row r="27" spans="1:67" s="1883" customFormat="1" ht="27.75">
      <c r="A27" s="1882" t="s">
        <v>1847</v>
      </c>
      <c r="B27" s="112"/>
      <c r="C27" s="3001" t="s">
        <v>2980</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v>1522.5</v>
      </c>
      <c r="AA27" s="2869"/>
      <c r="AB27" s="2869">
        <v>1223.05</v>
      </c>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1848</v>
      </c>
      <c r="B28" s="115"/>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1849</v>
      </c>
      <c r="B29" s="117"/>
      <c r="C29" s="3002" t="s">
        <v>2967</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1850</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1851</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1852</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1853</v>
      </c>
      <c r="B33" s="682">
        <v>0.03</v>
      </c>
      <c r="C33" s="3003" t="s">
        <v>2968</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1854</v>
      </c>
      <c r="B34" s="118">
        <v>0</v>
      </c>
      <c r="C34" s="3003" t="s">
        <v>2969</v>
      </c>
      <c r="D34" s="2882" t="s">
        <v>2977</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1855</v>
      </c>
      <c r="B35" s="115">
        <v>200</v>
      </c>
      <c r="C35" s="3003" t="s">
        <v>2970</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1856</v>
      </c>
      <c r="B36" s="119">
        <v>1.4999999999999999E-2</v>
      </c>
      <c r="C36" s="3003" t="s">
        <v>2971</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1857</v>
      </c>
      <c r="B37" s="120">
        <v>0.02</v>
      </c>
      <c r="C37" s="3003" t="s">
        <v>2972</v>
      </c>
      <c r="D37" s="2874">
        <f ca="1">结果表!G19-11356</f>
        <v>7</v>
      </c>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1858</v>
      </c>
      <c r="B38" s="118">
        <v>0.02</v>
      </c>
      <c r="C38" s="3003" t="s">
        <v>2972</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1859</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3130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1860</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1861</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1862</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1863</v>
      </c>
      <c r="B44" s="124">
        <v>0.05</v>
      </c>
      <c r="C44" s="3003" t="s">
        <v>2981</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1864</v>
      </c>
      <c r="B45" s="122">
        <v>0.03</v>
      </c>
      <c r="C45" s="3002" t="s">
        <v>2973</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1865</v>
      </c>
      <c r="B46" s="122">
        <v>0.02</v>
      </c>
      <c r="C46" s="3002" t="s">
        <v>2974</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1866</v>
      </c>
      <c r="B47" s="125"/>
      <c r="C47" s="3005" t="s">
        <v>2982</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1867</v>
      </c>
      <c r="B48" s="126">
        <v>0.03</v>
      </c>
      <c r="C48" s="3002" t="s">
        <v>2973</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1868</v>
      </c>
      <c r="B49" s="122">
        <v>5.0000000000000001E-4</v>
      </c>
      <c r="C49" s="3002" t="s">
        <v>2975</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1869</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1870</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1871</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1872</v>
      </c>
      <c r="B53" s="1893" t="s">
        <v>56</v>
      </c>
      <c r="C53" s="2857" t="s">
        <v>1873</v>
      </c>
      <c r="D53" s="3004" t="s">
        <v>2979</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1874</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1875</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1876</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1877</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1878</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1879</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1880</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1881</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1882</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1883</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K15" sqref="K15"/>
    </sheetView>
  </sheetViews>
  <sheetFormatPr defaultColWidth="9" defaultRowHeight="14.25"/>
  <cols>
    <col min="1" max="1" width="9.5" style="1841" customWidth="1"/>
    <col min="2" max="2" width="24.5" style="1726" customWidth="1"/>
    <col min="3" max="3" width="24.5" style="2705" customWidth="1"/>
    <col min="4" max="4" width="2.625" style="2705" customWidth="1"/>
    <col min="5" max="5" width="5.875" style="2705" customWidth="1"/>
    <col min="6" max="6" width="27" style="1726"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26" t="s">
        <v>2959</v>
      </c>
      <c r="B1" s="3327"/>
      <c r="C1" s="3327"/>
      <c r="D1" s="3327"/>
      <c r="E1" s="3327"/>
      <c r="F1" s="3327"/>
      <c r="G1" s="3327"/>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2956</v>
      </c>
      <c r="D2" s="2656"/>
      <c r="E2" s="2653"/>
      <c r="F2" s="2657"/>
      <c r="G2" s="2655" t="s">
        <v>2957</v>
      </c>
      <c r="H2" s="907"/>
      <c r="I2" s="907"/>
      <c r="J2" s="907"/>
      <c r="K2" s="907"/>
      <c r="L2" s="907"/>
      <c r="M2" s="907"/>
      <c r="N2" s="907"/>
      <c r="O2" s="907"/>
      <c r="P2" s="907"/>
      <c r="Q2" s="907"/>
      <c r="R2" s="907"/>
    </row>
    <row r="3" spans="1:29" ht="24">
      <c r="A3" s="2636" t="s">
        <v>2958</v>
      </c>
      <c r="B3" s="2658" t="s">
        <v>2934</v>
      </c>
      <c r="C3" s="2659"/>
      <c r="D3" s="2660"/>
      <c r="E3" s="2637" t="s">
        <v>2958</v>
      </c>
      <c r="F3" s="2661" t="s">
        <v>2935</v>
      </c>
      <c r="G3" s="2662"/>
      <c r="H3" s="907"/>
      <c r="I3" s="907"/>
      <c r="J3" s="907"/>
      <c r="K3" s="907"/>
      <c r="L3" s="907"/>
      <c r="M3" s="907"/>
      <c r="N3" s="907"/>
      <c r="O3" s="907"/>
      <c r="P3" s="907"/>
      <c r="Q3" s="907"/>
      <c r="R3" s="907"/>
    </row>
    <row r="4" spans="1:29">
      <c r="A4" s="2637"/>
      <c r="B4" s="329" t="s">
        <v>2936</v>
      </c>
      <c r="C4" s="2663"/>
      <c r="D4" s="2660"/>
      <c r="E4" s="2664"/>
      <c r="F4" s="1526" t="s">
        <v>2937</v>
      </c>
      <c r="G4" s="2665"/>
      <c r="H4" s="907"/>
      <c r="I4" s="907"/>
      <c r="J4" s="907"/>
      <c r="K4" s="907"/>
      <c r="L4" s="907"/>
      <c r="M4" s="907"/>
      <c r="N4" s="907"/>
      <c r="O4" s="907"/>
      <c r="P4" s="907"/>
      <c r="Q4" s="907"/>
      <c r="R4" s="907"/>
    </row>
    <row r="5" spans="1:29">
      <c r="A5" s="2637"/>
      <c r="B5" s="329" t="s">
        <v>2938</v>
      </c>
      <c r="C5" s="2663"/>
      <c r="D5" s="2660"/>
      <c r="E5" s="2664"/>
      <c r="F5" s="329" t="s">
        <v>2939</v>
      </c>
      <c r="G5" s="2665"/>
      <c r="H5" s="907"/>
      <c r="I5" s="907"/>
      <c r="J5" s="907"/>
      <c r="K5" s="907"/>
      <c r="L5" s="907"/>
      <c r="M5" s="907"/>
      <c r="N5" s="907"/>
      <c r="O5" s="907"/>
      <c r="P5" s="907"/>
      <c r="Q5" s="907"/>
      <c r="R5" s="907"/>
    </row>
    <row r="6" spans="1:29">
      <c r="A6" s="2637"/>
      <c r="B6" s="329" t="s">
        <v>2940</v>
      </c>
      <c r="C6" s="2665"/>
      <c r="D6" s="2660"/>
      <c r="E6" s="2664"/>
      <c r="F6" s="329" t="s">
        <v>2941</v>
      </c>
      <c r="G6" s="2665"/>
      <c r="H6" s="907"/>
      <c r="I6" s="907"/>
      <c r="J6" s="907"/>
      <c r="K6" s="907"/>
      <c r="L6" s="907"/>
      <c r="M6" s="907"/>
      <c r="N6" s="907"/>
      <c r="O6" s="907"/>
      <c r="P6" s="907"/>
      <c r="Q6" s="907"/>
      <c r="R6" s="907"/>
    </row>
    <row r="7" spans="1:29" ht="15" thickBot="1">
      <c r="A7" s="2637"/>
      <c r="B7" s="329" t="s">
        <v>2939</v>
      </c>
      <c r="C7" s="2665"/>
      <c r="D7" s="2666"/>
      <c r="E7" s="2667"/>
      <c r="F7" s="2668" t="s">
        <v>2942</v>
      </c>
      <c r="G7" s="2669"/>
      <c r="H7" s="907"/>
      <c r="I7" s="907"/>
      <c r="J7" s="907"/>
      <c r="K7" s="907"/>
      <c r="L7" s="907"/>
      <c r="M7" s="907"/>
      <c r="N7" s="907"/>
      <c r="O7" s="907"/>
      <c r="P7" s="907"/>
      <c r="Q7" s="907"/>
      <c r="R7" s="907"/>
    </row>
    <row r="8" spans="1:29">
      <c r="A8" s="2637"/>
      <c r="B8" s="329" t="s">
        <v>2941</v>
      </c>
      <c r="C8" s="2665"/>
      <c r="D8" s="2666"/>
      <c r="E8" s="2666"/>
      <c r="F8" s="2670"/>
      <c r="G8" s="2670"/>
      <c r="H8" s="907"/>
      <c r="I8" s="907"/>
      <c r="J8" s="907"/>
      <c r="K8" s="907"/>
      <c r="L8" s="907"/>
      <c r="M8" s="907"/>
      <c r="N8" s="907"/>
      <c r="O8" s="907"/>
      <c r="P8" s="907"/>
      <c r="Q8" s="907"/>
      <c r="R8" s="907"/>
    </row>
    <row r="9" spans="1:29">
      <c r="A9" s="2637"/>
      <c r="B9" s="329" t="s">
        <v>2943</v>
      </c>
      <c r="C9" s="2663"/>
      <c r="D9" s="2660"/>
      <c r="E9" s="2666"/>
      <c r="F9" s="2670"/>
      <c r="G9" s="2670"/>
      <c r="H9" s="907"/>
      <c r="I9" s="907"/>
      <c r="J9" s="907"/>
      <c r="K9" s="907"/>
      <c r="L9" s="907"/>
      <c r="M9" s="907"/>
      <c r="N9" s="907"/>
      <c r="O9" s="907"/>
      <c r="P9" s="907"/>
      <c r="Q9" s="907"/>
      <c r="R9" s="907"/>
    </row>
    <row r="10" spans="1:29" s="2676" customFormat="1" ht="15" thickBot="1">
      <c r="A10" s="2638"/>
      <c r="B10" s="2671" t="s">
        <v>2944</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2960</v>
      </c>
      <c r="B13" s="2679"/>
      <c r="C13" s="2679"/>
      <c r="D13" s="2677"/>
      <c r="E13" s="2679"/>
      <c r="F13" s="2679"/>
      <c r="G13" s="2679"/>
    </row>
    <row r="14" spans="1:29" ht="15" thickBot="1">
      <c r="A14" s="2689"/>
      <c r="B14" s="2689"/>
      <c r="C14" s="2690" t="s">
        <v>2945</v>
      </c>
      <c r="D14" s="2660"/>
      <c r="E14" s="2691"/>
      <c r="F14" s="2691"/>
      <c r="G14" s="2655" t="s">
        <v>2946</v>
      </c>
    </row>
    <row r="15" spans="1:29" ht="24">
      <c r="A15" s="2639" t="s">
        <v>2947</v>
      </c>
      <c r="B15" s="2692" t="s">
        <v>2934</v>
      </c>
      <c r="C15" s="2693">
        <f>C3</f>
        <v>0</v>
      </c>
      <c r="D15" s="2660"/>
      <c r="E15" s="2640" t="s">
        <v>2948</v>
      </c>
      <c r="F15" s="2692" t="s">
        <v>2949</v>
      </c>
      <c r="G15" s="2694">
        <f>G3</f>
        <v>0</v>
      </c>
    </row>
    <row r="16" spans="1:29">
      <c r="A16" s="2641"/>
      <c r="B16" s="2695" t="s">
        <v>2936</v>
      </c>
      <c r="C16" s="2696">
        <f>C4</f>
        <v>0</v>
      </c>
      <c r="D16" s="2660"/>
      <c r="E16" s="2642"/>
      <c r="F16" s="2697" t="s">
        <v>2937</v>
      </c>
      <c r="G16" s="2698">
        <f>G4</f>
        <v>0</v>
      </c>
    </row>
    <row r="17" spans="1:18">
      <c r="A17" s="2641"/>
      <c r="B17" s="2695" t="s">
        <v>2938</v>
      </c>
      <c r="C17" s="2696">
        <f>C5</f>
        <v>0</v>
      </c>
      <c r="D17" s="2666"/>
      <c r="E17" s="2642"/>
      <c r="F17" s="2697" t="s">
        <v>2950</v>
      </c>
      <c r="G17" s="2699"/>
    </row>
    <row r="18" spans="1:18">
      <c r="A18" s="2641"/>
      <c r="B18" s="2697" t="s">
        <v>2940</v>
      </c>
      <c r="C18" s="2698">
        <f>C6</f>
        <v>0</v>
      </c>
      <c r="D18" s="2666"/>
      <c r="E18" s="2642"/>
      <c r="F18" s="2697" t="s">
        <v>2942</v>
      </c>
      <c r="G18" s="2698">
        <f>G7</f>
        <v>0</v>
      </c>
    </row>
    <row r="19" spans="1:18">
      <c r="A19" s="2641"/>
      <c r="B19" s="2697" t="s">
        <v>2951</v>
      </c>
      <c r="C19" s="2699"/>
      <c r="D19" s="2660"/>
      <c r="E19" s="2642"/>
      <c r="F19" s="329" t="s">
        <v>2939</v>
      </c>
      <c r="G19" s="2698">
        <f>G5</f>
        <v>0</v>
      </c>
    </row>
    <row r="20" spans="1:18">
      <c r="A20" s="2641"/>
      <c r="B20" s="2697" t="s">
        <v>2952</v>
      </c>
      <c r="C20" s="2696">
        <f>C9</f>
        <v>0</v>
      </c>
      <c r="D20" s="2666"/>
      <c r="E20" s="2642"/>
      <c r="F20" s="329" t="s">
        <v>2941</v>
      </c>
      <c r="G20" s="2698">
        <f>G6</f>
        <v>0</v>
      </c>
    </row>
    <row r="21" spans="1:18">
      <c r="A21" s="2641"/>
      <c r="B21" s="329" t="s">
        <v>2939</v>
      </c>
      <c r="C21" s="2698">
        <f>C7</f>
        <v>0</v>
      </c>
      <c r="D21" s="2660"/>
      <c r="E21" s="2642"/>
      <c r="F21" s="2697" t="s">
        <v>2953</v>
      </c>
      <c r="G21" s="2700"/>
    </row>
    <row r="22" spans="1:18" ht="13.5" customHeight="1">
      <c r="A22" s="2641"/>
      <c r="B22" s="329" t="s">
        <v>2941</v>
      </c>
      <c r="C22" s="2698">
        <f>C8</f>
        <v>0</v>
      </c>
      <c r="D22" s="2660"/>
      <c r="E22" s="2642"/>
      <c r="F22" s="2697" t="s">
        <v>2944</v>
      </c>
      <c r="G22" s="2699"/>
    </row>
    <row r="23" spans="1:18" s="907" customFormat="1" ht="15" thickBot="1">
      <c r="A23" s="2641"/>
      <c r="B23" s="2697" t="s">
        <v>2953</v>
      </c>
      <c r="C23" s="2700"/>
      <c r="D23" s="1896"/>
      <c r="E23" s="2643"/>
      <c r="F23" s="2701" t="s">
        <v>2954</v>
      </c>
      <c r="G23" s="2702"/>
      <c r="H23" s="2686"/>
      <c r="I23" s="2687"/>
      <c r="J23" s="2686"/>
      <c r="K23" s="2686"/>
      <c r="L23" s="2687"/>
      <c r="M23" s="2686"/>
      <c r="N23" s="2686"/>
      <c r="O23" s="2687"/>
      <c r="P23" s="2686"/>
      <c r="Q23" s="2686"/>
      <c r="R23" s="2688"/>
    </row>
    <row r="24" spans="1:18" s="907" customFormat="1" ht="15" thickBot="1">
      <c r="A24" s="2644"/>
      <c r="B24" s="2701" t="s">
        <v>2955</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3" sqref="F33"/>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18907.05</v>
      </c>
      <c r="C1" s="2884"/>
      <c r="D1" s="2884"/>
      <c r="E1" s="2884"/>
      <c r="F1" s="2884"/>
      <c r="G1" s="2885"/>
      <c r="H1" s="2886"/>
      <c r="I1" s="2886"/>
      <c r="J1" s="2886"/>
      <c r="K1" s="2886"/>
    </row>
    <row r="2" spans="1:11" ht="16.5">
      <c r="A2" s="2707" t="s">
        <v>1259</v>
      </c>
      <c r="B2" s="2707">
        <f>SUM(C14:C23)</f>
        <v>15415.9</v>
      </c>
      <c r="C2" s="2884"/>
      <c r="D2" s="2884"/>
      <c r="E2" s="2884"/>
      <c r="F2" s="2884"/>
      <c r="G2" s="2885"/>
      <c r="H2" s="2886"/>
      <c r="I2" s="2886"/>
      <c r="J2" s="2886"/>
      <c r="K2" s="2886"/>
    </row>
    <row r="3" spans="1:11" ht="16.5">
      <c r="A3" s="2707" t="s">
        <v>1268</v>
      </c>
      <c r="B3" s="2709">
        <f>项目基本情况!D3</f>
        <v>44645</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11363</v>
      </c>
      <c r="C5" s="2707">
        <f ca="1">ROUND(B5*10000/$B$1,0)</f>
        <v>6010</v>
      </c>
      <c r="D5" s="2707">
        <f ca="1">ROUND(B5*10000/$B$2,0)</f>
        <v>7371</v>
      </c>
      <c r="E5" s="2884"/>
      <c r="F5" s="2885"/>
      <c r="G5" s="2885"/>
      <c r="H5" s="2886"/>
      <c r="I5" s="2886"/>
      <c r="J5" s="2886"/>
      <c r="K5" s="2886"/>
    </row>
    <row r="6" spans="1:11" ht="16.5">
      <c r="A6" s="2707" t="s">
        <v>1262</v>
      </c>
      <c r="B6" s="2707">
        <f ca="1">SUM(G14:G23)</f>
        <v>11363</v>
      </c>
      <c r="C6" s="2707">
        <f ca="1">ROUND(B6*10000/$B$1,0)</f>
        <v>6010</v>
      </c>
      <c r="D6" s="2707">
        <f ca="1">ROUND(B6*10000/$B$2,0)</f>
        <v>7371</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18907.05</v>
      </c>
      <c r="C14" s="2713">
        <f>结果表!C118</f>
        <v>15415.9</v>
      </c>
      <c r="D14" s="2713">
        <f ca="1">结果表!H118</f>
        <v>11363</v>
      </c>
      <c r="E14" s="2713">
        <f ca="1">ROUND(D14*10000/B14,0)</f>
        <v>6010</v>
      </c>
      <c r="F14" s="2713">
        <f ca="1">ROUND(D14*10000/C14,0)</f>
        <v>7371</v>
      </c>
      <c r="G14" s="2713">
        <f ca="1">结果表!D122</f>
        <v>11363</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0"/>
      <c r="H15" s="1470"/>
      <c r="I15" s="2714"/>
      <c r="J15" s="2885"/>
      <c r="K15" s="2886"/>
    </row>
    <row r="16" spans="1:11" ht="16.5">
      <c r="A16" s="2712" t="s">
        <v>1254</v>
      </c>
      <c r="B16" s="2714"/>
      <c r="C16" s="2714"/>
      <c r="D16" s="2714"/>
      <c r="E16" s="2713" t="e">
        <f t="shared" si="0"/>
        <v>#DIV/0!</v>
      </c>
      <c r="F16" s="2713" t="e">
        <f t="shared" si="1"/>
        <v>#DIV/0!</v>
      </c>
      <c r="G16" s="1470"/>
      <c r="H16" s="1470"/>
      <c r="I16" s="2714"/>
      <c r="J16" s="2886"/>
      <c r="K16" s="2886"/>
    </row>
    <row r="17" spans="1:11" ht="16.5">
      <c r="A17" s="2712" t="s">
        <v>1253</v>
      </c>
      <c r="B17" s="2714"/>
      <c r="C17" s="2714"/>
      <c r="D17" s="2714"/>
      <c r="E17" s="2713" t="e">
        <f t="shared" si="0"/>
        <v>#DIV/0!</v>
      </c>
      <c r="F17" s="2713" t="e">
        <f t="shared" si="1"/>
        <v>#DIV/0!</v>
      </c>
      <c r="G17" s="1470"/>
      <c r="H17" s="1470"/>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Normal="100" zoomScaleSheetLayoutView="100" zoomScalePageLayoutView="80" workbookViewId="0">
      <selection activeCell="K128" sqref="K128"/>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1" t="s">
        <v>1889</v>
      </c>
      <c r="B1" s="1902"/>
      <c r="C1" s="1903"/>
      <c r="D1" s="1902"/>
      <c r="E1" s="1902"/>
      <c r="F1" s="1904" t="s">
        <v>1890</v>
      </c>
      <c r="G1" s="1715"/>
      <c r="H1" s="1905" t="str">
        <f>IF(G1="现房","——","估价对象范围")</f>
        <v>估价对象范围</v>
      </c>
      <c r="I1" s="1906"/>
    </row>
    <row r="2" spans="1:12" ht="21.75" customHeight="1" thickBot="1">
      <c r="A2" s="3362" t="str">
        <f>项目基本情况!S2</f>
        <v>北京市房地产</v>
      </c>
      <c r="B2" s="3363"/>
      <c r="C2" s="3363"/>
      <c r="D2" s="3363"/>
      <c r="E2" s="3363"/>
      <c r="F2" s="3363"/>
      <c r="G2" s="3363"/>
      <c r="H2" s="3363"/>
      <c r="I2" s="3364"/>
    </row>
    <row r="3" spans="1:12" ht="12.75">
      <c r="A3" s="3366" t="s">
        <v>1891</v>
      </c>
      <c r="B3" s="3367"/>
      <c r="C3" s="3367"/>
      <c r="D3" s="3367"/>
      <c r="E3" s="3367"/>
      <c r="F3" s="3367"/>
      <c r="G3" s="3367"/>
      <c r="H3" s="3367"/>
      <c r="I3" s="3367"/>
    </row>
    <row r="4" spans="1:12" ht="14.25">
      <c r="A4" s="1909" t="s">
        <v>1892</v>
      </c>
      <c r="B4" s="1910" t="s">
        <v>1893</v>
      </c>
      <c r="C4" s="1911" t="s">
        <v>3259</v>
      </c>
      <c r="D4" s="1911" t="s">
        <v>3260</v>
      </c>
      <c r="E4" s="3368" t="s">
        <v>1894</v>
      </c>
      <c r="F4" s="3369"/>
      <c r="G4" s="3369"/>
      <c r="H4" s="3369"/>
      <c r="I4" s="337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342" t="s">
        <v>1895</v>
      </c>
      <c r="B5" s="3329">
        <v>25</v>
      </c>
      <c r="C5" s="3345"/>
      <c r="D5" s="3365"/>
      <c r="E5" s="136" t="s">
        <v>1896</v>
      </c>
      <c r="F5" s="1912"/>
      <c r="G5" s="1912"/>
      <c r="H5" s="1912"/>
      <c r="I5" s="1526"/>
    </row>
    <row r="6" spans="1:12" ht="12.75">
      <c r="A6" s="3342"/>
      <c r="B6" s="3329"/>
      <c r="C6" s="3346"/>
      <c r="D6" s="3365"/>
      <c r="E6" s="136" t="s">
        <v>1897</v>
      </c>
      <c r="F6" s="1912"/>
      <c r="G6" s="1912"/>
      <c r="H6" s="1912"/>
      <c r="I6" s="1526"/>
    </row>
    <row r="7" spans="1:12" ht="12.75">
      <c r="A7" s="3342"/>
      <c r="B7" s="3329"/>
      <c r="C7" s="3347"/>
      <c r="D7" s="3365"/>
      <c r="E7" s="136" t="s">
        <v>1898</v>
      </c>
      <c r="F7" s="1912"/>
      <c r="G7" s="1912"/>
      <c r="H7" s="1912"/>
      <c r="I7" s="1526"/>
    </row>
    <row r="8" spans="1:12" ht="12.75">
      <c r="A8" s="3342" t="s">
        <v>1899</v>
      </c>
      <c r="B8" s="3329">
        <v>15</v>
      </c>
      <c r="C8" s="3345"/>
      <c r="D8" s="3365"/>
      <c r="E8" s="136" t="s">
        <v>1900</v>
      </c>
      <c r="F8" s="1912"/>
      <c r="G8" s="1912"/>
      <c r="H8" s="1912"/>
      <c r="I8" s="1526"/>
    </row>
    <row r="9" spans="1:12" ht="12.75">
      <c r="A9" s="3342"/>
      <c r="B9" s="3329"/>
      <c r="C9" s="3347"/>
      <c r="D9" s="3365"/>
      <c r="E9" s="136" t="s">
        <v>1901</v>
      </c>
      <c r="F9" s="1912"/>
      <c r="G9" s="1912"/>
      <c r="H9" s="1912"/>
      <c r="I9" s="1526"/>
    </row>
    <row r="10" spans="1:12" ht="12.75">
      <c r="A10" s="3342" t="s">
        <v>1902</v>
      </c>
      <c r="B10" s="3329">
        <v>15</v>
      </c>
      <c r="C10" s="3345"/>
      <c r="D10" s="3365"/>
      <c r="E10" s="136" t="s">
        <v>1903</v>
      </c>
      <c r="F10" s="1912"/>
      <c r="G10" s="1912"/>
      <c r="H10" s="1912"/>
      <c r="I10" s="1526"/>
    </row>
    <row r="11" spans="1:12" ht="12.75">
      <c r="A11" s="3342"/>
      <c r="B11" s="3329"/>
      <c r="C11" s="3347"/>
      <c r="D11" s="3365"/>
      <c r="E11" s="136" t="s">
        <v>1904</v>
      </c>
      <c r="F11" s="1912"/>
      <c r="G11" s="1912"/>
      <c r="H11" s="1912"/>
      <c r="I11" s="1526"/>
    </row>
    <row r="12" spans="1:12" ht="12.75">
      <c r="A12" s="3342" t="s">
        <v>1905</v>
      </c>
      <c r="B12" s="3329">
        <v>15</v>
      </c>
      <c r="C12" s="3345"/>
      <c r="D12" s="3365"/>
      <c r="E12" s="136" t="s">
        <v>1906</v>
      </c>
      <c r="F12" s="1912"/>
      <c r="G12" s="1912"/>
      <c r="H12" s="1912"/>
      <c r="I12" s="1526"/>
    </row>
    <row r="13" spans="1:12" ht="12.75">
      <c r="A13" s="3342"/>
      <c r="B13" s="3329"/>
      <c r="C13" s="3347"/>
      <c r="D13" s="3365"/>
      <c r="E13" s="136" t="s">
        <v>1907</v>
      </c>
      <c r="F13" s="1912"/>
      <c r="G13" s="1912"/>
      <c r="H13" s="1912"/>
      <c r="I13" s="1526"/>
    </row>
    <row r="14" spans="1:12" ht="12.75">
      <c r="A14" s="3342" t="s">
        <v>1908</v>
      </c>
      <c r="B14" s="3329">
        <v>30</v>
      </c>
      <c r="C14" s="3345">
        <v>5</v>
      </c>
      <c r="D14" s="3365">
        <v>5</v>
      </c>
      <c r="E14" s="136" t="s">
        <v>1909</v>
      </c>
      <c r="F14" s="1912"/>
      <c r="G14" s="1912"/>
      <c r="H14" s="1912"/>
      <c r="I14" s="1526"/>
    </row>
    <row r="15" spans="1:12" ht="12.75">
      <c r="A15" s="3342"/>
      <c r="B15" s="3329"/>
      <c r="C15" s="3346"/>
      <c r="D15" s="3365"/>
      <c r="E15" s="136" t="s">
        <v>1910</v>
      </c>
      <c r="F15" s="1912"/>
      <c r="G15" s="1912"/>
      <c r="H15" s="1912"/>
      <c r="I15" s="1526"/>
    </row>
    <row r="16" spans="1:12" ht="12.75">
      <c r="A16" s="3342"/>
      <c r="B16" s="3329"/>
      <c r="C16" s="3347"/>
      <c r="D16" s="3365"/>
      <c r="E16" s="136" t="s">
        <v>1911</v>
      </c>
      <c r="F16" s="1912"/>
      <c r="G16" s="1912"/>
      <c r="H16" s="1912"/>
      <c r="I16" s="1526"/>
    </row>
    <row r="17" spans="1:36" ht="15">
      <c r="A17" s="1913" t="s">
        <v>1912</v>
      </c>
      <c r="B17" s="60"/>
      <c r="C17" s="137">
        <f>SUM(C5:C16)</f>
        <v>5</v>
      </c>
      <c r="D17" s="137">
        <f>SUM(D5:D16)</f>
        <v>5</v>
      </c>
      <c r="E17" s="134"/>
      <c r="F17" s="134"/>
      <c r="G17" s="134"/>
      <c r="H17" s="134"/>
      <c r="I17" s="134"/>
      <c r="K17" s="308"/>
      <c r="L17" s="308" t="s">
        <v>1913</v>
      </c>
      <c r="M17" s="308" t="s">
        <v>1914</v>
      </c>
    </row>
    <row r="18" spans="1:36" ht="31.9" customHeight="1" thickBot="1">
      <c r="A18" s="1914" t="s">
        <v>1915</v>
      </c>
      <c r="B18" s="1915"/>
      <c r="C18" s="138">
        <f>ROUND(C17/SUM(C17:D17),2)</f>
        <v>0.5</v>
      </c>
      <c r="D18" s="138">
        <f>1-C18</f>
        <v>0.5</v>
      </c>
      <c r="E18" s="3352" t="s">
        <v>2809</v>
      </c>
      <c r="F18" s="3353"/>
      <c r="G18" s="3353"/>
      <c r="H18" s="3353"/>
      <c r="I18" s="3353"/>
      <c r="K18" s="308" t="s">
        <v>1916</v>
      </c>
      <c r="L18" s="308">
        <f>IF(C1="",'数据-汇总表'!E3,SUMIF(项目类型,C1,'数据-汇总表'!E17:E26)+SUMIF(项目类型,C1,'数据-汇总表'!I17:I26))</f>
        <v>18907.05</v>
      </c>
      <c r="M18" s="308">
        <f>IF(C1="",'数据-汇总表'!E3,SUMIF(项目类型,C1,'数据-汇总表'!E17:E26))</f>
        <v>18907.05</v>
      </c>
    </row>
    <row r="19" spans="1:36" ht="15">
      <c r="A19" s="1916" t="s">
        <v>1917</v>
      </c>
      <c r="B19" s="1917" t="s">
        <v>1918</v>
      </c>
      <c r="C19" s="139">
        <f ca="1">SUMIF(INDIRECT("'"&amp;C4&amp;"'"&amp;"!A:A"),结果表!B19,INDIRECT("'"&amp;C4&amp;"'"&amp;"!B:B"))</f>
        <v>15286</v>
      </c>
      <c r="D19" s="140">
        <f ca="1">SUMIF(INDIRECT("'"&amp;D4&amp;"'"&amp;"!A:A"),结果表!B19,INDIRECT("'"&amp;D4&amp;"'"&amp;"!B:B"))</f>
        <v>7440</v>
      </c>
      <c r="E19" s="1916" t="s">
        <v>1919</v>
      </c>
      <c r="F19" s="1917" t="s">
        <v>1918</v>
      </c>
      <c r="G19" s="141">
        <f ca="1">ROUND(C19*$C$18+D19*$D$18,0)</f>
        <v>11363</v>
      </c>
      <c r="H19" s="1918" t="s">
        <v>1920</v>
      </c>
      <c r="I19" s="134"/>
      <c r="K19" s="308" t="s">
        <v>1921</v>
      </c>
      <c r="L19" s="308">
        <f>IF(C1="",'数据-汇总表'!D3,SUMIF(项目类型,C1,'数据-汇总表'!D17:D26)+SUMIF(项目类型,C1,'数据-汇总表'!H17:H27))</f>
        <v>15415.9</v>
      </c>
      <c r="M19" s="308">
        <f>IF(C1="",'数据-汇总表'!D3,SUMIF(项目类型,C1,'数据-汇总表'!D17:D26))</f>
        <v>15415.9</v>
      </c>
    </row>
    <row r="20" spans="1:36" ht="15">
      <c r="A20" s="1919"/>
      <c r="B20" s="1157" t="s">
        <v>1922</v>
      </c>
      <c r="C20" s="142">
        <f ca="1">SUMIF(INDIRECT("'"&amp;C4&amp;"'"&amp;"!A:A"),结果表!B20,INDIRECT("'"&amp;C4&amp;"'"&amp;"!B:B"))</f>
        <v>8085</v>
      </c>
      <c r="D20" s="143">
        <f ca="1">SUMIF(INDIRECT("'"&amp;D4&amp;"'"&amp;"!A:A"),结果表!B20,INDIRECT("'"&amp;D4&amp;"'"&amp;"!B:B"))</f>
        <v>3942</v>
      </c>
      <c r="E20" s="1919"/>
      <c r="F20" s="1157" t="s">
        <v>1922</v>
      </c>
      <c r="G20" s="144">
        <f ca="1">ROUND(C20*$C$18+D20*$D$18,0)</f>
        <v>6014</v>
      </c>
      <c r="H20" s="917" t="s">
        <v>1923</v>
      </c>
      <c r="I20" s="134"/>
    </row>
    <row r="21" spans="1:36" ht="15" customHeight="1" thickBot="1">
      <c r="A21" s="937"/>
      <c r="B21" s="1920" t="s">
        <v>1924</v>
      </c>
      <c r="C21" s="728">
        <f ca="1">ROUND(C19*10000/L19,0)</f>
        <v>9916</v>
      </c>
      <c r="D21" s="729">
        <f ca="1">ROUND(D19*10000/L19,0)</f>
        <v>4826</v>
      </c>
      <c r="E21" s="937"/>
      <c r="F21" s="1920" t="s">
        <v>1924</v>
      </c>
      <c r="G21" s="145">
        <f ca="1">ROUND(G19*10000/L19,0)</f>
        <v>7371</v>
      </c>
      <c r="H21" s="1921" t="s">
        <v>1923</v>
      </c>
      <c r="I21" s="134"/>
    </row>
    <row r="22" spans="1:36" ht="15" thickBot="1">
      <c r="A22" s="1843" t="s">
        <v>1925</v>
      </c>
      <c r="B22" s="1922"/>
      <c r="C22" s="1923"/>
      <c r="D22" s="730">
        <f ca="1">IF(C19&lt;D19,D19/C19-1,C19/D19-1)</f>
        <v>1.0545698924731184</v>
      </c>
      <c r="E22" s="134"/>
      <c r="F22" s="134"/>
      <c r="G22" s="134"/>
      <c r="H22" s="134"/>
      <c r="I22" s="134"/>
    </row>
    <row r="23" spans="1:36" ht="13.5" thickBot="1">
      <c r="A23" s="1902"/>
      <c r="B23" s="1902"/>
      <c r="C23" s="1902"/>
      <c r="D23" s="1902"/>
      <c r="E23" s="134"/>
      <c r="F23" s="134"/>
      <c r="G23" s="134"/>
      <c r="H23" s="134"/>
      <c r="I23" s="134"/>
    </row>
    <row r="24" spans="1:36" ht="14.25">
      <c r="A24" s="3336" t="s">
        <v>1926</v>
      </c>
      <c r="B24" s="1917" t="s">
        <v>1918</v>
      </c>
      <c r="C24" s="141">
        <f>IF(B30=0,0,D30)</f>
        <v>0</v>
      </c>
      <c r="D24" s="1924"/>
      <c r="E24" s="134"/>
      <c r="F24" s="134"/>
      <c r="G24" s="134"/>
      <c r="H24" s="134"/>
      <c r="I24" s="134"/>
    </row>
    <row r="25" spans="1:36" ht="14.25">
      <c r="A25" s="3337"/>
      <c r="B25" s="1157" t="s">
        <v>1922</v>
      </c>
      <c r="C25" s="146">
        <f>IF(B30=0,0,C30)</f>
        <v>0</v>
      </c>
      <c r="D25" s="1925"/>
      <c r="E25" s="134"/>
      <c r="F25" s="134"/>
      <c r="G25" s="134"/>
      <c r="H25" s="134"/>
      <c r="I25" s="134"/>
    </row>
    <row r="26" spans="1:36" ht="13.5" customHeight="1">
      <c r="A26" s="1926" t="s">
        <v>1927</v>
      </c>
      <c r="B26" s="147" t="s">
        <v>1928</v>
      </c>
      <c r="C26" s="147" t="s">
        <v>1929</v>
      </c>
      <c r="D26" s="148" t="s">
        <v>1930</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1931</v>
      </c>
      <c r="B30" s="147"/>
      <c r="C30" s="147"/>
      <c r="D30" s="147"/>
      <c r="E30" s="2490" t="s">
        <v>2810</v>
      </c>
      <c r="F30" s="134"/>
      <c r="G30" s="134"/>
      <c r="H30" s="134"/>
      <c r="I30" s="134"/>
    </row>
    <row r="31" spans="1:36" s="2496" customFormat="1" ht="26.45" customHeight="1" thickTop="1" thickBot="1">
      <c r="A31" s="2491"/>
      <c r="B31" s="2492"/>
      <c r="C31" s="2492"/>
      <c r="D31" s="2492"/>
      <c r="E31" s="2492"/>
      <c r="F31" s="2492"/>
      <c r="G31" s="2492"/>
      <c r="H31" s="2492"/>
      <c r="I31" s="2493" t="s">
        <v>2811</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1932</v>
      </c>
      <c r="B32" s="1929"/>
      <c r="C32" s="149">
        <f ca="1">IF(D32="总价",G19-C24,G20-C25)</f>
        <v>11363</v>
      </c>
      <c r="D32" s="1930" t="s">
        <v>3271</v>
      </c>
      <c r="E32" s="134"/>
      <c r="F32" s="134"/>
      <c r="G32" s="134"/>
      <c r="H32" s="134"/>
      <c r="I32" s="134"/>
    </row>
    <row r="33" spans="1:15" ht="15">
      <c r="A33" s="894" t="s">
        <v>1933</v>
      </c>
      <c r="B33" s="1931"/>
      <c r="C33" s="1932" t="s">
        <v>3272</v>
      </c>
      <c r="D33" s="1933" t="s">
        <v>3259</v>
      </c>
      <c r="E33" s="1934" t="s">
        <v>1934</v>
      </c>
      <c r="F33" s="1935" t="str">
        <f>IF(D32="楼面单价","取值（单价）","取值（总价）")</f>
        <v>取值（总价）</v>
      </c>
      <c r="G33" s="134"/>
      <c r="H33" s="134"/>
      <c r="I33" s="134"/>
    </row>
    <row r="34" spans="1:15" ht="15">
      <c r="A34" s="1936"/>
      <c r="B34" s="1937" t="s">
        <v>1935</v>
      </c>
      <c r="C34" s="153">
        <f ca="1">IF(C33="自定义",F34,C32-C35)</f>
        <v>5704</v>
      </c>
      <c r="D34" s="970">
        <f ca="1">IF(C33="自定义",ROUND(C34/C32,3),IF(C33="收益比率",SUMIF(INDIRECT("'"&amp;D33&amp;"'"&amp;"!b:b"),"土地收益比率",INDIRECT("'"&amp;D33&amp;"'"&amp;"!c:c")),SUMIF(INDIRECT("'"&amp;D33&amp;"'"&amp;"!b:b"),"土地成本比率",INDIRECT("'"&amp;D33&amp;"'"&amp;"!c:c"))))</f>
        <v>0.502</v>
      </c>
      <c r="E34" s="1938" t="s">
        <v>1936</v>
      </c>
      <c r="F34" s="1469"/>
      <c r="G34" s="134"/>
      <c r="H34" s="134"/>
      <c r="I34" s="134"/>
    </row>
    <row r="35" spans="1:15" ht="15.75" thickBot="1">
      <c r="A35" s="1939"/>
      <c r="B35" s="1940" t="s">
        <v>1937</v>
      </c>
      <c r="C35" s="1304">
        <f ca="1">IF(C33="自定义",F35,ROUND(C32*D35,0))</f>
        <v>5659</v>
      </c>
      <c r="D35" s="1305">
        <f ca="1">IF(C33="自定义",ROUND(C35/C32,3),IF(C33="收益比率",SUMIF(INDIRECT("'"&amp;D33&amp;"'"&amp;"!b:b"),"建筑物收益比率",INDIRECT("'"&amp;D33&amp;"'"&amp;"!c:c")),SUMIF(INDIRECT("'"&amp;D33&amp;"'"&amp;"!b:b"),"建筑物成本比率",INDIRECT("'"&amp;D33&amp;"'"&amp;"!c:c"))))</f>
        <v>0.498</v>
      </c>
      <c r="E35" s="1941" t="s">
        <v>1938</v>
      </c>
      <c r="F35" s="159"/>
      <c r="G35" s="134"/>
      <c r="H35" s="134"/>
      <c r="I35" s="134"/>
    </row>
    <row r="36" spans="1:15" ht="15.75" thickBot="1">
      <c r="A36" s="3356" t="s">
        <v>1939</v>
      </c>
      <c r="B36" s="1942" t="s">
        <v>1940</v>
      </c>
      <c r="C36" s="150"/>
      <c r="D36" s="1943"/>
      <c r="E36" s="1944"/>
      <c r="F36" s="1945"/>
      <c r="G36" s="134"/>
      <c r="H36" s="134"/>
      <c r="I36" s="134"/>
    </row>
    <row r="37" spans="1:15" ht="15.75" thickBot="1">
      <c r="A37" s="3357"/>
      <c r="B37" s="1829" t="s">
        <v>1941</v>
      </c>
      <c r="C37" s="152"/>
      <c r="D37" s="1273"/>
      <c r="E37" s="1273"/>
      <c r="F37" s="1945"/>
      <c r="G37" s="134"/>
      <c r="H37" s="134"/>
      <c r="I37" s="134"/>
    </row>
    <row r="38" spans="1:15" ht="15.75" thickBot="1">
      <c r="A38" s="3358"/>
      <c r="B38" s="1946" t="s">
        <v>1942</v>
      </c>
      <c r="C38" s="683"/>
      <c r="D38" s="1947" t="s">
        <v>1943</v>
      </c>
      <c r="E38" s="1273"/>
      <c r="F38" s="1945"/>
      <c r="G38" s="134"/>
      <c r="H38" s="134"/>
      <c r="I38" s="134"/>
    </row>
    <row r="39" spans="1:15" ht="15">
      <c r="A39" s="1919" t="s">
        <v>1944</v>
      </c>
      <c r="B39" s="1948" t="s">
        <v>1945</v>
      </c>
      <c r="C39" s="1949" t="s">
        <v>1946</v>
      </c>
      <c r="D39" s="1949" t="s">
        <v>1947</v>
      </c>
      <c r="E39" s="1950" t="s">
        <v>1948</v>
      </c>
      <c r="F39" s="1945"/>
      <c r="G39" s="134"/>
      <c r="H39" s="134"/>
      <c r="I39" s="134"/>
    </row>
    <row r="40" spans="1:15" ht="14.25">
      <c r="A40" s="1951" t="s">
        <v>1949</v>
      </c>
      <c r="B40" s="154"/>
      <c r="C40" s="155"/>
      <c r="D40" s="155"/>
      <c r="E40" s="156"/>
      <c r="F40" s="1945"/>
      <c r="G40" s="134"/>
      <c r="H40" s="134"/>
      <c r="I40" s="134"/>
    </row>
    <row r="41" spans="1:15" ht="14.25">
      <c r="A41" s="1951" t="s">
        <v>1950</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1"/>
      <c r="B43" s="1731"/>
      <c r="C43" s="1731"/>
      <c r="D43" s="1731"/>
      <c r="E43" s="1731"/>
      <c r="F43" s="1953"/>
      <c r="G43" s="1953"/>
      <c r="H43" s="1953"/>
      <c r="I43" s="1954"/>
    </row>
    <row r="44" spans="1:15" ht="18.75">
      <c r="A44" s="1955" t="s">
        <v>1951</v>
      </c>
      <c r="B44" s="1956"/>
      <c r="C44" s="1956"/>
      <c r="D44" s="1957"/>
      <c r="E44" s="1957"/>
      <c r="F44" s="1958"/>
      <c r="G44" s="1958"/>
      <c r="H44" s="1958"/>
      <c r="I44" s="1958"/>
      <c r="J44" s="1959" t="s">
        <v>1952</v>
      </c>
      <c r="K44" s="1960"/>
      <c r="L44" s="1960"/>
      <c r="M44" s="1960"/>
      <c r="N44" s="1960"/>
      <c r="O44" s="1960"/>
    </row>
    <row r="45" spans="1:15" ht="14.25" customHeight="1" thickBot="1">
      <c r="A45" s="3333" t="s">
        <v>1953</v>
      </c>
      <c r="B45" s="3334"/>
      <c r="C45" s="3335"/>
      <c r="D45" s="160">
        <f ca="1">ROUND(H101*F45,0)</f>
        <v>11363</v>
      </c>
      <c r="E45" s="161" t="s">
        <v>1954</v>
      </c>
      <c r="F45" s="162">
        <v>1</v>
      </c>
      <c r="G45" s="163" t="s">
        <v>1955</v>
      </c>
      <c r="H45" s="134"/>
      <c r="I45" s="134"/>
      <c r="J45" s="3414" t="s">
        <v>1956</v>
      </c>
      <c r="K45" s="3414"/>
      <c r="L45" s="3414"/>
      <c r="M45" s="3414"/>
      <c r="N45" s="3414"/>
      <c r="O45" s="3414"/>
    </row>
    <row r="46" spans="1:15" ht="14.25" customHeight="1">
      <c r="A46" s="3330" t="s">
        <v>1957</v>
      </c>
      <c r="B46" s="3331"/>
      <c r="C46" s="3331"/>
      <c r="D46" s="3331"/>
      <c r="E46" s="3331"/>
      <c r="F46" s="3331"/>
      <c r="G46" s="3332"/>
      <c r="H46" s="1961"/>
      <c r="I46" s="164"/>
      <c r="J46" s="2718">
        <v>1</v>
      </c>
      <c r="K46" s="3395" t="s">
        <v>1958</v>
      </c>
      <c r="L46" s="3395"/>
      <c r="M46" s="3415"/>
      <c r="N46" s="3415"/>
      <c r="O46" s="3415"/>
    </row>
    <row r="47" spans="1:15" ht="12" customHeight="1">
      <c r="A47" s="165" t="s">
        <v>1959</v>
      </c>
      <c r="B47" s="166"/>
      <c r="C47" s="167"/>
      <c r="D47" s="1219" t="s">
        <v>1960</v>
      </c>
      <c r="E47" s="308" t="s">
        <v>1961</v>
      </c>
      <c r="F47" s="168" t="s">
        <v>1962</v>
      </c>
      <c r="G47" s="2741" t="s">
        <v>1963</v>
      </c>
      <c r="H47" s="2742"/>
      <c r="I47" s="164"/>
      <c r="J47" s="2718">
        <v>2</v>
      </c>
      <c r="K47" s="3395" t="s">
        <v>1964</v>
      </c>
      <c r="L47" s="3395"/>
      <c r="M47" s="3416">
        <f>'数据-取费表'!B2</f>
        <v>44645</v>
      </c>
      <c r="N47" s="3416"/>
      <c r="O47" s="3416"/>
    </row>
    <row r="48" spans="1:15" ht="25.5">
      <c r="A48" s="3361" t="s">
        <v>1965</v>
      </c>
      <c r="B48" s="3344"/>
      <c r="C48" s="3344"/>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1966</v>
      </c>
      <c r="H48" s="2745"/>
      <c r="I48" s="1961"/>
      <c r="J48" s="2718">
        <v>3</v>
      </c>
      <c r="K48" s="3395" t="s">
        <v>1967</v>
      </c>
      <c r="L48" s="3395"/>
      <c r="M48" s="3417">
        <f ca="1">H101</f>
        <v>11363</v>
      </c>
      <c r="N48" s="3417"/>
      <c r="O48" s="3417"/>
    </row>
    <row r="49" spans="1:35" ht="25.5" customHeight="1">
      <c r="A49" s="2525" t="s">
        <v>1968</v>
      </c>
      <c r="B49" s="3328" t="s">
        <v>1969</v>
      </c>
      <c r="C49" s="3328"/>
      <c r="D49" s="1744">
        <v>0</v>
      </c>
      <c r="E49" s="330" t="s">
        <v>1970</v>
      </c>
      <c r="F49" s="2619" t="s">
        <v>34</v>
      </c>
      <c r="G49" s="3401"/>
      <c r="H49" s="2497" t="s">
        <v>2812</v>
      </c>
      <c r="I49" s="2498"/>
      <c r="J49" s="2718">
        <v>4</v>
      </c>
      <c r="K49" s="3395" t="str">
        <f>IF(项目基本情况!E8="房地产抵押价值","房地产抵押价值","抵押担保权已注销时的房地产抵押价值")</f>
        <v>房地产抵押价值</v>
      </c>
      <c r="L49" s="3395"/>
      <c r="M49" s="3417">
        <f ca="1">IF(项目基本情况!E8="房地产抵押价值",H107,H109)</f>
        <v>11363</v>
      </c>
      <c r="N49" s="3417"/>
      <c r="O49" s="3417"/>
    </row>
    <row r="50" spans="1:35" ht="25.5" customHeight="1">
      <c r="A50" s="2746"/>
      <c r="B50" s="3328" t="s">
        <v>1971</v>
      </c>
      <c r="C50" s="3328"/>
      <c r="D50" s="2747"/>
      <c r="E50" s="338"/>
      <c r="F50" s="2619"/>
      <c r="G50" s="3402"/>
      <c r="H50" s="2499" t="s">
        <v>2813</v>
      </c>
      <c r="I50" s="2498"/>
      <c r="J50" s="3414" t="s">
        <v>1972</v>
      </c>
      <c r="K50" s="3414"/>
      <c r="L50" s="3414"/>
      <c r="M50" s="3414"/>
      <c r="N50" s="3414"/>
      <c r="O50" s="3414"/>
    </row>
    <row r="51" spans="1:35" ht="20.45" customHeight="1">
      <c r="A51" s="2748"/>
      <c r="B51" s="3328" t="s">
        <v>1973</v>
      </c>
      <c r="C51" s="3328"/>
      <c r="D51" s="1219"/>
      <c r="E51" s="333"/>
      <c r="F51" s="2619"/>
      <c r="G51" s="3403"/>
      <c r="H51" s="2499" t="s">
        <v>2814</v>
      </c>
      <c r="I51" s="2498"/>
      <c r="J51" s="2719" t="s">
        <v>1974</v>
      </c>
      <c r="K51" s="3395" t="s">
        <v>1975</v>
      </c>
      <c r="L51" s="3395"/>
      <c r="M51" s="2719" t="s">
        <v>1976</v>
      </c>
      <c r="N51" s="2719" t="s">
        <v>1977</v>
      </c>
      <c r="O51" s="2719" t="s">
        <v>1978</v>
      </c>
    </row>
    <row r="52" spans="1:35" ht="24" customHeight="1">
      <c r="A52" s="2527" t="s">
        <v>1979</v>
      </c>
      <c r="B52" s="3328" t="s">
        <v>1980</v>
      </c>
      <c r="C52" s="3328"/>
      <c r="D52" s="1219">
        <f ca="1">ROUND(D45*'数据-取费表'!B41/(1+'数据-取费表'!C42),0)</f>
        <v>595</v>
      </c>
      <c r="E52" s="2526" t="s">
        <v>1981</v>
      </c>
      <c r="F52" s="2749">
        <f>'数据-取费表'!B41</f>
        <v>5.5000000000000007E-2</v>
      </c>
      <c r="G52" s="2750"/>
      <c r="H52" s="2739"/>
      <c r="I52" s="1962"/>
      <c r="J52" s="2718">
        <v>1</v>
      </c>
      <c r="K52" s="3396" t="s">
        <v>1982</v>
      </c>
      <c r="L52" s="3396"/>
      <c r="M52" s="2720" t="b">
        <f>D48</f>
        <v>0</v>
      </c>
      <c r="N52" s="2718" t="str">
        <f>E48</f>
        <v>销售额×税（费）率</v>
      </c>
      <c r="O52" s="2721">
        <f>F48</f>
        <v>5.5000000000000007E-2</v>
      </c>
    </row>
    <row r="53" spans="1:35" ht="12" customHeight="1">
      <c r="A53" s="2527" t="s">
        <v>1983</v>
      </c>
      <c r="B53" s="3354" t="s">
        <v>2964</v>
      </c>
      <c r="C53" s="3355"/>
      <c r="D53" s="1219">
        <f ca="1">ROUND(D45*'数据-取费表'!B41/(1+'数据-取费表'!C42),0)</f>
        <v>595</v>
      </c>
      <c r="E53" s="2526" t="s">
        <v>1981</v>
      </c>
      <c r="F53" s="2749">
        <f>'数据-取费表'!B41</f>
        <v>5.5000000000000007E-2</v>
      </c>
      <c r="G53" s="2750"/>
      <c r="H53" s="2739"/>
      <c r="I53" s="1962"/>
      <c r="J53" s="2718">
        <v>2</v>
      </c>
      <c r="K53" s="3396" t="s">
        <v>1984</v>
      </c>
      <c r="L53" s="3396"/>
      <c r="M53" s="2720">
        <f t="shared" ref="M53:O54" ca="1" si="0">D55</f>
        <v>6</v>
      </c>
      <c r="N53" s="2718" t="str">
        <f t="shared" si="0"/>
        <v>销售额×税（费）率</v>
      </c>
      <c r="O53" s="2721" t="str">
        <f t="shared" si="0"/>
        <v>免征</v>
      </c>
    </row>
    <row r="54" spans="1:35" ht="12" customHeight="1">
      <c r="A54" s="2527" t="s">
        <v>1985</v>
      </c>
      <c r="B54" s="3354" t="s">
        <v>2965</v>
      </c>
      <c r="C54" s="3355"/>
      <c r="D54" s="1219">
        <f ca="1">C68</f>
        <v>595</v>
      </c>
      <c r="E54" s="333" t="s">
        <v>1986</v>
      </c>
      <c r="F54" s="2749">
        <f>'数据-取费表'!B41</f>
        <v>5.5000000000000007E-2</v>
      </c>
      <c r="G54" s="2750"/>
      <c r="H54" s="2751"/>
      <c r="I54" s="1962"/>
      <c r="J54" s="2718">
        <v>3</v>
      </c>
      <c r="K54" s="3396" t="s">
        <v>1987</v>
      </c>
      <c r="L54" s="3396"/>
      <c r="M54" s="2720">
        <f t="shared" ca="1" si="0"/>
        <v>6442</v>
      </c>
      <c r="N54" s="2718" t="str">
        <f t="shared" si="0"/>
        <v>增值额×税（费）率</v>
      </c>
      <c r="O54" s="2722" t="str">
        <f t="shared" si="0"/>
        <v>免征</v>
      </c>
    </row>
    <row r="55" spans="1:35" ht="24" customHeight="1">
      <c r="A55" s="3343" t="s">
        <v>1988</v>
      </c>
      <c r="B55" s="3344"/>
      <c r="C55" s="3344"/>
      <c r="D55" s="2516">
        <f ca="1">IF(H55="个人住宅",0,ROUND(D45*I55,0))</f>
        <v>6</v>
      </c>
      <c r="E55" s="2526" t="s">
        <v>1989</v>
      </c>
      <c r="F55" s="2749" t="str">
        <f>IF(H55="正常",I55,"免征")</f>
        <v>免征</v>
      </c>
      <c r="G55" s="2750"/>
      <c r="H55" s="2745"/>
      <c r="I55" s="170">
        <f>'数据-取费表'!B49</f>
        <v>5.0000000000000001E-4</v>
      </c>
      <c r="J55" s="2718">
        <f>IF(H59="非个人房产","",4)</f>
        <v>4</v>
      </c>
      <c r="K55" s="3396" t="str">
        <f>IF(H59="非个人房产","——","个人所得税")</f>
        <v>个人所得税</v>
      </c>
      <c r="L55" s="3396"/>
      <c r="M55" s="2723">
        <f ca="1">D59</f>
        <v>108</v>
      </c>
      <c r="N55" s="2197" t="str">
        <f>E59</f>
        <v>差额计税</v>
      </c>
      <c r="O55" s="2724">
        <f>F59</f>
        <v>0.01</v>
      </c>
    </row>
    <row r="56" spans="1:35" ht="24.75">
      <c r="A56" s="3343" t="s">
        <v>1990</v>
      </c>
      <c r="B56" s="3344"/>
      <c r="C56" s="3344"/>
      <c r="D56" s="2516">
        <f ca="1">IF(H56="个人住宅",D57,D58)</f>
        <v>6442</v>
      </c>
      <c r="E56" s="2526" t="s">
        <v>1991</v>
      </c>
      <c r="F56" s="2749" t="str">
        <f>IF(H56="正常",F58,"免征")</f>
        <v>免征</v>
      </c>
      <c r="G56" s="2752" t="s">
        <v>1992</v>
      </c>
      <c r="H56" s="2753"/>
      <c r="I56" s="1963"/>
      <c r="J56" s="2718" t="str">
        <f>IF(项目基本情况!K6="上海银行",IF(J55="",4,J55+1),"")</f>
        <v/>
      </c>
      <c r="K56" s="3419" t="str">
        <f>IF(项目基本情况!K6="上海银行","其他处置费用","")</f>
        <v/>
      </c>
      <c r="L56" s="3420"/>
      <c r="M56" s="2720" t="str">
        <f>IF(项目基本情况!K6="上海银行",M69,"")</f>
        <v/>
      </c>
      <c r="N56" s="3419" t="str">
        <f>IF(项目基本情况!K6="上海银行","包含处置中涉及的律师、诉讼、拍卖、评估等费用","")</f>
        <v/>
      </c>
      <c r="O56" s="3422"/>
    </row>
    <row r="57" spans="1:35" ht="12.75">
      <c r="A57" s="2527" t="s">
        <v>1968</v>
      </c>
      <c r="B57" s="3354" t="s">
        <v>1993</v>
      </c>
      <c r="C57" s="3355"/>
      <c r="D57" s="1744">
        <v>0</v>
      </c>
      <c r="E57" s="330" t="s">
        <v>1970</v>
      </c>
      <c r="F57" s="308"/>
      <c r="G57" s="2750"/>
      <c r="H57" s="2754"/>
      <c r="I57" s="1963"/>
      <c r="J57" s="3396">
        <f>IF(AND(J55="",J56=""),4,IF(项目基本情况!K6="上海银行",结果表!J56+1,结果表!J55+1))</f>
        <v>5</v>
      </c>
      <c r="K57" s="3396" t="s">
        <v>1994</v>
      </c>
      <c r="L57" s="2725" t="s">
        <v>1995</v>
      </c>
      <c r="M57" s="2726"/>
      <c r="N57" s="2727">
        <f ca="1">SUMIF(M52:M56,"&lt;9e307")</f>
        <v>6556</v>
      </c>
      <c r="O57" s="2728"/>
      <c r="P57" s="2888">
        <f ca="1">N57/M49</f>
        <v>0.57696030977734758</v>
      </c>
    </row>
    <row r="58" spans="1:35" ht="24.75">
      <c r="A58" s="2527" t="s">
        <v>1979</v>
      </c>
      <c r="B58" s="3354" t="s">
        <v>1996</v>
      </c>
      <c r="C58" s="3328"/>
      <c r="D58" s="2516">
        <f ca="1">IF(H58="转让取得",C81,C97)</f>
        <v>6442</v>
      </c>
      <c r="E58" s="2526" t="s">
        <v>1991</v>
      </c>
      <c r="F58" s="308" t="s">
        <v>34</v>
      </c>
      <c r="G58" s="2750"/>
      <c r="H58" s="2753"/>
      <c r="I58" s="1963"/>
      <c r="J58" s="3396"/>
      <c r="K58" s="3396"/>
      <c r="L58" s="2725" t="s">
        <v>1997</v>
      </c>
      <c r="M58" s="2729"/>
      <c r="N58" s="2730" t="str">
        <f ca="1">NUMBERSTRING(INT(N57*10000),2)&amp;"元整"</f>
        <v>陆仟伍佰伍拾陆万元整</v>
      </c>
      <c r="O58" s="2731"/>
    </row>
    <row r="59" spans="1:35" ht="24.75" thickBot="1">
      <c r="A59" s="3399" t="s">
        <v>1998</v>
      </c>
      <c r="B59" s="3400"/>
      <c r="C59" s="3400"/>
      <c r="D59" s="2755">
        <f ca="1">IF(H59="非个人房产","——",IF(H59="个人住宅（满五唯一有凭证）",0,IF(H59="个人其他（无凭证）",ROUND(D45*F59,0),ROUND(C67*F59,0))))</f>
        <v>108</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1992</v>
      </c>
      <c r="H59" s="2501"/>
      <c r="I59" s="2500" t="s">
        <v>2815</v>
      </c>
      <c r="J59" s="3397">
        <f>J57+1</f>
        <v>6</v>
      </c>
      <c r="K59" s="3396" t="s">
        <v>1999</v>
      </c>
      <c r="L59" s="2718" t="s">
        <v>1995</v>
      </c>
      <c r="M59" s="2732"/>
      <c r="N59" s="2733">
        <f ca="1">M49-N57</f>
        <v>4807</v>
      </c>
      <c r="O59" s="2734"/>
    </row>
    <row r="60" spans="1:35" ht="12" customHeight="1">
      <c r="A60" s="1964"/>
      <c r="B60" s="1902"/>
      <c r="C60" s="1902"/>
      <c r="D60" s="1902"/>
      <c r="E60" s="1732"/>
      <c r="F60" s="1963"/>
      <c r="G60" s="1963"/>
      <c r="H60" s="1965"/>
      <c r="I60" s="134"/>
      <c r="J60" s="3398"/>
      <c r="K60" s="3396"/>
      <c r="L60" s="2725" t="s">
        <v>1997</v>
      </c>
      <c r="M60" s="2729"/>
      <c r="N60" s="2730" t="str">
        <f ca="1">NUMBERSTRING(INT(N59*10000),2)&amp;"元整"</f>
        <v>肆仟捌佰零柒万元整</v>
      </c>
      <c r="O60" s="2731"/>
    </row>
    <row r="61" spans="1:35" ht="13.5" thickBot="1">
      <c r="A61" s="3341" t="s">
        <v>2000</v>
      </c>
      <c r="B61" s="3341"/>
      <c r="C61" s="3341"/>
      <c r="D61" s="3341"/>
      <c r="E61" s="3341"/>
      <c r="F61" s="1963"/>
      <c r="G61" s="1963"/>
      <c r="H61" s="1965"/>
      <c r="I61" s="134"/>
      <c r="J61" s="2718">
        <f>J59+1</f>
        <v>7</v>
      </c>
      <c r="K61" s="3396" t="s">
        <v>2001</v>
      </c>
      <c r="L61" s="3396"/>
      <c r="M61" s="2735"/>
      <c r="N61" s="2736">
        <f ca="1">ROUND(N59*10000/'数据-汇总表'!E3,0)</f>
        <v>2542</v>
      </c>
      <c r="O61" s="2737"/>
    </row>
    <row r="62" spans="1:35" ht="12.75">
      <c r="A62" s="3359" t="s">
        <v>2002</v>
      </c>
      <c r="B62" s="3360"/>
      <c r="C62" s="2178"/>
      <c r="D62" s="2178" t="s">
        <v>2003</v>
      </c>
      <c r="E62" s="171" t="s">
        <v>2004</v>
      </c>
      <c r="F62" s="1963"/>
      <c r="G62" s="1963"/>
      <c r="H62" s="1965"/>
      <c r="I62" s="134"/>
    </row>
    <row r="63" spans="1:35" ht="12.75">
      <c r="A63" s="178" t="s">
        <v>775</v>
      </c>
      <c r="B63" s="172" t="s">
        <v>2005</v>
      </c>
      <c r="C63" s="2759">
        <f ca="1">ROUND((C64+C65)/(1+'数据-取费表'!C42),0)</f>
        <v>10822</v>
      </c>
      <c r="D63" s="172"/>
      <c r="E63" s="173"/>
      <c r="F63" s="1963"/>
      <c r="G63" s="1963"/>
      <c r="H63" s="1965"/>
      <c r="I63" s="134"/>
      <c r="J63" s="3421" t="s">
        <v>2006</v>
      </c>
      <c r="K63" s="1471" t="s">
        <v>2007</v>
      </c>
      <c r="L63" s="1471">
        <f ca="1">IF(M49&gt;10000,M49*0.5%,IF(AND(M49&gt;1000,M49&lt;=10000),M49*1%,IF(AND(M49&gt;100,M49&lt;=1000),M49*3%,IF(AND(M49&gt;10,M49&lt;=100),M49*5%,M49*8%))))</f>
        <v>56.814999999999998</v>
      </c>
      <c r="M63" s="308">
        <f ca="1">ROUND(L63,1)</f>
        <v>56.8</v>
      </c>
      <c r="N63" s="2738"/>
      <c r="Z63" s="1907"/>
      <c r="AI63" s="1908"/>
    </row>
    <row r="64" spans="1:35" ht="14.25" customHeight="1">
      <c r="A64" s="174" t="s">
        <v>770</v>
      </c>
      <c r="B64" s="175" t="s">
        <v>2008</v>
      </c>
      <c r="C64" s="2760">
        <f ca="1">D45</f>
        <v>11363</v>
      </c>
      <c r="D64" s="175" t="s">
        <v>32</v>
      </c>
      <c r="E64" s="177"/>
      <c r="F64" s="1963"/>
      <c r="G64" s="1963"/>
      <c r="H64" s="1965"/>
      <c r="I64" s="134"/>
      <c r="J64" s="3421"/>
      <c r="K64" s="1471" t="s">
        <v>2009</v>
      </c>
      <c r="L64" s="1471">
        <f ca="1">IF(M49&gt;2000,M49*0.5%,IF(AND(M49&gt;1000,M49&lt;=2000),M49*0.6%,IF(AND(M49&gt;500,M49&lt;=1000),M49*0.7%,IF(AND(M49&gt;200,M49&lt;=500),M49*0.8%,IF(AND(M49&gt;100,M49&lt;=200),M49*0.9%,IF(AND(M49&gt;50,M49&lt;=100),M49*1%,IF(AND(M49&gt;20,M49&lt;=50),M49*1.5%,IF(AND(M49&gt;10,M49&lt;=20),M49*2%,IF(AND(M49&gt;1,M49&lt;=10),M49*2.5%)))))))))</f>
        <v>56.814999999999998</v>
      </c>
      <c r="M64" s="308">
        <f t="shared" ref="M64:M65" ca="1" si="1">ROUND(L64,1)</f>
        <v>56.8</v>
      </c>
      <c r="N64" s="2739" t="s">
        <v>2010</v>
      </c>
      <c r="Z64" s="1907"/>
      <c r="AI64" s="1908"/>
    </row>
    <row r="65" spans="1:35" ht="14.25" customHeight="1">
      <c r="A65" s="174" t="s">
        <v>771</v>
      </c>
      <c r="B65" s="175" t="s">
        <v>2011</v>
      </c>
      <c r="C65" s="2761"/>
      <c r="D65" s="175"/>
      <c r="E65" s="177"/>
      <c r="F65" s="1963"/>
      <c r="G65" s="1963"/>
      <c r="H65" s="1965"/>
      <c r="I65" s="134"/>
      <c r="J65" s="3421"/>
      <c r="K65" s="1471" t="s">
        <v>2012</v>
      </c>
      <c r="L65" s="1471">
        <f ca="1">IF(M49&gt;1000,M49*0.1%,IF(AND(M49&gt;500,M49&lt;=1000),M49*0.5%,IF(AND(M49&gt;50,M49&lt;=500),M49*1%,IF(AND(M49&gt;1,M49&lt;=50),M49*1.5%))))</f>
        <v>11.363</v>
      </c>
      <c r="M65" s="308">
        <f t="shared" ca="1" si="1"/>
        <v>11.4</v>
      </c>
      <c r="N65" s="2739" t="s">
        <v>2010</v>
      </c>
      <c r="Z65" s="1907"/>
      <c r="AI65" s="1908"/>
    </row>
    <row r="66" spans="1:35" ht="14.25" customHeight="1">
      <c r="A66" s="178" t="s">
        <v>772</v>
      </c>
      <c r="B66" s="179" t="s">
        <v>2013</v>
      </c>
      <c r="C66" s="2762"/>
      <c r="D66" s="179" t="s">
        <v>32</v>
      </c>
      <c r="E66" s="1478" t="s">
        <v>1277</v>
      </c>
      <c r="F66" s="1963"/>
      <c r="G66" s="1963"/>
      <c r="H66" s="1965"/>
      <c r="I66" s="134"/>
      <c r="J66" s="3421"/>
      <c r="K66" s="1471" t="s">
        <v>2014</v>
      </c>
      <c r="L66" s="1471">
        <f ca="1">M49*0.5%</f>
        <v>56.814999999999998</v>
      </c>
      <c r="M66" s="308">
        <f ca="1">IF(L66&gt;0.5,0.5,ROUND(L66,0))</f>
        <v>0.5</v>
      </c>
      <c r="N66" s="2739" t="s">
        <v>2015</v>
      </c>
      <c r="Z66" s="1907"/>
      <c r="AI66" s="1908"/>
    </row>
    <row r="67" spans="1:35" ht="14.25" customHeight="1">
      <c r="A67" s="178" t="s">
        <v>773</v>
      </c>
      <c r="B67" s="179" t="s">
        <v>2016</v>
      </c>
      <c r="C67" s="2763">
        <f ca="1">C63-C66</f>
        <v>10822</v>
      </c>
      <c r="D67" s="175" t="s">
        <v>32</v>
      </c>
      <c r="E67" s="177"/>
      <c r="F67" s="1963"/>
      <c r="G67" s="1963"/>
      <c r="H67" s="1965"/>
      <c r="I67" s="134"/>
      <c r="J67" s="3421"/>
      <c r="K67" s="1471" t="s">
        <v>2017</v>
      </c>
      <c r="L67" s="1471">
        <f ca="1">IF(M49&gt;=10000,(8.25+(M49-10000)*0.01%),IF(AND(M49&gt;=8000,M49&lt;10000),(7.85+(M49-8000)*0.02%),IF(AND(M49&gt;=5000,M49&lt;8000),(6.65+(M49-5000)*0.04%),IF(AND(M49&gt;=2000,M49&lt;5000),(4.25+(PM49-2000)*0.08%),IF(AND(M49&gt;=1000,M49&lt;2000),(2.75+(M49-1000)*0.15%),IF(AND(M49&gt;=100,M49&lt;1000),(0.5+(M49-100)*0.25%),IF(AND(M49&gt;0,M49&lt;100),M49*0.5%)))))))</f>
        <v>8.3863000000000003</v>
      </c>
      <c r="M67" s="308">
        <f ca="1">ROUND(L67*0.9,1)</f>
        <v>7.5</v>
      </c>
      <c r="N67" s="2738"/>
      <c r="Z67" s="1907"/>
      <c r="AI67" s="1908"/>
    </row>
    <row r="68" spans="1:35" ht="14.25" customHeight="1" thickBot="1">
      <c r="A68" s="181" t="s">
        <v>774</v>
      </c>
      <c r="B68" s="182" t="s">
        <v>2018</v>
      </c>
      <c r="C68" s="2764">
        <f ca="1">IF(C67&lt;=0,0,ROUND(C67*D68,0))</f>
        <v>595</v>
      </c>
      <c r="D68" s="2765">
        <f>'数据-取费表'!B41</f>
        <v>5.5000000000000007E-2</v>
      </c>
      <c r="E68" s="184"/>
      <c r="F68" s="1963"/>
      <c r="G68" s="1963"/>
      <c r="H68" s="1965"/>
      <c r="I68" s="134"/>
      <c r="J68" s="3421"/>
      <c r="K68" s="1471" t="s">
        <v>2019</v>
      </c>
      <c r="L68" s="1471">
        <f ca="1">IF(M49&gt;10000,M49*0.5%,IF(AND(M49&gt;5000,M49&lt;=10000),M49*1%,IF(AND(M49&gt;1000,M49&lt;=5000),M49*2%,IF(AND(M49&gt;200,M49&lt;=1000),M49*3%,M49*5%))))</f>
        <v>56.814999999999998</v>
      </c>
      <c r="M68" s="308">
        <f ca="1">ROUND(L68,1)</f>
        <v>56.8</v>
      </c>
      <c r="N68" s="2738"/>
      <c r="Z68" s="1907"/>
      <c r="AI68" s="1908"/>
    </row>
    <row r="69" spans="1:35" s="1927" customFormat="1" ht="16.5" customHeight="1">
      <c r="A69" s="1966"/>
      <c r="B69" s="1967"/>
      <c r="C69" s="1968"/>
      <c r="D69" s="1969"/>
      <c r="E69" s="1970"/>
      <c r="F69" s="1732"/>
      <c r="G69" s="1732"/>
      <c r="H69" s="1731"/>
      <c r="I69" s="1902"/>
      <c r="J69" s="3421"/>
      <c r="K69" s="1471" t="s">
        <v>2020</v>
      </c>
      <c r="L69" s="1471"/>
      <c r="M69" s="308">
        <f ca="1">ROUND(SUM(M63:M68),0)</f>
        <v>190</v>
      </c>
      <c r="N69" s="2740">
        <f ca="1">M69/M49</f>
        <v>1.6720936372436858E-2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380" t="s">
        <v>2021</v>
      </c>
      <c r="B70" s="3381"/>
      <c r="C70" s="3381"/>
      <c r="D70" s="3381"/>
      <c r="E70" s="3381"/>
      <c r="F70" s="3381"/>
      <c r="G70" s="3381"/>
      <c r="H70" s="3381"/>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59" t="s">
        <v>2002</v>
      </c>
      <c r="B71" s="3360"/>
      <c r="C71" s="2178"/>
      <c r="D71" s="2178" t="s">
        <v>2003</v>
      </c>
      <c r="E71" s="185" t="s">
        <v>2004</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2022</v>
      </c>
      <c r="C72" s="2763">
        <f ca="1">ROUND(D45/(1+'数据-取费表'!C42),0)</f>
        <v>10822</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2023</v>
      </c>
      <c r="C73" s="2763">
        <f ca="1">C74+C78</f>
        <v>54</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2024</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2025</v>
      </c>
      <c r="C75" s="2766"/>
      <c r="D75" s="175" t="s">
        <v>32</v>
      </c>
      <c r="E75" s="190" t="s">
        <v>2026</v>
      </c>
      <c r="F75" s="2767"/>
      <c r="G75" s="190" t="s">
        <v>2027</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2028</v>
      </c>
      <c r="C76" s="175">
        <f>IF(F75="购房发票",ROUND(C75*H75*D76,0),0)</f>
        <v>0</v>
      </c>
      <c r="D76" s="2769">
        <v>0.05</v>
      </c>
      <c r="E76" s="3354" t="s">
        <v>2029</v>
      </c>
      <c r="F76" s="3328"/>
      <c r="G76" s="3328"/>
      <c r="H76" s="3379"/>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2030</v>
      </c>
      <c r="C77" s="175">
        <f>ROUND(IF(G77="个人住宅",0,IF(G77="2016年5月1日前购买",C75*D77,C75*D77/(1+'数据-取费表'!C42))),0)</f>
        <v>0</v>
      </c>
      <c r="D77" s="2770">
        <f>'数据-取费表'!B48+'数据-取费表'!B49</f>
        <v>3.0499999999999999E-2</v>
      </c>
      <c r="E77" s="2516" t="s">
        <v>2031</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2032</v>
      </c>
      <c r="C78" s="2771">
        <f ca="1">ROUND(D45*D78/(1+'数据-取费表'!C42),0)</f>
        <v>54</v>
      </c>
      <c r="D78" s="2772">
        <f>'数据-取费表'!B43</f>
        <v>5.000000000000001E-3</v>
      </c>
      <c r="E78" s="3338" t="s">
        <v>2033</v>
      </c>
      <c r="F78" s="3339"/>
      <c r="G78" s="3339"/>
      <c r="H78" s="3348"/>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2034</v>
      </c>
      <c r="C79" s="2763">
        <f ca="1">C72-C73</f>
        <v>10768</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2035</v>
      </c>
      <c r="C80" s="2773">
        <f ca="1">IF(C79&lt;=0,0,C79/C73)</f>
        <v>199.40740740740742</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2036</v>
      </c>
      <c r="C81" s="2774">
        <f ca="1">ROUND(IF(C79&lt;=0,0,IF(C80&gt;=200%,C79*60%-C73*35%,IF(C80&gt;=100%,C79*50%-C73*15%,IF(C80&gt;=50%,C79*40%-C73*5%,IF(C80&lt;50%,C79*30%,0))))),0)</f>
        <v>6442</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380" t="s">
        <v>2037</v>
      </c>
      <c r="B83" s="3381"/>
      <c r="C83" s="3381"/>
      <c r="D83" s="3381"/>
      <c r="E83" s="3381"/>
      <c r="F83" s="3381"/>
      <c r="G83" s="3381"/>
      <c r="H83" s="3381"/>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59" t="s">
        <v>2002</v>
      </c>
      <c r="B84" s="3360"/>
      <c r="C84" s="2178"/>
      <c r="D84" s="2178" t="s">
        <v>2003</v>
      </c>
      <c r="E84" s="185" t="s">
        <v>2004</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2022</v>
      </c>
      <c r="C85" s="2763">
        <f ca="1">ROUND(D45/(1+'数据-取费表'!C42),0)</f>
        <v>10822</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2023</v>
      </c>
      <c r="C86" s="2763">
        <f ca="1">IF(H88="仅含出让金",C87+C90+C91+C92+C93+C94,C87+C91+C92+C93+C94)</f>
        <v>54</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2038</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2039</v>
      </c>
      <c r="C88" s="2777"/>
      <c r="D88" s="2772"/>
      <c r="E88" s="199" t="s">
        <v>2040</v>
      </c>
      <c r="F88" s="2519"/>
      <c r="G88" s="200" t="s">
        <v>2041</v>
      </c>
      <c r="H88" s="1979"/>
      <c r="I88" s="1976"/>
      <c r="J88" s="2716" t="s">
        <v>2961</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2030</v>
      </c>
      <c r="C89" s="2771">
        <f>ROUND(C88*D89,0)</f>
        <v>0</v>
      </c>
      <c r="D89" s="2772">
        <f>'数据-取费表'!B48+'数据-取费表'!B49</f>
        <v>3.0499999999999999E-2</v>
      </c>
      <c r="E89" s="199" t="s">
        <v>2042</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2043</v>
      </c>
      <c r="C90" s="2777"/>
      <c r="D90" s="2772"/>
      <c r="E90" s="199" t="str">
        <f>IF(H88="-","土地取得成本中已包含该笔费用"," ")</f>
        <v xml:space="preserve"> </v>
      </c>
      <c r="F90" s="2519"/>
      <c r="G90" s="3423" t="s">
        <v>2807</v>
      </c>
      <c r="H90" s="3424"/>
      <c r="I90" s="1976"/>
      <c r="J90" s="2716" t="s">
        <v>2962</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2044</v>
      </c>
      <c r="B91" s="175" t="s">
        <v>2045</v>
      </c>
      <c r="C91" s="2771">
        <f>IF(H91="——",成本法!C33,I91)</f>
        <v>0</v>
      </c>
      <c r="D91" s="2772"/>
      <c r="E91" s="3338" t="s">
        <v>2046</v>
      </c>
      <c r="F91" s="3339"/>
      <c r="G91" s="3339"/>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2047</v>
      </c>
      <c r="B92" s="175" t="s">
        <v>2048</v>
      </c>
      <c r="C92" s="2771">
        <f>ROUND((C87+C90+C91)*D92,0)</f>
        <v>0</v>
      </c>
      <c r="D92" s="2778"/>
      <c r="E92" s="3338" t="s">
        <v>2049</v>
      </c>
      <c r="F92" s="3339"/>
      <c r="G92" s="3339"/>
      <c r="H92" s="3348"/>
      <c r="I92" s="1976"/>
      <c r="J92" s="2717" t="s">
        <v>2963</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2050</v>
      </c>
      <c r="B93" s="175" t="s">
        <v>2032</v>
      </c>
      <c r="C93" s="2771">
        <f ca="1">ROUND(D45*D93/(1+'数据-取费表'!C42),0)</f>
        <v>54</v>
      </c>
      <c r="D93" s="2772">
        <f>'数据-取费表'!B43</f>
        <v>5.000000000000001E-3</v>
      </c>
      <c r="E93" s="3338" t="s">
        <v>2033</v>
      </c>
      <c r="F93" s="3339"/>
      <c r="G93" s="3339"/>
      <c r="H93" s="3348"/>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2051</v>
      </c>
      <c r="B94" s="175" t="s">
        <v>2052</v>
      </c>
      <c r="C94" s="2777">
        <f>ROUND((C87+C90+C91)*D94,0)</f>
        <v>0</v>
      </c>
      <c r="D94" s="2772">
        <v>0.2</v>
      </c>
      <c r="E94" s="3349" t="s">
        <v>2053</v>
      </c>
      <c r="F94" s="3350"/>
      <c r="G94" s="3350"/>
      <c r="H94" s="3351"/>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2034</v>
      </c>
      <c r="C95" s="2763">
        <f ca="1">ROUND(C85-C86,0)</f>
        <v>10768</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2035</v>
      </c>
      <c r="C96" s="2773">
        <f ca="1">IF(C95&lt;=0,0,C95/C86)</f>
        <v>199.40740740740742</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2036</v>
      </c>
      <c r="C97" s="2774">
        <f ca="1">ROUND(IF(C95&lt;=0,0,IF(C96&gt;=200%,C95*60%-C86*35%,IF(C96&gt;=100%,C95*50%-C86*15%,IF(C96&gt;=50%,C95*40%-C86*5%,IF(C96&lt;50%,C95*30%,0))))),0)</f>
        <v>6442</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4"/>
    </row>
    <row r="99" spans="1:35" ht="21.75" customHeight="1" thickBot="1">
      <c r="A99" s="1955" t="s">
        <v>2054</v>
      </c>
      <c r="B99" s="1902"/>
      <c r="C99" s="1902"/>
      <c r="D99" s="1902"/>
      <c r="E99" s="1732"/>
      <c r="F99" s="1732"/>
      <c r="G99" s="1732"/>
      <c r="H99" s="1731"/>
      <c r="I99" s="134"/>
    </row>
    <row r="100" spans="1:35" ht="18.75" customHeight="1">
      <c r="A100" s="3322" t="s">
        <v>2055</v>
      </c>
      <c r="B100" s="3323"/>
      <c r="C100" s="3323"/>
      <c r="D100" s="3340"/>
      <c r="E100" s="3323" t="s">
        <v>2056</v>
      </c>
      <c r="F100" s="3323"/>
      <c r="G100" s="3323"/>
      <c r="H100" s="3340"/>
      <c r="I100" s="134"/>
    </row>
    <row r="101" spans="1:35" ht="18.75" customHeight="1">
      <c r="A101" s="3404" t="s">
        <v>2057</v>
      </c>
      <c r="B101" s="3405"/>
      <c r="C101" s="2780" t="str">
        <f>C4</f>
        <v>成本法</v>
      </c>
      <c r="D101" s="2781" t="str">
        <f>D4</f>
        <v>假设开发法</v>
      </c>
      <c r="E101" s="3418" t="s">
        <v>2058</v>
      </c>
      <c r="F101" s="3372"/>
      <c r="G101" s="1982" t="s">
        <v>2059</v>
      </c>
      <c r="H101" s="2790">
        <f ca="1">H118</f>
        <v>11363</v>
      </c>
      <c r="I101" s="134"/>
    </row>
    <row r="102" spans="1:35" ht="18.75" customHeight="1">
      <c r="A102" s="3374" t="s">
        <v>2060</v>
      </c>
      <c r="B102" s="2779" t="s">
        <v>2059</v>
      </c>
      <c r="C102" s="2780">
        <f ca="1">C19</f>
        <v>15286</v>
      </c>
      <c r="D102" s="2781">
        <f ca="1">D19</f>
        <v>7440</v>
      </c>
      <c r="E102" s="3418"/>
      <c r="F102" s="3372"/>
      <c r="G102" s="1982" t="s">
        <v>2061</v>
      </c>
      <c r="H102" s="2750">
        <f ca="1">I118</f>
        <v>6010</v>
      </c>
      <c r="I102" s="134"/>
    </row>
    <row r="103" spans="1:35" ht="42.75" customHeight="1">
      <c r="A103" s="3374"/>
      <c r="B103" s="2779" t="s">
        <v>2061</v>
      </c>
      <c r="C103" s="2782">
        <f ca="1">C20</f>
        <v>8085</v>
      </c>
      <c r="D103" s="2783">
        <f ca="1">D20</f>
        <v>3942</v>
      </c>
      <c r="E103" s="3412" t="s">
        <v>2062</v>
      </c>
      <c r="F103" s="3413"/>
      <c r="G103" s="1983" t="s">
        <v>2063</v>
      </c>
      <c r="H103" s="2790">
        <f>IF(D36="正常操作",H104+H105+H106,H105+H106)</f>
        <v>0</v>
      </c>
      <c r="I103" s="134"/>
    </row>
    <row r="104" spans="1:35" ht="18.75" customHeight="1">
      <c r="A104" s="3374" t="s">
        <v>2064</v>
      </c>
      <c r="B104" s="2784" t="s">
        <v>2059</v>
      </c>
      <c r="C104" s="2785">
        <f ca="1">H118</f>
        <v>11363</v>
      </c>
      <c r="D104" s="2786"/>
      <c r="E104" s="1829" t="s">
        <v>2065</v>
      </c>
      <c r="F104" s="1820"/>
      <c r="G104" s="1983" t="s">
        <v>2063</v>
      </c>
      <c r="H104" s="2791">
        <f>IF(D36="同一抵押权人同一抵押物续贷",C36&amp;"（续贷，未扣减，详见特别提示）",C36)</f>
        <v>0</v>
      </c>
      <c r="I104" s="134"/>
    </row>
    <row r="105" spans="1:35" ht="18.75" customHeight="1" thickBot="1">
      <c r="A105" s="3375"/>
      <c r="B105" s="2787" t="s">
        <v>2061</v>
      </c>
      <c r="C105" s="2788">
        <f ca="1">I118</f>
        <v>6010</v>
      </c>
      <c r="D105" s="2789"/>
      <c r="E105" s="1829" t="s">
        <v>2066</v>
      </c>
      <c r="F105" s="1820"/>
      <c r="G105" s="1983" t="s">
        <v>2063</v>
      </c>
      <c r="H105" s="2792">
        <f>C37</f>
        <v>0</v>
      </c>
      <c r="I105" s="134"/>
    </row>
    <row r="106" spans="1:35" ht="18.75" customHeight="1">
      <c r="A106" s="1902" t="s">
        <v>2067</v>
      </c>
      <c r="B106" s="1902"/>
      <c r="C106" s="1902"/>
      <c r="D106" s="1902"/>
      <c r="E106" s="1984" t="s">
        <v>2068</v>
      </c>
      <c r="F106" s="1820"/>
      <c r="G106" s="1983" t="s">
        <v>2063</v>
      </c>
      <c r="H106" s="2792">
        <f>C38</f>
        <v>0</v>
      </c>
      <c r="I106" s="134"/>
    </row>
    <row r="107" spans="1:35" ht="18.75" customHeight="1">
      <c r="A107" s="134"/>
      <c r="B107" s="134"/>
      <c r="C107" s="134"/>
      <c r="D107" s="134"/>
      <c r="E107" s="3371" t="str">
        <f>IF(项目基本情况!E8="已注销","——","3.房地产抵押价值")</f>
        <v>3.房地产抵押价值</v>
      </c>
      <c r="F107" s="3372"/>
      <c r="G107" s="1982" t="s">
        <v>2059</v>
      </c>
      <c r="H107" s="2790">
        <f ca="1">IF(E107="——","——",H101-H103)</f>
        <v>11363</v>
      </c>
      <c r="I107" s="134"/>
    </row>
    <row r="108" spans="1:35" ht="18.75" customHeight="1">
      <c r="A108" s="134"/>
      <c r="B108" s="134"/>
      <c r="C108" s="134"/>
      <c r="D108" s="134"/>
      <c r="E108" s="3371"/>
      <c r="F108" s="3372"/>
      <c r="G108" s="1982" t="s">
        <v>2061</v>
      </c>
      <c r="H108" s="2750">
        <f ca="1">ROUND(H107*10000/'数据-汇总表'!E3,0)</f>
        <v>6010</v>
      </c>
      <c r="I108" s="134"/>
    </row>
    <row r="109" spans="1:35" ht="18.75" customHeight="1">
      <c r="A109" s="134"/>
      <c r="B109" s="134"/>
      <c r="C109" s="134"/>
      <c r="D109" s="134"/>
      <c r="E109" s="3371" t="str">
        <f>IF(项目基本情况!E8="已注销及未注销","4.抵押担保权已注销时的房地产抵押价值",IF(项目基本情况!E8="已注销","3.抵押担保权已注销时的房地产抵押价值","——"))</f>
        <v>——</v>
      </c>
      <c r="F109" s="3372"/>
      <c r="G109" s="1982" t="s">
        <v>2059</v>
      </c>
      <c r="H109" s="2793" t="str">
        <f>IF(E109="——","——",H101-H105-H106)</f>
        <v>——</v>
      </c>
      <c r="I109" s="134"/>
    </row>
    <row r="110" spans="1:35" ht="18.75" customHeight="1">
      <c r="A110" s="134"/>
      <c r="B110" s="134"/>
      <c r="C110" s="134"/>
      <c r="D110" s="134"/>
      <c r="E110" s="3371"/>
      <c r="F110" s="3372"/>
      <c r="G110" s="1982" t="s">
        <v>2061</v>
      </c>
      <c r="H110" s="2750" t="str">
        <f>IF(H109="——","——",ROUND(H109*10000/'数据-汇总表'!E3,0))</f>
        <v>——</v>
      </c>
      <c r="I110" s="134"/>
    </row>
    <row r="111" spans="1:35" ht="18.75" customHeight="1">
      <c r="A111" s="134"/>
      <c r="B111" s="134"/>
      <c r="C111" s="134"/>
      <c r="D111" s="134"/>
      <c r="E111" s="3406" t="str">
        <f>IF(项目基本情况!E9="抵押净值",IF(OR(项目基本情况!E8="已注销",项目基本情况!E8="房地产抵押价值"),"4.抵押净值","5.抵押净值"),"——")</f>
        <v>——</v>
      </c>
      <c r="F111" s="3373"/>
      <c r="G111" s="1982" t="s">
        <v>2059</v>
      </c>
      <c r="H111" s="2790" t="str">
        <f>IF(E111="——","——",N59)</f>
        <v>——</v>
      </c>
      <c r="I111" s="134"/>
    </row>
    <row r="112" spans="1:35" ht="18.75" customHeight="1" thickBot="1">
      <c r="A112" s="134"/>
      <c r="B112" s="134"/>
      <c r="C112" s="134"/>
      <c r="D112" s="134"/>
      <c r="E112" s="3407"/>
      <c r="F112" s="3408"/>
      <c r="G112" s="1985" t="s">
        <v>2061</v>
      </c>
      <c r="H112" s="2794" t="str">
        <f>IF(E111="——","——",N61)</f>
        <v>——</v>
      </c>
      <c r="I112" s="134"/>
    </row>
    <row r="113" spans="1:27" ht="18.75" customHeight="1">
      <c r="A113" s="134"/>
      <c r="B113" s="134"/>
      <c r="C113" s="134"/>
      <c r="D113" s="134"/>
      <c r="E113" s="3376" t="s">
        <v>2067</v>
      </c>
      <c r="F113" s="3376"/>
      <c r="G113" s="3376"/>
      <c r="H113" s="3376"/>
      <c r="I113" s="134"/>
    </row>
    <row r="114" spans="1:27" ht="3.75" customHeight="1">
      <c r="A114" s="1902"/>
      <c r="B114" s="1902"/>
      <c r="C114" s="1902"/>
      <c r="D114" s="1902"/>
      <c r="E114" s="1964"/>
      <c r="F114" s="1964"/>
      <c r="G114" s="1964"/>
      <c r="H114" s="1964"/>
      <c r="I114" s="1902"/>
    </row>
    <row r="115" spans="1:27" ht="18.75" customHeight="1">
      <c r="A115" s="3389" t="s">
        <v>2069</v>
      </c>
      <c r="B115" s="3390"/>
      <c r="C115" s="3390"/>
      <c r="D115" s="3390"/>
      <c r="E115" s="3390"/>
      <c r="F115" s="3390"/>
      <c r="G115" s="3390"/>
      <c r="H115" s="3390"/>
      <c r="I115" s="3391"/>
    </row>
    <row r="116" spans="1:27" ht="27" customHeight="1">
      <c r="A116" s="3342" t="s">
        <v>2070</v>
      </c>
      <c r="B116" s="3377" t="s">
        <v>2071</v>
      </c>
      <c r="C116" s="3377" t="s">
        <v>2072</v>
      </c>
      <c r="D116" s="3393" t="s">
        <v>2073</v>
      </c>
      <c r="E116" s="3394"/>
      <c r="F116" s="3385" t="s">
        <v>2074</v>
      </c>
      <c r="G116" s="3385"/>
      <c r="H116" s="3342" t="s">
        <v>2075</v>
      </c>
      <c r="I116" s="3342"/>
    </row>
    <row r="117" spans="1:27" ht="18.75" customHeight="1">
      <c r="A117" s="3342"/>
      <c r="B117" s="3378"/>
      <c r="C117" s="3378"/>
      <c r="D117" s="2521" t="s">
        <v>2076</v>
      </c>
      <c r="E117" s="2521" t="s">
        <v>2077</v>
      </c>
      <c r="F117" s="2521" t="s">
        <v>2076</v>
      </c>
      <c r="G117" s="2521" t="s">
        <v>2078</v>
      </c>
      <c r="H117" s="2521" t="s">
        <v>2076</v>
      </c>
      <c r="I117" s="2521" t="s">
        <v>2078</v>
      </c>
    </row>
    <row r="118" spans="1:27" ht="24.75" customHeight="1">
      <c r="A118" s="2795" t="str">
        <f>项目基本情况!S2</f>
        <v>北京市房地产</v>
      </c>
      <c r="B118" s="2521">
        <f>M18</f>
        <v>18907.05</v>
      </c>
      <c r="C118" s="2521">
        <f>M19</f>
        <v>15415.9</v>
      </c>
      <c r="D118" s="2521">
        <f ca="1">ROUND(IF(D32="总价",C34,E118*B118/10000),0)</f>
        <v>5704</v>
      </c>
      <c r="E118" s="2521">
        <f ca="1">ROUND(IF(C33="自定义",IF(D32="楼面单价",C34,D118*10000/B118),I118-G118),0)</f>
        <v>3017</v>
      </c>
      <c r="F118" s="2521">
        <f ca="1">ROUND(IF(D32="总价",C35,G118*B118/10000),0)</f>
        <v>5659</v>
      </c>
      <c r="G118" s="2521">
        <f ca="1">ROUND(IF(D32="楼面单价",C35,F118*10000/B118),0)</f>
        <v>2993</v>
      </c>
      <c r="H118" s="2521">
        <f ca="1">ROUND(IF(D32="总价",C32,I118*B118/10000),0)</f>
        <v>11363</v>
      </c>
      <c r="I118" s="2521">
        <f ca="1">ROUND(IF(D32="楼面单价",C32,H118*10000/B118),0)</f>
        <v>6010</v>
      </c>
    </row>
    <row r="119" spans="1:27" ht="18.75" customHeight="1">
      <c r="A119" s="3342" t="s">
        <v>2079</v>
      </c>
      <c r="B119" s="3342"/>
      <c r="C119" s="3342"/>
      <c r="D119" s="3382" t="str">
        <f ca="1">NUMBERSTRING(INT(D118*10000),2)&amp;"元整"</f>
        <v>伍仟柒佰零肆万元整</v>
      </c>
      <c r="E119" s="3384"/>
      <c r="F119" s="3382" t="str">
        <f ca="1">NUMBERSTRING(INT(F118*10000),2)&amp;"元整"</f>
        <v>伍仟陆佰伍拾玖万元整</v>
      </c>
      <c r="G119" s="3384"/>
      <c r="H119" s="3382" t="str">
        <f ca="1">NUMBERSTRING(INT(H118*10000),2)&amp;"元整"</f>
        <v>壹亿壹仟叁佰陆拾叁万元整</v>
      </c>
      <c r="I119" s="3384"/>
    </row>
    <row r="120" spans="1:27" ht="18.75" customHeight="1">
      <c r="A120" s="3409" t="str">
        <f>IF(项目基本情况!B9="房地产市场价值","",MID(E103,3,LEN(E103)-2))</f>
        <v>估价师知悉的法定优先受偿款</v>
      </c>
      <c r="B120" s="3410"/>
      <c r="C120" s="3411"/>
      <c r="D120" s="3409">
        <f>H103</f>
        <v>0</v>
      </c>
      <c r="E120" s="3410"/>
      <c r="F120" s="3410"/>
      <c r="G120" s="3410"/>
      <c r="H120" s="3410"/>
      <c r="I120" s="3411"/>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386" t="s">
        <v>2079</v>
      </c>
      <c r="B121" s="3387"/>
      <c r="C121" s="3388"/>
      <c r="D121" s="3382" t="str">
        <f>IF(D120=0,"零元整",NUMBERSTRING(INT(D120*10000),2)&amp;"元整")</f>
        <v>零元整</v>
      </c>
      <c r="E121" s="3383"/>
      <c r="F121" s="3383"/>
      <c r="G121" s="3383"/>
      <c r="H121" s="3383"/>
      <c r="I121" s="3384"/>
      <c r="AA121" s="734"/>
    </row>
    <row r="122" spans="1:27" ht="18.75" customHeight="1">
      <c r="A122" s="3373" t="str">
        <f>IF(项目基本情况!B9="房地产市场价值","",MID(E107,3,LEN(E107)-2))</f>
        <v>房地产抵押价值</v>
      </c>
      <c r="B122" s="3373"/>
      <c r="C122" s="3373"/>
      <c r="D122" s="3409">
        <f ca="1">H107</f>
        <v>11363</v>
      </c>
      <c r="E122" s="3410"/>
      <c r="F122" s="3410"/>
      <c r="G122" s="3410"/>
      <c r="H122" s="3410"/>
      <c r="I122" s="3411"/>
      <c r="AA122" s="734"/>
    </row>
    <row r="123" spans="1:27" ht="18.75" customHeight="1">
      <c r="A123" s="3342" t="s">
        <v>2079</v>
      </c>
      <c r="B123" s="3342"/>
      <c r="C123" s="3342"/>
      <c r="D123" s="3382" t="str">
        <f ca="1">NUMBERSTRING(INT(D122*10000),2)&amp;"元整"</f>
        <v>壹亿壹仟叁佰陆拾叁万元整</v>
      </c>
      <c r="E123" s="3383"/>
      <c r="F123" s="3383"/>
      <c r="G123" s="3383"/>
      <c r="H123" s="3383"/>
      <c r="I123" s="3384"/>
      <c r="AA123" s="734"/>
    </row>
    <row r="124" spans="1:27" ht="18.75" customHeight="1">
      <c r="A124" s="3373" t="str">
        <f>IF(项目基本情况!B9="房地产市场价值","",MID(E109,3,LEN(E109)-2))</f>
        <v/>
      </c>
      <c r="B124" s="3373"/>
      <c r="C124" s="3373"/>
      <c r="D124" s="3409" t="str">
        <f>H109</f>
        <v>——</v>
      </c>
      <c r="E124" s="3410"/>
      <c r="F124" s="3410"/>
      <c r="G124" s="3410"/>
      <c r="H124" s="3410"/>
      <c r="I124" s="3411"/>
      <c r="AA124" s="734"/>
    </row>
    <row r="125" spans="1:27" ht="18.75" customHeight="1">
      <c r="A125" s="3342" t="s">
        <v>2079</v>
      </c>
      <c r="B125" s="3342"/>
      <c r="C125" s="3342"/>
      <c r="D125" s="3382" t="e">
        <f>NUMBERSTRING(INT(D124*10000),2)&amp;"元整"</f>
        <v>#VALUE!</v>
      </c>
      <c r="E125" s="3383"/>
      <c r="F125" s="3383"/>
      <c r="G125" s="3383"/>
      <c r="H125" s="3383"/>
      <c r="I125" s="3384"/>
      <c r="AA125" s="734"/>
    </row>
    <row r="126" spans="1:27" ht="18.75" customHeight="1">
      <c r="A126" s="3373" t="str">
        <f>IF(项目基本情况!B9="房地产市场价值","",MID(E111,3,LEN(E111)-2))</f>
        <v/>
      </c>
      <c r="B126" s="3373"/>
      <c r="C126" s="3373"/>
      <c r="D126" s="3409" t="str">
        <f>H111</f>
        <v>——</v>
      </c>
      <c r="E126" s="3410"/>
      <c r="F126" s="3410"/>
      <c r="G126" s="3410"/>
      <c r="H126" s="3410"/>
      <c r="I126" s="3411"/>
      <c r="AA126" s="734"/>
    </row>
    <row r="127" spans="1:27" ht="18.75" customHeight="1">
      <c r="A127" s="3342" t="s">
        <v>2079</v>
      </c>
      <c r="B127" s="3342"/>
      <c r="C127" s="3342"/>
      <c r="D127" s="3382" t="e">
        <f>NUMBERSTRING(INT(D126*10000),2)&amp;"元整"</f>
        <v>#VALUE!</v>
      </c>
      <c r="E127" s="3383"/>
      <c r="F127" s="3383"/>
      <c r="G127" s="3383"/>
      <c r="H127" s="3383"/>
      <c r="I127" s="3384"/>
      <c r="AA127" s="734"/>
    </row>
    <row r="128" spans="1:27" ht="21.75" customHeight="1">
      <c r="A128" s="3392" t="s">
        <v>2080</v>
      </c>
      <c r="B128" s="3392"/>
      <c r="C128" s="3392"/>
      <c r="D128" s="3392"/>
      <c r="E128" s="3392"/>
      <c r="F128" s="3392"/>
      <c r="G128" s="3392"/>
      <c r="H128" s="3392"/>
      <c r="I128" s="3392"/>
      <c r="AA128" s="734"/>
    </row>
    <row r="129" spans="1:35" ht="21.75" customHeight="1">
      <c r="A129" s="1986" t="s">
        <v>2081</v>
      </c>
      <c r="B129" s="1987"/>
      <c r="C129" s="1988" t="s">
        <v>2082</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2083</v>
      </c>
      <c r="G135" s="2003"/>
      <c r="H135" s="2003"/>
      <c r="I135" s="2004" t="s">
        <v>2084</v>
      </c>
    </row>
    <row r="136" spans="1:35" ht="21.75" customHeight="1">
      <c r="A136" s="734"/>
      <c r="B136" s="2005" t="s">
        <v>2085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2086</v>
      </c>
    </row>
    <row r="139" spans="1:35" ht="21.75" customHeight="1">
      <c r="A139" s="734"/>
      <c r="B139" s="2005" t="s">
        <v>2087</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2086</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90" zoomScaleNormal="70" zoomScaleSheetLayoutView="90" workbookViewId="0">
      <selection activeCell="C44" sqref="C4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2088</v>
      </c>
      <c r="B1" s="1623"/>
      <c r="C1" s="204"/>
      <c r="D1" s="204"/>
      <c r="E1" s="204"/>
      <c r="F1" s="204"/>
      <c r="G1" s="1260">
        <f>MATCH(B1,'数据-取费表'!A6:A16,0)+5</f>
        <v>7</v>
      </c>
    </row>
    <row r="2" spans="1:9" s="206" customFormat="1" ht="18" customHeight="1">
      <c r="A2" s="207" t="s">
        <v>2089</v>
      </c>
      <c r="B2" s="208">
        <f ca="1">IF(D2="——",C52,C52-E2)</f>
        <v>15286</v>
      </c>
      <c r="C2" s="205" t="s">
        <v>2090</v>
      </c>
      <c r="D2" s="2008" t="s">
        <v>70</v>
      </c>
      <c r="E2" s="1303" t="e">
        <f ca="1">SUMIF(INDIRECT("'"&amp;G2&amp;"'"&amp;"!A:A"),"承租人权益价值",INDIRECT("'"&amp;G2&amp;"'"&amp;"!c:c"))</f>
        <v>#REF!</v>
      </c>
      <c r="F2" s="2009" t="s">
        <v>2090</v>
      </c>
      <c r="G2" s="2010"/>
    </row>
    <row r="3" spans="1:9" s="206" customFormat="1" ht="18" customHeight="1" thickBot="1">
      <c r="A3" s="209" t="s">
        <v>2091</v>
      </c>
      <c r="B3" s="210">
        <f ca="1">ROUND(B2*10000/(IF(B1="",'数据-汇总表'!E3,INDIRECT("'数据-取费表'!k"&amp;$G$1))),0)</f>
        <v>8085</v>
      </c>
      <c r="C3" s="205" t="s">
        <v>2092</v>
      </c>
      <c r="D3" s="205"/>
      <c r="E3" s="205"/>
      <c r="F3" s="205"/>
      <c r="G3" s="205"/>
    </row>
    <row r="4" spans="1:9" s="214" customFormat="1" ht="15.75">
      <c r="A4" s="211" t="s">
        <v>2093</v>
      </c>
      <c r="B4" s="212"/>
      <c r="C4" s="212"/>
      <c r="D4" s="212"/>
      <c r="E4" s="212"/>
      <c r="F4" s="212"/>
      <c r="G4" s="213"/>
    </row>
    <row r="5" spans="1:9" s="220" customFormat="1" ht="13.5" customHeight="1">
      <c r="A5" s="261" t="s">
        <v>2094</v>
      </c>
      <c r="B5" s="216" t="s">
        <v>2095</v>
      </c>
      <c r="C5" s="217">
        <f>C6+C7+C8</f>
        <v>6291</v>
      </c>
      <c r="D5" s="217" t="s">
        <v>2096</v>
      </c>
      <c r="E5" s="218" t="s">
        <v>2097</v>
      </c>
      <c r="F5" s="218" t="s">
        <v>2098</v>
      </c>
      <c r="G5" s="219"/>
    </row>
    <row r="6" spans="1:9" s="220" customFormat="1" ht="13.5" customHeight="1">
      <c r="A6" s="886" t="s">
        <v>2099</v>
      </c>
      <c r="B6" s="221" t="s">
        <v>2100</v>
      </c>
      <c r="C6" s="222">
        <f>'土地比较法-工业'!F61</f>
        <v>6105</v>
      </c>
      <c r="D6" s="223"/>
      <c r="E6" s="224"/>
      <c r="F6" s="224"/>
      <c r="G6" s="225"/>
    </row>
    <row r="7" spans="1:9" s="220" customFormat="1" ht="13.5" customHeight="1">
      <c r="A7" s="886" t="s">
        <v>2101</v>
      </c>
      <c r="B7" s="221" t="s">
        <v>2102</v>
      </c>
      <c r="C7" s="226">
        <f>ROUND(C6*F7,0)</f>
        <v>186</v>
      </c>
      <c r="D7" s="226"/>
      <c r="E7" s="224"/>
      <c r="F7" s="227">
        <f>IF(项目基本情况!B8="出让",0,'数据-取费表'!B48+'数据-取费表'!B49)</f>
        <v>3.0499999999999999E-2</v>
      </c>
      <c r="G7" s="225"/>
    </row>
    <row r="8" spans="1:9" s="229" customFormat="1">
      <c r="A8" s="886" t="s">
        <v>2103</v>
      </c>
      <c r="B8" s="221" t="s">
        <v>2104</v>
      </c>
      <c r="C8" s="226">
        <f>IF(G8="已包含在土地购买价格中","0",IF(B1="",'数据-取费表'!B29,IF(G9="全部缴纳",C9+C10,H9)))</f>
        <v>0</v>
      </c>
      <c r="D8" s="228"/>
      <c r="E8" s="226"/>
      <c r="F8" s="227"/>
      <c r="G8" s="2011"/>
    </row>
    <row r="9" spans="1:9" s="220" customFormat="1" ht="13.5" customHeight="1">
      <c r="A9" s="887" t="s">
        <v>800</v>
      </c>
      <c r="B9" s="230" t="s">
        <v>2105</v>
      </c>
      <c r="C9" s="231">
        <f ca="1">ROUND(D9*E9/10000,0)</f>
        <v>0</v>
      </c>
      <c r="D9" s="954">
        <f ca="1">IF(B1="",'数据-汇总表'!E5,IF(INDIRECT("'数据-取费表'!c"&amp;$G$1)="住宅",INDIRECT("'数据-取费表'!k"&amp;$G$1),0))</f>
        <v>0</v>
      </c>
      <c r="E9" s="231">
        <f>'数据-取费表'!B27</f>
        <v>0</v>
      </c>
      <c r="F9" s="227"/>
      <c r="G9" s="2012"/>
      <c r="H9" s="1271"/>
      <c r="I9" s="2013" t="s">
        <v>2106</v>
      </c>
    </row>
    <row r="10" spans="1:9" s="220" customFormat="1" ht="13.5" customHeight="1">
      <c r="A10" s="887" t="s">
        <v>801</v>
      </c>
      <c r="B10" s="230" t="s">
        <v>2107</v>
      </c>
      <c r="C10" s="231">
        <f ca="1">ROUND(D10*E10/10000,0)</f>
        <v>0</v>
      </c>
      <c r="D10" s="954">
        <f ca="1">IF(B1="",'数据-汇总表'!E6,IF(INDIRECT("'数据-取费表'!c"&amp;$G$1)="住宅",INDIRECT("'数据-取费表'!s"&amp;$G$1),INDIRECT("'数据-取费表'!k"&amp;$G$1)+INDIRECT("'数据-取费表'!s"&amp;$G$1)))</f>
        <v>18907.05</v>
      </c>
      <c r="E10" s="231">
        <f>'数据-取费表'!B28</f>
        <v>0</v>
      </c>
      <c r="F10" s="227"/>
      <c r="G10" s="232"/>
    </row>
    <row r="11" spans="1:9" s="220" customFormat="1" ht="13.5" hidden="1" customHeight="1">
      <c r="A11" s="233" t="s">
        <v>7</v>
      </c>
      <c r="B11" s="221" t="s">
        <v>2108</v>
      </c>
      <c r="C11" s="217"/>
      <c r="D11" s="956"/>
      <c r="E11" s="224"/>
      <c r="F11" s="224"/>
      <c r="G11" s="225"/>
    </row>
    <row r="12" spans="1:9" s="220" customFormat="1" ht="13.5" hidden="1" customHeight="1">
      <c r="A12" s="233" t="s">
        <v>8</v>
      </c>
      <c r="B12" s="221" t="s">
        <v>2109</v>
      </c>
      <c r="C12" s="217">
        <v>0</v>
      </c>
      <c r="D12" s="956"/>
      <c r="E12" s="234"/>
      <c r="F12" s="227">
        <v>3.0499999999999999E-2</v>
      </c>
      <c r="G12" s="225"/>
    </row>
    <row r="13" spans="1:9" s="220" customFormat="1" ht="13.5" hidden="1" customHeight="1">
      <c r="A13" s="233" t="s">
        <v>9</v>
      </c>
      <c r="B13" s="221" t="s">
        <v>2110</v>
      </c>
      <c r="C13" s="217"/>
      <c r="D13" s="956"/>
      <c r="E13" s="224"/>
      <c r="F13" s="224"/>
      <c r="G13" s="225"/>
    </row>
    <row r="14" spans="1:9" s="220" customFormat="1" ht="13.5" hidden="1" customHeight="1">
      <c r="A14" s="233" t="s">
        <v>10</v>
      </c>
      <c r="B14" s="221" t="s">
        <v>2111</v>
      </c>
      <c r="C14" s="217"/>
      <c r="D14" s="956"/>
      <c r="E14" s="224"/>
      <c r="F14" s="224"/>
      <c r="G14" s="225" t="s">
        <v>2112</v>
      </c>
    </row>
    <row r="15" spans="1:9" s="220" customFormat="1" ht="13.5" hidden="1" customHeight="1">
      <c r="A15" s="233" t="s">
        <v>11</v>
      </c>
      <c r="B15" s="221" t="s">
        <v>2113</v>
      </c>
      <c r="C15" s="226"/>
      <c r="D15" s="956"/>
      <c r="E15" s="224"/>
      <c r="F15" s="224"/>
      <c r="G15" s="225" t="s">
        <v>2114</v>
      </c>
    </row>
    <row r="16" spans="1:9" s="220" customFormat="1" ht="13.5" hidden="1" customHeight="1">
      <c r="A16" s="233" t="s">
        <v>12</v>
      </c>
      <c r="B16" s="221" t="s">
        <v>2111</v>
      </c>
      <c r="C16" s="226"/>
      <c r="D16" s="956"/>
      <c r="E16" s="224"/>
      <c r="F16" s="224"/>
      <c r="G16" s="225"/>
    </row>
    <row r="17" spans="1:7" s="220" customFormat="1" ht="13.5" hidden="1" customHeight="1">
      <c r="A17" s="233" t="s">
        <v>13</v>
      </c>
      <c r="B17" s="221" t="s">
        <v>2115</v>
      </c>
      <c r="C17" s="235"/>
      <c r="D17" s="957"/>
      <c r="E17" s="235"/>
      <c r="F17" s="235"/>
      <c r="G17" s="225" t="s">
        <v>2114</v>
      </c>
    </row>
    <row r="18" spans="1:7" s="220" customFormat="1" ht="13.5" hidden="1" customHeight="1">
      <c r="A18" s="233" t="s">
        <v>14</v>
      </c>
      <c r="B18" s="221" t="s">
        <v>2116</v>
      </c>
      <c r="C18" s="226">
        <v>0</v>
      </c>
      <c r="D18" s="956"/>
      <c r="E18" s="224"/>
      <c r="F18" s="227">
        <v>3.0499999999999999E-2</v>
      </c>
      <c r="G18" s="225" t="s">
        <v>2117</v>
      </c>
    </row>
    <row r="19" spans="1:7" s="229" customFormat="1" ht="13.5" customHeight="1">
      <c r="A19" s="261" t="s">
        <v>2118</v>
      </c>
      <c r="B19" s="216" t="s">
        <v>2119</v>
      </c>
      <c r="C19" s="217" t="str">
        <f>IF(G19="已包含在土地取得成本中","0",ROUND(D19*E19/10000,0))</f>
        <v>0</v>
      </c>
      <c r="D19" s="958">
        <f ca="1">D9+D10</f>
        <v>18907.05</v>
      </c>
      <c r="E19" s="217">
        <f>'数据-取费表'!B31</f>
        <v>200</v>
      </c>
      <c r="F19" s="237"/>
      <c r="G19" s="2011" t="s">
        <v>3165</v>
      </c>
    </row>
    <row r="20" spans="1:7" s="220" customFormat="1" ht="13.5" customHeight="1">
      <c r="A20" s="261" t="s">
        <v>2120</v>
      </c>
      <c r="B20" s="216" t="s">
        <v>2121</v>
      </c>
      <c r="C20" s="238">
        <f>ROUND((C5+C19)*F20,0)</f>
        <v>126</v>
      </c>
      <c r="D20" s="238"/>
      <c r="E20" s="238"/>
      <c r="F20" s="239">
        <f>'数据-取费表'!B37</f>
        <v>0.02</v>
      </c>
      <c r="G20" s="240" t="s">
        <v>2122</v>
      </c>
    </row>
    <row r="21" spans="1:7" s="220" customFormat="1" ht="13.5" customHeight="1">
      <c r="A21" s="261" t="s">
        <v>2123</v>
      </c>
      <c r="B21" s="216" t="s">
        <v>2124</v>
      </c>
      <c r="C21" s="241">
        <f>F21</f>
        <v>0.02</v>
      </c>
      <c r="D21" s="242" t="s">
        <v>2125</v>
      </c>
      <c r="E21" s="238"/>
      <c r="F21" s="239">
        <f>'数据-取费表'!B38</f>
        <v>0.02</v>
      </c>
      <c r="G21" s="240" t="s">
        <v>2126</v>
      </c>
    </row>
    <row r="22" spans="1:7" s="220" customFormat="1" ht="13.5" customHeight="1">
      <c r="A22" s="261" t="s">
        <v>2127</v>
      </c>
      <c r="B22" s="216" t="s">
        <v>2128</v>
      </c>
      <c r="C22" s="1236">
        <f ca="1">ROUND(SUM(C23:C25),0)</f>
        <v>267</v>
      </c>
      <c r="D22" s="241">
        <f ca="1">C26</f>
        <v>4.0000000000000002E-4</v>
      </c>
      <c r="E22" s="242" t="s">
        <v>2125</v>
      </c>
      <c r="F22" s="243">
        <f ca="1">'数据-取费表'!B40</f>
        <v>4.2000000000000003E-2</v>
      </c>
      <c r="G22" s="240" t="str">
        <f>IF('数据-取费表'!B22&lt;=1,"单利计息","复利计息")</f>
        <v>复利计息</v>
      </c>
    </row>
    <row r="23" spans="1:7" s="220" customFormat="1" ht="13.5" customHeight="1">
      <c r="A23" s="888" t="s">
        <v>2129</v>
      </c>
      <c r="B23" s="221" t="s">
        <v>2130</v>
      </c>
      <c r="C23" s="1237">
        <f ca="1">ROUND(IF('数据-取费表'!B22&lt;=1,C5*F22*'数据-取费表'!B23,C5*(POWER((1+F22),'数据-取费表'!B23)-1)),0)</f>
        <v>264</v>
      </c>
      <c r="D23" s="244"/>
      <c r="E23" s="244"/>
      <c r="F23" s="245"/>
      <c r="G23" s="246" t="s">
        <v>2131</v>
      </c>
    </row>
    <row r="24" spans="1:7" s="220" customFormat="1" ht="13.5" customHeight="1">
      <c r="A24" s="888" t="s">
        <v>2132</v>
      </c>
      <c r="B24" s="221" t="s">
        <v>2133</v>
      </c>
      <c r="C24" s="1237">
        <f ca="1">ROUND(IF('数据-取费表'!B22&lt;=1,C19*F22*('数据-取费表'!B19/2+'数据-取费表'!B21),C19*(POWER((1+F22),('数据-取费表'!B19/2+'数据-取费表'!B21))-1)),0)</f>
        <v>0</v>
      </c>
      <c r="D24" s="244"/>
      <c r="E24" s="244"/>
      <c r="F24" s="245"/>
      <c r="G24" s="246" t="s">
        <v>2134</v>
      </c>
    </row>
    <row r="25" spans="1:7" s="220" customFormat="1" ht="24">
      <c r="A25" s="888" t="s">
        <v>2135</v>
      </c>
      <c r="B25" s="221" t="s">
        <v>2136</v>
      </c>
      <c r="C25" s="1237">
        <f ca="1">ROUND(IF('数据-取费表'!B22&lt;=1,C20*F22*'数据-取费表'!B23/2,C20*(POWER((1+F22),'数据-取费表'!B23/2)-1)),0)</f>
        <v>3</v>
      </c>
      <c r="D25" s="244"/>
      <c r="E25" s="247"/>
      <c r="F25" s="245"/>
      <c r="G25" s="248" t="s">
        <v>2137</v>
      </c>
    </row>
    <row r="26" spans="1:7" s="220" customFormat="1">
      <c r="A26" s="888" t="s">
        <v>795</v>
      </c>
      <c r="B26" s="221" t="s">
        <v>2138</v>
      </c>
      <c r="C26" s="244">
        <f ca="1">ROUND(IF('数据-取费表'!B22&lt;=1,F21*F22*'数据-取费表'!B23/2,F21*(POWER((1+F22),'数据-取费表'!B23/2)-1)),4)</f>
        <v>4.0000000000000002E-4</v>
      </c>
      <c r="D26" s="244"/>
      <c r="E26" s="247"/>
      <c r="F26" s="245"/>
      <c r="G26" s="249"/>
    </row>
    <row r="27" spans="1:7" s="220" customFormat="1" ht="24.75">
      <c r="A27" s="261" t="s">
        <v>2139</v>
      </c>
      <c r="B27" s="250" t="s">
        <v>2140</v>
      </c>
      <c r="C27" s="251">
        <f ca="1">C28</f>
        <v>428</v>
      </c>
      <c r="D27" s="241">
        <f ca="1">C29</f>
        <v>1.2999999999999999E-3</v>
      </c>
      <c r="E27" s="242" t="s">
        <v>2141</v>
      </c>
      <c r="F27" s="252">
        <f ca="1">IF(B1="",'数据-取费表'!Q16,INDIRECT("'数据-取费表'!q"&amp;$G$1))</f>
        <v>0.1</v>
      </c>
      <c r="G27" s="253" t="s">
        <v>2142</v>
      </c>
    </row>
    <row r="28" spans="1:7" s="220" customFormat="1" ht="13.5" customHeight="1">
      <c r="A28" s="888" t="s">
        <v>791</v>
      </c>
      <c r="B28" s="254" t="s">
        <v>2143</v>
      </c>
      <c r="C28" s="255">
        <f ca="1">ROUND((C5+C19+C20)*F27*'数据-取费表'!B21/'数据-取费表'!B20,0)</f>
        <v>428</v>
      </c>
      <c r="D28" s="241"/>
      <c r="E28" s="242"/>
      <c r="F28" s="252"/>
      <c r="G28" s="253"/>
    </row>
    <row r="29" spans="1:7" s="220" customFormat="1" ht="13.5" customHeight="1">
      <c r="A29" s="888" t="s">
        <v>792</v>
      </c>
      <c r="B29" s="254" t="s">
        <v>2144</v>
      </c>
      <c r="C29" s="244">
        <f ca="1">ROUND(C21*F27*'数据-取费表'!B21/'数据-取费表'!B20,4)</f>
        <v>1.2999999999999999E-3</v>
      </c>
      <c r="D29" s="241"/>
      <c r="E29" s="242"/>
      <c r="F29" s="252"/>
      <c r="G29" s="253"/>
    </row>
    <row r="30" spans="1:7" s="220" customFormat="1" ht="13.5" customHeight="1">
      <c r="A30" s="261" t="s">
        <v>2145</v>
      </c>
      <c r="B30" s="216" t="s">
        <v>2146</v>
      </c>
      <c r="C30" s="241">
        <f>ROUND(F30/(1+'数据-取费表'!C42),4)</f>
        <v>5.2400000000000002E-2</v>
      </c>
      <c r="D30" s="242" t="s">
        <v>2141</v>
      </c>
      <c r="E30" s="247"/>
      <c r="F30" s="243">
        <f>'数据-取费表'!B41</f>
        <v>5.5000000000000007E-2</v>
      </c>
      <c r="G30" s="240" t="s">
        <v>2147</v>
      </c>
    </row>
    <row r="31" spans="1:7" ht="16.5" customHeight="1">
      <c r="A31" s="215">
        <v>1</v>
      </c>
      <c r="B31" s="216" t="s">
        <v>2148</v>
      </c>
      <c r="C31" s="217">
        <f ca="1">ROUND((C5+C19+C20+C22+C27)/(1-C21-D22-D27-C30),0)</f>
        <v>7681</v>
      </c>
      <c r="D31" s="236"/>
      <c r="E31" s="217"/>
      <c r="F31" s="256"/>
      <c r="G31" s="240" t="s">
        <v>2149</v>
      </c>
    </row>
    <row r="32" spans="1:7" s="214" customFormat="1" ht="15.75">
      <c r="A32" s="258" t="s">
        <v>2150</v>
      </c>
      <c r="B32" s="259"/>
      <c r="C32" s="259"/>
      <c r="D32" s="259"/>
      <c r="E32" s="259"/>
      <c r="F32" s="259"/>
      <c r="G32" s="260"/>
    </row>
    <row r="33" spans="1:7" s="220" customFormat="1" ht="13.5" customHeight="1">
      <c r="A33" s="261" t="s">
        <v>782</v>
      </c>
      <c r="B33" s="216" t="s">
        <v>2151</v>
      </c>
      <c r="C33" s="262">
        <f ca="1">SUM(C34:C38)</f>
        <v>6154</v>
      </c>
      <c r="D33" s="238"/>
      <c r="E33" s="218"/>
      <c r="F33" s="247"/>
      <c r="G33" s="240"/>
    </row>
    <row r="34" spans="1:7" s="264" customFormat="1" ht="13.5" customHeight="1">
      <c r="A34" s="888" t="s">
        <v>791</v>
      </c>
      <c r="B34" s="221" t="s">
        <v>2152</v>
      </c>
      <c r="C34" s="226">
        <f ca="1">IF(B1="",IF(F34=100%,'数据-取费表'!M16,'数据-取费表'!O16),IF(F34=100%,INDIRECT("'数据-取费表'!m"&amp;$G$1)+INDIRECT("'数据-取费表'!t"&amp;$G$1),INDIRECT("'数据-取费表'!o"&amp;$G$1)+INDIRECT("'数据-取费表'!aq"&amp;$G$1)))</f>
        <v>5672</v>
      </c>
      <c r="D34" s="223"/>
      <c r="E34" s="226"/>
      <c r="F34" s="263">
        <f ca="1">IF('数据-取费表'!B24=0,1,IF(B1="",'数据-取费表'!N16,INDIRECT("'数据-取费表'!n"&amp;$G$1)))</f>
        <v>0.6</v>
      </c>
      <c r="G34" s="225" t="s">
        <v>2153</v>
      </c>
    </row>
    <row r="35" spans="1:7" ht="13.5" customHeight="1">
      <c r="A35" s="888" t="s">
        <v>796</v>
      </c>
      <c r="B35" s="221" t="s">
        <v>2154</v>
      </c>
      <c r="C35" s="226">
        <f ca="1">ROUND(C34*F35,0)</f>
        <v>170</v>
      </c>
      <c r="D35" s="226"/>
      <c r="E35" s="226"/>
      <c r="F35" s="265">
        <f>'数据-取费表'!B33</f>
        <v>0.03</v>
      </c>
      <c r="G35" s="225" t="s">
        <v>2155</v>
      </c>
    </row>
    <row r="36" spans="1:7" ht="24">
      <c r="A36" s="888" t="s">
        <v>797</v>
      </c>
      <c r="B36" s="221" t="s">
        <v>2156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2157</v>
      </c>
    </row>
    <row r="37" spans="1:7" s="264" customFormat="1" ht="13.5" customHeight="1">
      <c r="A37" s="888" t="s">
        <v>798</v>
      </c>
      <c r="B37" s="221" t="s">
        <v>2158</v>
      </c>
      <c r="C37" s="255">
        <f ca="1">ROUND(E37*D37*F34/10000,0)</f>
        <v>227</v>
      </c>
      <c r="D37" s="223">
        <f ca="1">D19</f>
        <v>18907.05</v>
      </c>
      <c r="E37" s="255">
        <f>'数据-取费表'!B35</f>
        <v>200</v>
      </c>
      <c r="F37" s="265"/>
      <c r="G37" s="267" t="s">
        <v>2159</v>
      </c>
    </row>
    <row r="38" spans="1:7" ht="13.5" customHeight="1">
      <c r="A38" s="888" t="s">
        <v>799</v>
      </c>
      <c r="B38" s="221" t="s">
        <v>2160</v>
      </c>
      <c r="C38" s="226">
        <f ca="1">ROUND(C34*F38,0)</f>
        <v>85</v>
      </c>
      <c r="D38" s="226"/>
      <c r="E38" s="226"/>
      <c r="F38" s="265">
        <f>'数据-取费表'!B36</f>
        <v>1.4999999999999999E-2</v>
      </c>
      <c r="G38" s="225" t="s">
        <v>2155</v>
      </c>
    </row>
    <row r="39" spans="1:7" s="220" customFormat="1" ht="13.5" customHeight="1">
      <c r="A39" s="261" t="s">
        <v>2161</v>
      </c>
      <c r="B39" s="216" t="s">
        <v>2162</v>
      </c>
      <c r="C39" s="238">
        <f ca="1">ROUND(C33*F20,0)</f>
        <v>123</v>
      </c>
      <c r="D39" s="238"/>
      <c r="E39" s="238"/>
      <c r="F39" s="2504">
        <f>F20</f>
        <v>0.02</v>
      </c>
      <c r="G39" s="240" t="s">
        <v>2163</v>
      </c>
    </row>
    <row r="40" spans="1:7" s="220" customFormat="1" ht="13.5" customHeight="1">
      <c r="A40" s="261" t="s">
        <v>2164</v>
      </c>
      <c r="B40" s="216" t="s">
        <v>2165</v>
      </c>
      <c r="C40" s="1466">
        <f>F21</f>
        <v>0.02</v>
      </c>
      <c r="D40" s="242" t="s">
        <v>2166</v>
      </c>
      <c r="E40" s="238"/>
      <c r="F40" s="2504">
        <f>F21</f>
        <v>0.02</v>
      </c>
      <c r="G40" s="240" t="s">
        <v>2167</v>
      </c>
    </row>
    <row r="41" spans="1:7" s="220" customFormat="1" ht="13.5" customHeight="1">
      <c r="A41" s="261" t="s">
        <v>2168</v>
      </c>
      <c r="B41" s="216" t="s">
        <v>2169</v>
      </c>
      <c r="C41" s="238">
        <f ca="1">ROUND(SUM(C42:C43),0)</f>
        <v>131</v>
      </c>
      <c r="D41" s="241">
        <f ca="1">C44</f>
        <v>4.0000000000000002E-4</v>
      </c>
      <c r="E41" s="242" t="s">
        <v>2166</v>
      </c>
      <c r="F41" s="2505">
        <f ca="1">F22</f>
        <v>4.2000000000000003E-2</v>
      </c>
      <c r="G41" s="240" t="str">
        <f>IF('数据-取费表'!B22&lt;=1,"单利计息","复利计息")</f>
        <v>复利计息</v>
      </c>
    </row>
    <row r="42" spans="1:7" ht="13.5" customHeight="1">
      <c r="A42" s="888" t="s">
        <v>791</v>
      </c>
      <c r="B42" s="221" t="s">
        <v>2170</v>
      </c>
      <c r="C42" s="244">
        <f ca="1">ROUND(IF('数据-取费表'!B22&lt;=1,C33*F22*'数据-取费表'!B21/2,C33*(POWER((1+F22),'数据-取费表'!B21/2)-1)),0)</f>
        <v>128</v>
      </c>
      <c r="D42" s="244"/>
      <c r="E42" s="244"/>
      <c r="F42" s="245"/>
      <c r="G42" s="3425" t="s">
        <v>2171</v>
      </c>
    </row>
    <row r="43" spans="1:7" ht="13.5" customHeight="1">
      <c r="A43" s="888" t="s">
        <v>792</v>
      </c>
      <c r="B43" s="221" t="s">
        <v>2172</v>
      </c>
      <c r="C43" s="244">
        <f ca="1">ROUND(IF('数据-取费表'!B22&lt;=1,C39*F22*'数据-取费表'!B21/2,C39*(POWER((1+F22),'数据-取费表'!B21/2)-1)),0)</f>
        <v>3</v>
      </c>
      <c r="D43" s="244"/>
      <c r="E43" s="244"/>
      <c r="F43" s="245"/>
      <c r="G43" s="3426"/>
    </row>
    <row r="44" spans="1:7" ht="13.5" customHeight="1">
      <c r="A44" s="888" t="s">
        <v>793</v>
      </c>
      <c r="B44" s="221" t="s">
        <v>2173</v>
      </c>
      <c r="C44" s="244">
        <f ca="1">ROUND(IF('数据-取费表'!B22&lt;=1,C40*F22*'数据-取费表'!B21/2,C40*(POWER((1+F22),'数据-取费表'!B21/2)-1)),4)</f>
        <v>4.0000000000000002E-4</v>
      </c>
      <c r="D44" s="244"/>
      <c r="E44" s="244"/>
      <c r="F44" s="245"/>
      <c r="G44" s="3427"/>
    </row>
    <row r="45" spans="1:7" s="220" customFormat="1" ht="13.5" customHeight="1">
      <c r="A45" s="261" t="s">
        <v>2174</v>
      </c>
      <c r="B45" s="250" t="s">
        <v>2140</v>
      </c>
      <c r="C45" s="251">
        <f ca="1">C46</f>
        <v>628</v>
      </c>
      <c r="D45" s="241">
        <f ca="1">C47</f>
        <v>2E-3</v>
      </c>
      <c r="E45" s="242" t="s">
        <v>2166</v>
      </c>
      <c r="F45" s="2506">
        <f ca="1">F27</f>
        <v>0.1</v>
      </c>
      <c r="G45" s="253" t="s">
        <v>2175</v>
      </c>
    </row>
    <row r="46" spans="1:7" s="220" customFormat="1" ht="13.5" customHeight="1">
      <c r="A46" s="888" t="s">
        <v>791</v>
      </c>
      <c r="B46" s="254" t="s">
        <v>2176</v>
      </c>
      <c r="C46" s="255">
        <f ca="1">ROUND((C33+C39)*F27,0)</f>
        <v>628</v>
      </c>
      <c r="D46" s="269"/>
      <c r="E46" s="242"/>
      <c r="F46" s="252"/>
      <c r="G46" s="253"/>
    </row>
    <row r="47" spans="1:7" s="220" customFormat="1" ht="13.5" customHeight="1">
      <c r="A47" s="888" t="s">
        <v>792</v>
      </c>
      <c r="B47" s="254" t="s">
        <v>2177</v>
      </c>
      <c r="C47" s="244">
        <f ca="1">ROUND(C40*F27,4)</f>
        <v>2E-3</v>
      </c>
      <c r="D47" s="269"/>
      <c r="E47" s="242"/>
      <c r="F47" s="252"/>
      <c r="G47" s="253"/>
    </row>
    <row r="48" spans="1:7" s="220" customFormat="1" ht="13.5" customHeight="1">
      <c r="A48" s="261" t="s">
        <v>2139</v>
      </c>
      <c r="B48" s="216" t="s">
        <v>2178</v>
      </c>
      <c r="C48" s="1466">
        <f>ROUND(F30/(1+'数据-取费表'!C42),4)</f>
        <v>5.2400000000000002E-2</v>
      </c>
      <c r="D48" s="242" t="s">
        <v>2166</v>
      </c>
      <c r="E48" s="238"/>
      <c r="F48" s="2505">
        <f>F30</f>
        <v>5.5000000000000007E-2</v>
      </c>
      <c r="G48" s="240" t="s">
        <v>2179</v>
      </c>
    </row>
    <row r="49" spans="1:7" ht="16.5" customHeight="1">
      <c r="A49" s="261" t="s">
        <v>2145</v>
      </c>
      <c r="B49" s="216" t="s">
        <v>2180</v>
      </c>
      <c r="C49" s="238">
        <f ca="1">ROUND((C33+C39+C41+C45)/(1-C40-D41-D45-C48),0)</f>
        <v>7605</v>
      </c>
      <c r="D49" s="238"/>
      <c r="E49" s="238"/>
      <c r="F49" s="270"/>
      <c r="G49" s="240" t="s">
        <v>2181</v>
      </c>
    </row>
    <row r="50" spans="1:7" s="264" customFormat="1" ht="24">
      <c r="A50" s="261" t="s">
        <v>2182</v>
      </c>
      <c r="B50" s="216" t="s">
        <v>2183</v>
      </c>
      <c r="C50" s="238"/>
      <c r="D50" s="238"/>
      <c r="E50" s="238"/>
      <c r="F50" s="270">
        <f>IF('数据-取费表'!B24=0,'数据-取费表'!N16,1)</f>
        <v>1</v>
      </c>
      <c r="G50" s="253" t="s">
        <v>2184</v>
      </c>
    </row>
    <row r="51" spans="1:7" ht="16.5" customHeight="1">
      <c r="A51" s="261" t="s">
        <v>2185</v>
      </c>
      <c r="B51" s="216" t="s">
        <v>2186</v>
      </c>
      <c r="C51" s="238">
        <f ca="1">ROUND(C49*F50,0)</f>
        <v>7605</v>
      </c>
      <c r="D51" s="238"/>
      <c r="E51" s="238"/>
      <c r="F51" s="270"/>
      <c r="G51" s="240" t="s">
        <v>2187</v>
      </c>
    </row>
    <row r="52" spans="1:7" s="214" customFormat="1" ht="16.5" thickBot="1">
      <c r="A52" s="271" t="s">
        <v>2188</v>
      </c>
      <c r="B52" s="272"/>
      <c r="C52" s="273">
        <f ca="1">C31+C51</f>
        <v>15286</v>
      </c>
      <c r="D52" s="272"/>
      <c r="E52" s="272"/>
      <c r="F52" s="272"/>
      <c r="G52" s="274"/>
    </row>
    <row r="55" spans="1:7" ht="15">
      <c r="B55" s="276" t="s">
        <v>2189</v>
      </c>
      <c r="C55" s="277"/>
    </row>
    <row r="56" spans="1:7">
      <c r="B56" s="279" t="s">
        <v>1418</v>
      </c>
      <c r="C56" s="281">
        <f ca="1">1-C57</f>
        <v>0.502</v>
      </c>
    </row>
    <row r="57" spans="1:7">
      <c r="B57" s="279" t="s">
        <v>1419</v>
      </c>
      <c r="C57" s="280">
        <f ca="1">ROUND(C51/C52,3)</f>
        <v>0.498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2088</v>
      </c>
      <c r="B1" s="1623"/>
      <c r="C1" s="2014" t="s">
        <v>2190</v>
      </c>
      <c r="D1" s="204"/>
      <c r="E1" s="204"/>
      <c r="F1" s="204"/>
      <c r="G1" s="1260">
        <f>MATCH(B1,'数据-取费表'!A6:A16,0)+5</f>
        <v>7</v>
      </c>
      <c r="H1" s="1192" t="str">
        <f>IF(ISERROR(FIND("住宅",B1)),"非住宅","住宅")</f>
        <v>非住宅</v>
      </c>
    </row>
    <row r="2" spans="1:8" s="206" customFormat="1" ht="18" customHeight="1">
      <c r="A2" s="207" t="s">
        <v>2089</v>
      </c>
      <c r="B2" s="208">
        <f ca="1">ROUND(IF(D2="——",C52/10000,C52/10000-E2),0)</f>
        <v>13281</v>
      </c>
      <c r="C2" s="205" t="s">
        <v>2090</v>
      </c>
      <c r="D2" s="2008" t="s">
        <v>70</v>
      </c>
      <c r="E2" s="1303" t="e">
        <f ca="1">SUMIF(INDIRECT("'"&amp;G2&amp;"'"&amp;"!A:A"),"承租人权益价值",INDIRECT("'"&amp;G2&amp;"'"&amp;"!c:c"))</f>
        <v>#REF!</v>
      </c>
      <c r="F2" s="2009" t="s">
        <v>2090</v>
      </c>
      <c r="G2" s="2010"/>
    </row>
    <row r="3" spans="1:8" s="206" customFormat="1" ht="18" customHeight="1" thickBot="1">
      <c r="A3" s="209" t="s">
        <v>2091</v>
      </c>
      <c r="B3" s="210">
        <f ca="1">ROUND(B2*10000/(IF(B1="",'数据-汇总表'!E3,INDIRECT("'数据-取费表'!k"&amp;$G$1))),0)</f>
        <v>7024</v>
      </c>
      <c r="C3" s="205" t="s">
        <v>2092</v>
      </c>
      <c r="D3" s="205"/>
      <c r="E3" s="205"/>
      <c r="F3" s="205"/>
      <c r="G3" s="205"/>
    </row>
    <row r="4" spans="1:8" s="214" customFormat="1" ht="15.75">
      <c r="A4" s="211" t="s">
        <v>2093</v>
      </c>
      <c r="B4" s="212"/>
      <c r="C4" s="212"/>
      <c r="D4" s="212"/>
      <c r="E4" s="212"/>
      <c r="F4" s="212"/>
      <c r="G4" s="213"/>
    </row>
    <row r="5" spans="1:8" s="220" customFormat="1" ht="13.5" customHeight="1">
      <c r="A5" s="261" t="s">
        <v>2094</v>
      </c>
      <c r="B5" s="216" t="s">
        <v>2095</v>
      </c>
      <c r="C5" s="217">
        <f ca="1">C6+C7+C8</f>
        <v>0</v>
      </c>
      <c r="D5" s="217" t="s">
        <v>2096</v>
      </c>
      <c r="E5" s="218" t="s">
        <v>2097</v>
      </c>
      <c r="F5" s="218" t="s">
        <v>2098</v>
      </c>
      <c r="G5" s="219"/>
    </row>
    <row r="6" spans="1:8" s="220" customFormat="1" ht="13.5" customHeight="1">
      <c r="A6" s="886" t="s">
        <v>2099</v>
      </c>
      <c r="B6" s="221" t="s">
        <v>2100</v>
      </c>
      <c r="C6" s="222"/>
      <c r="D6" s="223"/>
      <c r="E6" s="224"/>
      <c r="F6" s="224"/>
      <c r="G6" s="225"/>
    </row>
    <row r="7" spans="1:8" s="220" customFormat="1" ht="13.5" customHeight="1">
      <c r="A7" s="886" t="s">
        <v>2101</v>
      </c>
      <c r="B7" s="221" t="s">
        <v>2102</v>
      </c>
      <c r="C7" s="226">
        <f>ROUND(C6*F7,0)</f>
        <v>0</v>
      </c>
      <c r="D7" s="226"/>
      <c r="E7" s="224"/>
      <c r="F7" s="227">
        <f>IF(项目基本情况!B8="出让",0,'数据-取费表'!B48+'数据-取费表'!B49)</f>
        <v>3.0499999999999999E-2</v>
      </c>
      <c r="G7" s="225"/>
    </row>
    <row r="8" spans="1:8" s="229" customFormat="1">
      <c r="A8" s="886" t="s">
        <v>2103</v>
      </c>
      <c r="B8" s="221" t="s">
        <v>2104</v>
      </c>
      <c r="C8" s="226">
        <f ca="1">IF(G8="已包含在土地购买价格中",0,C9+C10)</f>
        <v>0</v>
      </c>
      <c r="D8" s="228"/>
      <c r="E8" s="226"/>
      <c r="F8" s="227"/>
      <c r="G8" s="2011"/>
    </row>
    <row r="9" spans="1:8" s="220" customFormat="1" ht="13.5" customHeight="1">
      <c r="A9" s="887" t="s">
        <v>800</v>
      </c>
      <c r="B9" s="230" t="s">
        <v>2105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2107</v>
      </c>
      <c r="C10" s="231">
        <f ca="1">ROUND(D10*E10,0)</f>
        <v>0</v>
      </c>
      <c r="D10" s="954">
        <f ca="1">IF(B1="",'数据-汇总表'!E6,IF(INDIRECT("'数据-取费表'!c"&amp;$G$1)="住宅",INDIRECT("'数据-取费表'!s"&amp;$G$1),INDIRECT("'数据-取费表'!k"&amp;$G$1)+INDIRECT("'数据-取费表'!s"&amp;$G$1)))</f>
        <v>18907.05</v>
      </c>
      <c r="E10" s="231">
        <f>'数据-取费表'!B28</f>
        <v>0</v>
      </c>
      <c r="F10" s="227"/>
      <c r="G10" s="232"/>
    </row>
    <row r="11" spans="1:8" s="220" customFormat="1" ht="13.5" hidden="1" customHeight="1">
      <c r="A11" s="233" t="s">
        <v>7</v>
      </c>
      <c r="B11" s="221" t="s">
        <v>2108</v>
      </c>
      <c r="C11" s="217"/>
      <c r="D11" s="956"/>
      <c r="E11" s="224"/>
      <c r="F11" s="224"/>
      <c r="G11" s="225"/>
    </row>
    <row r="12" spans="1:8" s="220" customFormat="1" ht="13.5" hidden="1" customHeight="1">
      <c r="A12" s="233" t="s">
        <v>8</v>
      </c>
      <c r="B12" s="221" t="s">
        <v>2191</v>
      </c>
      <c r="C12" s="217">
        <v>0</v>
      </c>
      <c r="D12" s="956"/>
      <c r="E12" s="234"/>
      <c r="F12" s="227">
        <v>3.0499999999999999E-2</v>
      </c>
      <c r="G12" s="225"/>
    </row>
    <row r="13" spans="1:8" s="220" customFormat="1" ht="13.5" hidden="1" customHeight="1">
      <c r="A13" s="233" t="s">
        <v>9</v>
      </c>
      <c r="B13" s="221" t="s">
        <v>2192</v>
      </c>
      <c r="C13" s="217"/>
      <c r="D13" s="956"/>
      <c r="E13" s="224"/>
      <c r="F13" s="224"/>
      <c r="G13" s="225"/>
    </row>
    <row r="14" spans="1:8" s="220" customFormat="1" ht="13.5" hidden="1" customHeight="1">
      <c r="A14" s="233" t="s">
        <v>10</v>
      </c>
      <c r="B14" s="221" t="s">
        <v>2104</v>
      </c>
      <c r="C14" s="217"/>
      <c r="D14" s="956"/>
      <c r="E14" s="224"/>
      <c r="F14" s="224"/>
      <c r="G14" s="225" t="s">
        <v>2193</v>
      </c>
    </row>
    <row r="15" spans="1:8" s="220" customFormat="1" ht="13.5" hidden="1" customHeight="1">
      <c r="A15" s="233" t="s">
        <v>11</v>
      </c>
      <c r="B15" s="221" t="s">
        <v>2194</v>
      </c>
      <c r="C15" s="226"/>
      <c r="D15" s="956"/>
      <c r="E15" s="224"/>
      <c r="F15" s="224"/>
      <c r="G15" s="225" t="s">
        <v>2195</v>
      </c>
    </row>
    <row r="16" spans="1:8" s="220" customFormat="1" ht="13.5" hidden="1" customHeight="1">
      <c r="A16" s="233" t="s">
        <v>12</v>
      </c>
      <c r="B16" s="221" t="s">
        <v>2104</v>
      </c>
      <c r="C16" s="226"/>
      <c r="D16" s="956"/>
      <c r="E16" s="224"/>
      <c r="F16" s="224"/>
      <c r="G16" s="225"/>
    </row>
    <row r="17" spans="1:7" s="220" customFormat="1" ht="13.5" hidden="1" customHeight="1">
      <c r="A17" s="233" t="s">
        <v>13</v>
      </c>
      <c r="B17" s="221" t="s">
        <v>2196</v>
      </c>
      <c r="C17" s="235"/>
      <c r="D17" s="957"/>
      <c r="E17" s="235"/>
      <c r="F17" s="235"/>
      <c r="G17" s="225" t="s">
        <v>2195</v>
      </c>
    </row>
    <row r="18" spans="1:7" s="220" customFormat="1" ht="13.5" hidden="1" customHeight="1">
      <c r="A18" s="233" t="s">
        <v>14</v>
      </c>
      <c r="B18" s="221" t="s">
        <v>2197</v>
      </c>
      <c r="C18" s="226">
        <v>0</v>
      </c>
      <c r="D18" s="956"/>
      <c r="E18" s="224"/>
      <c r="F18" s="227">
        <v>3.0499999999999999E-2</v>
      </c>
      <c r="G18" s="225" t="s">
        <v>2198</v>
      </c>
    </row>
    <row r="19" spans="1:7" s="229" customFormat="1" ht="13.5" customHeight="1">
      <c r="A19" s="261" t="s">
        <v>2199</v>
      </c>
      <c r="B19" s="216" t="s">
        <v>2200</v>
      </c>
      <c r="C19" s="217">
        <f ca="1">IF(G19="已包含在土地取得成本中","0",ROUND(D19*E19,0))</f>
        <v>3781410</v>
      </c>
      <c r="D19" s="958">
        <f ca="1">D9+D10</f>
        <v>18907.05</v>
      </c>
      <c r="E19" s="217">
        <f>'数据-取费表'!B31</f>
        <v>200</v>
      </c>
      <c r="F19" s="237"/>
      <c r="G19" s="2011"/>
    </row>
    <row r="20" spans="1:7" s="220" customFormat="1" ht="13.5" customHeight="1">
      <c r="A20" s="261" t="s">
        <v>2201</v>
      </c>
      <c r="B20" s="216" t="s">
        <v>2202</v>
      </c>
      <c r="C20" s="238">
        <f ca="1">ROUND((C5+C19)*F20,0)</f>
        <v>75628</v>
      </c>
      <c r="D20" s="238"/>
      <c r="E20" s="238"/>
      <c r="F20" s="239">
        <f>'数据-取费表'!B37</f>
        <v>0.02</v>
      </c>
      <c r="G20" s="240" t="s">
        <v>2203</v>
      </c>
    </row>
    <row r="21" spans="1:7" s="220" customFormat="1" ht="13.5" customHeight="1">
      <c r="A21" s="261" t="s">
        <v>2204</v>
      </c>
      <c r="B21" s="216" t="s">
        <v>2205</v>
      </c>
      <c r="C21" s="241">
        <f>F21</f>
        <v>0.02</v>
      </c>
      <c r="D21" s="242" t="s">
        <v>2206</v>
      </c>
      <c r="E21" s="238"/>
      <c r="F21" s="239">
        <f>'数据-取费表'!B38</f>
        <v>0.02</v>
      </c>
      <c r="G21" s="240" t="s">
        <v>2207</v>
      </c>
    </row>
    <row r="22" spans="1:7" s="220" customFormat="1" ht="13.5" customHeight="1">
      <c r="A22" s="261" t="s">
        <v>2208</v>
      </c>
      <c r="B22" s="216" t="s">
        <v>2209</v>
      </c>
      <c r="C22" s="1261">
        <f ca="1">ROUND(SUM(C23:C25),0)</f>
        <v>243083</v>
      </c>
      <c r="D22" s="241">
        <f ca="1">C26</f>
        <v>5.9999999999999995E-4</v>
      </c>
      <c r="E22" s="242" t="s">
        <v>2206</v>
      </c>
      <c r="F22" s="243">
        <f ca="1">'数据-取费表'!B40</f>
        <v>4.2000000000000003E-2</v>
      </c>
      <c r="G22" s="240" t="str">
        <f>IF('数据-取费表'!B22&lt;=1,"单利计息","复利计息")</f>
        <v>复利计息</v>
      </c>
    </row>
    <row r="23" spans="1:7" s="220" customFormat="1" ht="13.5" customHeight="1">
      <c r="A23" s="888" t="s">
        <v>2099</v>
      </c>
      <c r="B23" s="221" t="s">
        <v>2210</v>
      </c>
      <c r="C23" s="1262">
        <f ca="1">ROUND(IF('数据-取费表'!B22&lt;=1,C5*F22*'数据-取费表'!B22,C5*(POWER((1+F22),'数据-取费表'!B22)-1)),0)</f>
        <v>0</v>
      </c>
      <c r="D23" s="244"/>
      <c r="E23" s="244"/>
      <c r="F23" s="245"/>
      <c r="G23" s="246" t="s">
        <v>2211</v>
      </c>
    </row>
    <row r="24" spans="1:7" s="220" customFormat="1" ht="13.5" customHeight="1">
      <c r="A24" s="888" t="s">
        <v>2101</v>
      </c>
      <c r="B24" s="221" t="s">
        <v>2212</v>
      </c>
      <c r="C24" s="1262">
        <f ca="1">ROUND(IF('数据-取费表'!B22&lt;=1,C19*F22*('数据-取费表'!B19/2+'数据-取费表'!B20),C19*(POWER((1+F22),('数据-取费表'!B19/2+'数据-取费表'!B20))-1)),0)</f>
        <v>240713</v>
      </c>
      <c r="D24" s="244"/>
      <c r="E24" s="244"/>
      <c r="F24" s="245"/>
      <c r="G24" s="246" t="s">
        <v>2213</v>
      </c>
    </row>
    <row r="25" spans="1:7" s="220" customFormat="1" ht="24">
      <c r="A25" s="888" t="s">
        <v>2103</v>
      </c>
      <c r="B25" s="221" t="s">
        <v>2214</v>
      </c>
      <c r="C25" s="1262">
        <f ca="1">ROUND(IF('数据-取费表'!B22&lt;=1,C20*F22*'数据-取费表'!B22/2,C20*(POWER((1+F22),'数据-取费表'!B22/2)-1)),0)</f>
        <v>2370</v>
      </c>
      <c r="D25" s="244"/>
      <c r="E25" s="247"/>
      <c r="F25" s="245"/>
      <c r="G25" s="248" t="s">
        <v>2215</v>
      </c>
    </row>
    <row r="26" spans="1:7" s="220" customFormat="1">
      <c r="A26" s="888" t="s">
        <v>795</v>
      </c>
      <c r="B26" s="221" t="s">
        <v>2138</v>
      </c>
      <c r="C26" s="244">
        <f ca="1">ROUND(IF('数据-取费表'!B22&lt;=1,F21*F22*'数据-取费表'!B22/2,F21*(POWER((1+F22),'数据-取费表'!B22/2)-1)),4)</f>
        <v>5.9999999999999995E-4</v>
      </c>
      <c r="D26" s="244"/>
      <c r="E26" s="247"/>
      <c r="F26" s="245"/>
      <c r="G26" s="249"/>
    </row>
    <row r="27" spans="1:7" s="220" customFormat="1" ht="24.75">
      <c r="A27" s="261" t="s">
        <v>2139</v>
      </c>
      <c r="B27" s="250" t="s">
        <v>2140</v>
      </c>
      <c r="C27" s="251">
        <f ca="1">C28</f>
        <v>385704</v>
      </c>
      <c r="D27" s="241">
        <f ca="1">C29</f>
        <v>2E-3</v>
      </c>
      <c r="E27" s="242" t="s">
        <v>2141</v>
      </c>
      <c r="F27" s="252">
        <f ca="1">IF(B1="",'数据-取费表'!Q16,INDIRECT("'数据-取费表'!q"&amp;$G$1))</f>
        <v>0.1</v>
      </c>
      <c r="G27" s="253" t="s">
        <v>2142</v>
      </c>
    </row>
    <row r="28" spans="1:7" s="220" customFormat="1" ht="13.5" customHeight="1">
      <c r="A28" s="888" t="s">
        <v>791</v>
      </c>
      <c r="B28" s="254" t="s">
        <v>2143</v>
      </c>
      <c r="C28" s="255">
        <f ca="1">ROUND((C5+C19+C20)*F27,0)</f>
        <v>385704</v>
      </c>
      <c r="D28" s="241"/>
      <c r="E28" s="242"/>
      <c r="F28" s="252"/>
      <c r="G28" s="253"/>
    </row>
    <row r="29" spans="1:7" s="220" customFormat="1" ht="13.5" customHeight="1">
      <c r="A29" s="888" t="s">
        <v>792</v>
      </c>
      <c r="B29" s="254" t="s">
        <v>2144</v>
      </c>
      <c r="C29" s="244">
        <f ca="1">ROUND(C21*F27,4)</f>
        <v>2E-3</v>
      </c>
      <c r="D29" s="241"/>
      <c r="E29" s="242"/>
      <c r="F29" s="252"/>
      <c r="G29" s="253"/>
    </row>
    <row r="30" spans="1:7" s="220" customFormat="1" ht="13.5" customHeight="1">
      <c r="A30" s="261" t="s">
        <v>2145</v>
      </c>
      <c r="B30" s="216" t="s">
        <v>2146</v>
      </c>
      <c r="C30" s="241">
        <f>ROUND(F30/(1+'数据-取费表'!C42),4)</f>
        <v>5.2400000000000002E-2</v>
      </c>
      <c r="D30" s="242" t="s">
        <v>2141</v>
      </c>
      <c r="E30" s="247"/>
      <c r="F30" s="243">
        <f>'数据-取费表'!B41</f>
        <v>5.5000000000000007E-2</v>
      </c>
      <c r="G30" s="240" t="s">
        <v>2147</v>
      </c>
    </row>
    <row r="31" spans="1:7" ht="16.5" customHeight="1">
      <c r="A31" s="215">
        <v>1</v>
      </c>
      <c r="B31" s="216" t="s">
        <v>2148</v>
      </c>
      <c r="C31" s="217">
        <f ca="1">ROUND((C5+C19+C20+C22+C27)/(1-C21-D22-D27-C30),0)</f>
        <v>4849541</v>
      </c>
      <c r="D31" s="236"/>
      <c r="E31" s="217"/>
      <c r="F31" s="256"/>
      <c r="G31" s="240" t="s">
        <v>2149</v>
      </c>
    </row>
    <row r="32" spans="1:7" s="214" customFormat="1" ht="15.75">
      <c r="A32" s="258" t="s">
        <v>2216</v>
      </c>
      <c r="B32" s="259"/>
      <c r="C32" s="259"/>
      <c r="D32" s="259"/>
      <c r="E32" s="259"/>
      <c r="F32" s="259"/>
      <c r="G32" s="260"/>
    </row>
    <row r="33" spans="1:7" s="220" customFormat="1" ht="13.5" customHeight="1">
      <c r="A33" s="261" t="s">
        <v>782</v>
      </c>
      <c r="B33" s="216" t="s">
        <v>2217</v>
      </c>
      <c r="C33" s="262">
        <f ca="1">SUM(C34:C38)</f>
        <v>102570747</v>
      </c>
      <c r="D33" s="238"/>
      <c r="E33" s="218"/>
      <c r="F33" s="247"/>
      <c r="G33" s="240"/>
    </row>
    <row r="34" spans="1:7" s="264" customFormat="1" ht="13.5" customHeight="1">
      <c r="A34" s="888" t="s">
        <v>791</v>
      </c>
      <c r="B34" s="221" t="s">
        <v>2152</v>
      </c>
      <c r="C34" s="226">
        <f ca="1">ROUND(IF(B1="",SUMPRODUCT('数据-取费表'!K6:K14,'数据-取费表'!L6:L14),INDIRECT("'数据-取费表'!l"&amp;$G$1)*INDIRECT("'数据-取费表'!k"&amp;$G$1)+'数据-取费表'!L14*INDIRECT("'数据-取费表'!S"&amp;$G$1)),0)</f>
        <v>94535250</v>
      </c>
      <c r="D34" s="223"/>
      <c r="E34" s="226"/>
      <c r="F34" s="263"/>
      <c r="G34" s="225"/>
    </row>
    <row r="35" spans="1:7" ht="13.5" customHeight="1">
      <c r="A35" s="888" t="s">
        <v>796</v>
      </c>
      <c r="B35" s="221" t="s">
        <v>2154</v>
      </c>
      <c r="C35" s="226">
        <f ca="1">ROUND(C34*F35,0)</f>
        <v>2836058</v>
      </c>
      <c r="D35" s="226"/>
      <c r="E35" s="226"/>
      <c r="F35" s="265">
        <f>'数据-取费表'!B33</f>
        <v>0.03</v>
      </c>
      <c r="G35" s="225" t="s">
        <v>2155</v>
      </c>
    </row>
    <row r="36" spans="1:7" ht="24">
      <c r="A36" s="888" t="s">
        <v>797</v>
      </c>
      <c r="B36" s="221" t="s">
        <v>2156</v>
      </c>
      <c r="C36" s="226">
        <f ca="1">ROUND(IF(B1="",SUM('数据-取费表'!AP6:AP13)*F36,IF(INDIRECT("'数据-取费表'!c"&amp;$G$1)="住宅",INDIRECT("'数据-取费表'!k"&amp;$G$1)*INDIRECT("'数据-取费表'!l"&amp;$G$1)*F36,0)),0)</f>
        <v>0</v>
      </c>
      <c r="D36" s="226"/>
      <c r="E36" s="226"/>
      <c r="F36" s="265">
        <f>'数据-取费表'!B34</f>
        <v>0</v>
      </c>
      <c r="G36" s="266" t="s">
        <v>2157</v>
      </c>
    </row>
    <row r="37" spans="1:7" s="264" customFormat="1" ht="13.5" customHeight="1">
      <c r="A37" s="888" t="s">
        <v>798</v>
      </c>
      <c r="B37" s="221" t="s">
        <v>2158</v>
      </c>
      <c r="C37" s="255">
        <f ca="1">ROUND(E37*D37,0)</f>
        <v>3781410</v>
      </c>
      <c r="D37" s="223">
        <f ca="1">D19</f>
        <v>18907.05</v>
      </c>
      <c r="E37" s="255">
        <f>'数据-取费表'!B35</f>
        <v>200</v>
      </c>
      <c r="F37" s="265"/>
      <c r="G37" s="267"/>
    </row>
    <row r="38" spans="1:7" ht="13.5" customHeight="1">
      <c r="A38" s="888" t="s">
        <v>799</v>
      </c>
      <c r="B38" s="221" t="s">
        <v>2160</v>
      </c>
      <c r="C38" s="226">
        <f ca="1">ROUND(C34*F38,0)</f>
        <v>1418029</v>
      </c>
      <c r="D38" s="226"/>
      <c r="E38" s="226"/>
      <c r="F38" s="265">
        <f>'数据-取费表'!B36</f>
        <v>1.4999999999999999E-2</v>
      </c>
      <c r="G38" s="225" t="s">
        <v>2155</v>
      </c>
    </row>
    <row r="39" spans="1:7" s="220" customFormat="1" ht="13.5" customHeight="1">
      <c r="A39" s="261" t="s">
        <v>2161</v>
      </c>
      <c r="B39" s="216" t="s">
        <v>2162</v>
      </c>
      <c r="C39" s="238">
        <f ca="1">ROUND(C33*F20,0)</f>
        <v>2051415</v>
      </c>
      <c r="D39" s="238"/>
      <c r="E39" s="238"/>
      <c r="F39" s="2504">
        <f>F20</f>
        <v>0.02</v>
      </c>
      <c r="G39" s="240" t="s">
        <v>2163</v>
      </c>
    </row>
    <row r="40" spans="1:7" s="220" customFormat="1" ht="13.5" customHeight="1">
      <c r="A40" s="261" t="s">
        <v>2164</v>
      </c>
      <c r="B40" s="216" t="s">
        <v>2165</v>
      </c>
      <c r="C40" s="1466">
        <f>F21</f>
        <v>0.02</v>
      </c>
      <c r="D40" s="242" t="s">
        <v>2166</v>
      </c>
      <c r="E40" s="238"/>
      <c r="F40" s="2504">
        <f>F21</f>
        <v>0.02</v>
      </c>
      <c r="G40" s="240" t="s">
        <v>2167</v>
      </c>
    </row>
    <row r="41" spans="1:7" s="220" customFormat="1" ht="13.5" customHeight="1">
      <c r="A41" s="261" t="s">
        <v>2168</v>
      </c>
      <c r="B41" s="216" t="s">
        <v>2169</v>
      </c>
      <c r="C41" s="238">
        <f ca="1">ROUND(SUM(C42:C43),0)</f>
        <v>3278592</v>
      </c>
      <c r="D41" s="241">
        <f ca="1">C44</f>
        <v>5.9999999999999995E-4</v>
      </c>
      <c r="E41" s="242" t="s">
        <v>2166</v>
      </c>
      <c r="F41" s="2505">
        <f ca="1">F22</f>
        <v>4.2000000000000003E-2</v>
      </c>
      <c r="G41" s="240" t="str">
        <f>IF('数据-取费表'!B22&lt;=1,"单利计息","复利计息")</f>
        <v>复利计息</v>
      </c>
    </row>
    <row r="42" spans="1:7" ht="13.5" customHeight="1">
      <c r="A42" s="888" t="s">
        <v>791</v>
      </c>
      <c r="B42" s="221" t="s">
        <v>2170</v>
      </c>
      <c r="C42" s="244">
        <f ca="1">ROUND(IF('数据-取费表'!B22&lt;=1,C33*F22*'数据-取费表'!B20/2,C33*(POWER((1+F22),'数据-取费表'!B20/2)-1)),0)</f>
        <v>3214306</v>
      </c>
      <c r="D42" s="244"/>
      <c r="E42" s="244"/>
      <c r="F42" s="245"/>
      <c r="G42" s="3425" t="s">
        <v>2218</v>
      </c>
    </row>
    <row r="43" spans="1:7" ht="13.5" customHeight="1">
      <c r="A43" s="888" t="s">
        <v>792</v>
      </c>
      <c r="B43" s="221" t="s">
        <v>2172</v>
      </c>
      <c r="C43" s="244">
        <f ca="1">ROUND(IF('数据-取费表'!B22&lt;=1,C39*F22*'数据-取费表'!B20/2,C39*(POWER((1+F22),'数据-取费表'!B20/2)-1)),0)</f>
        <v>64286</v>
      </c>
      <c r="D43" s="244"/>
      <c r="E43" s="244"/>
      <c r="F43" s="245"/>
      <c r="G43" s="3426"/>
    </row>
    <row r="44" spans="1:7" ht="13.5" customHeight="1">
      <c r="A44" s="888" t="s">
        <v>793</v>
      </c>
      <c r="B44" s="221" t="s">
        <v>2173</v>
      </c>
      <c r="C44" s="244">
        <f ca="1">ROUND(IF('数据-取费表'!B22&lt;=1,C40*F22*'数据-取费表'!B20/2,C40*(POWER((1+F22),'数据-取费表'!B20/2)-1)),4)</f>
        <v>5.9999999999999995E-4</v>
      </c>
      <c r="D44" s="244"/>
      <c r="E44" s="244"/>
      <c r="F44" s="245"/>
      <c r="G44" s="3427"/>
    </row>
    <row r="45" spans="1:7" s="220" customFormat="1" ht="13.5" customHeight="1">
      <c r="A45" s="261" t="s">
        <v>2174</v>
      </c>
      <c r="B45" s="250" t="s">
        <v>2140</v>
      </c>
      <c r="C45" s="251">
        <f ca="1">C46</f>
        <v>10462216</v>
      </c>
      <c r="D45" s="241">
        <f ca="1">C47</f>
        <v>2E-3</v>
      </c>
      <c r="E45" s="242" t="s">
        <v>2166</v>
      </c>
      <c r="F45" s="2506">
        <f ca="1">F27</f>
        <v>0.1</v>
      </c>
      <c r="G45" s="253" t="s">
        <v>2175</v>
      </c>
    </row>
    <row r="46" spans="1:7" s="220" customFormat="1" ht="13.5" customHeight="1">
      <c r="A46" s="888" t="s">
        <v>791</v>
      </c>
      <c r="B46" s="254" t="s">
        <v>2176</v>
      </c>
      <c r="C46" s="255">
        <f ca="1">ROUND((C33+C39)*F27,0)</f>
        <v>10462216</v>
      </c>
      <c r="D46" s="269"/>
      <c r="E46" s="242"/>
      <c r="F46" s="252"/>
      <c r="G46" s="253"/>
    </row>
    <row r="47" spans="1:7" s="220" customFormat="1" ht="13.5" customHeight="1">
      <c r="A47" s="888" t="s">
        <v>792</v>
      </c>
      <c r="B47" s="254" t="s">
        <v>2177</v>
      </c>
      <c r="C47" s="244">
        <f ca="1">ROUND(C40*F27,4)</f>
        <v>2E-3</v>
      </c>
      <c r="D47" s="269"/>
      <c r="E47" s="242"/>
      <c r="F47" s="252"/>
      <c r="G47" s="253"/>
    </row>
    <row r="48" spans="1:7" s="220" customFormat="1" ht="13.5" customHeight="1">
      <c r="A48" s="261" t="s">
        <v>2139</v>
      </c>
      <c r="B48" s="216" t="s">
        <v>2178</v>
      </c>
      <c r="C48" s="268">
        <f>ROUND(F30/(1+'数据-取费表'!C42),4)</f>
        <v>5.2400000000000002E-2</v>
      </c>
      <c r="D48" s="242" t="s">
        <v>2166</v>
      </c>
      <c r="E48" s="238"/>
      <c r="F48" s="2505">
        <f>F30</f>
        <v>5.5000000000000007E-2</v>
      </c>
      <c r="G48" s="240" t="s">
        <v>2179</v>
      </c>
    </row>
    <row r="49" spans="1:7" ht="16.5" customHeight="1">
      <c r="A49" s="261" t="s">
        <v>2145</v>
      </c>
      <c r="B49" s="216" t="s">
        <v>2219</v>
      </c>
      <c r="C49" s="238">
        <f ca="1">ROUND((C33+C39+C41+C45)/(1-C40-D41-D45-C48),0)</f>
        <v>127959968</v>
      </c>
      <c r="D49" s="238"/>
      <c r="E49" s="238"/>
      <c r="F49" s="270"/>
      <c r="G49" s="240" t="s">
        <v>2181</v>
      </c>
    </row>
    <row r="50" spans="1:7" s="264" customFormat="1">
      <c r="A50" s="261" t="s">
        <v>2182</v>
      </c>
      <c r="B50" s="216" t="s">
        <v>2183</v>
      </c>
      <c r="C50" s="238"/>
      <c r="D50" s="238"/>
      <c r="E50" s="238"/>
      <c r="F50" s="270">
        <f>IF('数据-取费表'!B24=0,'数据-取费表'!N16,1)</f>
        <v>1</v>
      </c>
      <c r="G50" s="253"/>
    </row>
    <row r="51" spans="1:7" ht="16.5" customHeight="1">
      <c r="A51" s="261" t="s">
        <v>2185</v>
      </c>
      <c r="B51" s="216" t="s">
        <v>2220</v>
      </c>
      <c r="C51" s="238">
        <f ca="1">ROUND(C49*F50,0)</f>
        <v>127959968</v>
      </c>
      <c r="D51" s="238"/>
      <c r="E51" s="238"/>
      <c r="F51" s="270"/>
      <c r="G51" s="240" t="s">
        <v>2187</v>
      </c>
    </row>
    <row r="52" spans="1:7" s="214" customFormat="1" ht="16.5" thickBot="1">
      <c r="A52" s="271" t="s">
        <v>2188</v>
      </c>
      <c r="B52" s="272"/>
      <c r="C52" s="273">
        <f ca="1">C31+C51</f>
        <v>132809509</v>
      </c>
      <c r="D52" s="272"/>
      <c r="E52" s="272"/>
      <c r="F52" s="272"/>
      <c r="G52" s="274"/>
    </row>
    <row r="55" spans="1:7" ht="15">
      <c r="B55" s="276" t="s">
        <v>2189</v>
      </c>
      <c r="C55" s="277"/>
    </row>
    <row r="56" spans="1:7">
      <c r="B56" s="279" t="s">
        <v>1418</v>
      </c>
      <c r="C56" s="281">
        <f ca="1">1-C57</f>
        <v>3.7000000000000033E-2</v>
      </c>
    </row>
    <row r="57" spans="1:7">
      <c r="B57" s="279" t="s">
        <v>1419</v>
      </c>
      <c r="C57" s="280">
        <f ca="1">ROUND(C51/C52,3)</f>
        <v>0.96299999999999997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2221</v>
      </c>
      <c r="B1" s="1324"/>
      <c r="C1" s="1325" t="s">
        <v>6</v>
      </c>
      <c r="D1" s="1323"/>
      <c r="E1" s="3006"/>
      <c r="F1" s="3006"/>
      <c r="G1" s="2869"/>
      <c r="H1" s="3006"/>
      <c r="I1" s="3006"/>
      <c r="J1" s="3006"/>
      <c r="K1" s="3007">
        <f>MATCH(C1,'数据-取费表'!A6:A16,0)+5</f>
        <v>6</v>
      </c>
    </row>
    <row r="2" spans="1:33" ht="18" customHeight="1">
      <c r="A2" s="207" t="s">
        <v>2089</v>
      </c>
      <c r="B2" s="210">
        <f ca="1">C32</f>
        <v>7440</v>
      </c>
      <c r="C2" s="282" t="s">
        <v>2222</v>
      </c>
      <c r="D2" s="282"/>
      <c r="E2" s="3006"/>
      <c r="F2" s="3006"/>
      <c r="G2" s="3006"/>
      <c r="H2" s="3006"/>
      <c r="I2" s="3006"/>
      <c r="J2" s="3006"/>
      <c r="K2" s="3006"/>
    </row>
    <row r="3" spans="1:33" ht="18" customHeight="1" thickBot="1">
      <c r="A3" s="209" t="s">
        <v>2091</v>
      </c>
      <c r="B3" s="210">
        <f ca="1">ROUND(B2*10000/IF(C1="",'数据-汇总表'!E3,INDIRECT("'数据-取费表'!K"&amp;$K$1)),0)</f>
        <v>3942</v>
      </c>
      <c r="C3" s="282" t="s">
        <v>2223</v>
      </c>
      <c r="D3" s="282"/>
      <c r="E3" s="3006"/>
      <c r="F3" s="3006"/>
      <c r="G3" s="3006"/>
      <c r="H3" s="3006"/>
      <c r="I3" s="3006"/>
      <c r="J3" s="3006"/>
      <c r="K3" s="3006"/>
    </row>
    <row r="4" spans="1:33" s="893" customFormat="1" ht="16.5" customHeight="1">
      <c r="A4" s="890" t="s">
        <v>2224</v>
      </c>
      <c r="B4" s="891"/>
      <c r="C4" s="933">
        <f ca="1">SUM(C8:K8)</f>
        <v>13545</v>
      </c>
      <c r="D4" s="891"/>
      <c r="E4" s="891"/>
      <c r="F4" s="891"/>
      <c r="G4" s="891"/>
      <c r="H4" s="891"/>
      <c r="I4" s="891"/>
      <c r="J4" s="891"/>
      <c r="K4" s="892"/>
    </row>
    <row r="5" spans="1:33" s="897" customFormat="1" ht="15">
      <c r="A5" s="894" t="s">
        <v>2225</v>
      </c>
      <c r="B5" s="895" t="s">
        <v>2226</v>
      </c>
      <c r="C5" s="2015" t="s">
        <v>6</v>
      </c>
      <c r="D5" s="2015"/>
      <c r="E5" s="2015"/>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f ca="1">收益法!B3</f>
        <v>7177</v>
      </c>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18872.330000000002</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2230</v>
      </c>
      <c r="B8" s="169" t="s">
        <v>2231</v>
      </c>
      <c r="C8" s="934">
        <f ca="1">收益法!B2</f>
        <v>13545</v>
      </c>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3781</v>
      </c>
      <c r="D11" s="910"/>
      <c r="E11" s="335"/>
      <c r="F11" s="911">
        <f ca="1">1-IF('数据-取费表'!B24=0,1,IF(C1="",'数据-取费表'!N16,INDIRECT("'数据-取费表'!n"&amp;$K$1)))</f>
        <v>0.4</v>
      </c>
      <c r="G11" s="8"/>
      <c r="H11" s="905"/>
      <c r="I11" s="905"/>
      <c r="J11" s="905"/>
      <c r="K11" s="906"/>
    </row>
    <row r="12" spans="1:33" s="912" customFormat="1" ht="13.5" customHeight="1">
      <c r="A12" s="908" t="s">
        <v>1242</v>
      </c>
      <c r="B12" s="909" t="s">
        <v>2240</v>
      </c>
      <c r="C12" s="24">
        <f ca="1">ROUND(C11*F12,0)</f>
        <v>113</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151</v>
      </c>
      <c r="D14" s="955">
        <f ca="1">IF(C1="",'数据-汇总表'!E3,INDIRECT("'数据-取费表'!K"&amp;$K$1)+INDIRECT("'数据-取费表'!S"&amp;$K$1))</f>
        <v>18907.050000000003</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57</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4102</v>
      </c>
      <c r="D16" s="915"/>
      <c r="E16" s="920"/>
      <c r="F16" s="921"/>
      <c r="G16" s="136"/>
      <c r="H16" s="1321"/>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18907.050000000003</v>
      </c>
      <c r="E17" s="24">
        <f>'数据-取费表'!B32</f>
        <v>0</v>
      </c>
      <c r="F17" s="915"/>
      <c r="G17" s="136" t="s">
        <v>2250</v>
      </c>
      <c r="H17" s="1321"/>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7"/>
      <c r="H18" s="1320"/>
      <c r="I18" s="2018"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0</v>
      </c>
      <c r="F19" s="913"/>
      <c r="G19" s="15"/>
      <c r="H19" s="1322"/>
      <c r="I19" s="918"/>
      <c r="J19" s="918"/>
      <c r="K19" s="919"/>
    </row>
    <row r="20" spans="1:33" s="912" customFormat="1" ht="13.5" customHeight="1">
      <c r="A20" s="908" t="s">
        <v>806</v>
      </c>
      <c r="B20" s="909" t="s">
        <v>2254</v>
      </c>
      <c r="C20" s="24">
        <f ca="1">ROUND(D20*E20/10000,0)</f>
        <v>0</v>
      </c>
      <c r="D20" s="955">
        <f ca="1">IF(C1="",'数据-汇总表'!E6,IF(INDIRECT("'数据-取费表'!c"&amp;$K$1)="住宅",INDIRECT("'数据-取费表'!s"&amp;$K$1),INDIRECT("'数据-取费表'!k"&amp;$K$1)+INDIRECT("'数据-取费表'!s"&amp;$K$1)))</f>
        <v>18907.050000000003</v>
      </c>
      <c r="E20" s="24">
        <f>'数据-取费表'!B28</f>
        <v>0</v>
      </c>
      <c r="F20" s="913"/>
      <c r="G20" s="15"/>
      <c r="H20" s="918"/>
      <c r="I20" s="918"/>
      <c r="J20" s="918"/>
      <c r="K20" s="919"/>
    </row>
    <row r="21" spans="1:33" s="912" customFormat="1" ht="13.5" customHeight="1">
      <c r="A21" s="898" t="s">
        <v>802</v>
      </c>
      <c r="B21" s="922" t="s">
        <v>2255</v>
      </c>
      <c r="C21" s="923">
        <f ca="1">C16+C17+C18</f>
        <v>4102</v>
      </c>
      <c r="D21" s="924"/>
      <c r="E21" s="287"/>
      <c r="F21" s="287"/>
      <c r="G21" s="136" t="s">
        <v>2256</v>
      </c>
      <c r="H21" s="916"/>
      <c r="I21" s="916"/>
      <c r="J21" s="916"/>
      <c r="K21" s="917"/>
    </row>
    <row r="22" spans="1:33" s="912" customFormat="1" ht="13.5" customHeight="1">
      <c r="A22" s="898" t="s">
        <v>2228</v>
      </c>
      <c r="B22" s="922" t="s">
        <v>2257</v>
      </c>
      <c r="C22" s="923">
        <f ca="1">ROUND(C21*F22,0)</f>
        <v>82</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108</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44</v>
      </c>
      <c r="D25" s="286">
        <f ca="1">C26</f>
        <v>2.1399999999999999E-2</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2.1399999999999999E-2</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2267</v>
      </c>
      <c r="C27" s="1240">
        <f ca="1">ROUND(IF('数据-取费表'!B22&lt;=1,(C21+C22+C23)*F25*'数据-取费表'!B24/2,(C21+C22+C23)*(POWER((1+F25),'数据-取费表'!B24/2)-1)),0)</f>
        <v>44</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2268</v>
      </c>
      <c r="B28" s="2020" t="s">
        <v>2269</v>
      </c>
      <c r="C28" s="293">
        <f ca="1">C30</f>
        <v>429</v>
      </c>
      <c r="D28" s="286">
        <f ca="1">C29</f>
        <v>3.4299999999999997E-2</v>
      </c>
      <c r="E28" s="288" t="s">
        <v>15</v>
      </c>
      <c r="F28" s="294">
        <f ca="1">IF(C1="",'数据-取费表'!Q16,INDIRECT("'数据-取费表'!q"&amp;$K$1))</f>
        <v>0.1</v>
      </c>
      <c r="G28" s="926"/>
      <c r="H28" s="927"/>
      <c r="I28" s="927"/>
      <c r="J28" s="927"/>
      <c r="K28" s="928"/>
    </row>
    <row r="29" spans="1:33" s="297" customFormat="1" ht="13.5" customHeight="1">
      <c r="A29" s="908" t="s">
        <v>803</v>
      </c>
      <c r="B29" s="931" t="s">
        <v>2270</v>
      </c>
      <c r="C29" s="290">
        <f ca="1">ROUND((1+C24)*F28*'数据-取费表'!B24/'数据-取费表'!B20,4)</f>
        <v>3.4299999999999997E-2</v>
      </c>
      <c r="D29" s="290"/>
      <c r="E29" s="291"/>
      <c r="F29" s="296"/>
      <c r="G29" s="136" t="s">
        <v>2271</v>
      </c>
      <c r="H29" s="916"/>
      <c r="I29" s="916"/>
      <c r="J29" s="916"/>
      <c r="K29" s="917"/>
    </row>
    <row r="30" spans="1:33" s="297" customFormat="1" ht="13.5" customHeight="1">
      <c r="A30" s="908" t="s">
        <v>804</v>
      </c>
      <c r="B30" s="931" t="s">
        <v>2272</v>
      </c>
      <c r="C30" s="298">
        <f ca="1">ROUND((C21+C22+C23)*F28,0)</f>
        <v>429</v>
      </c>
      <c r="D30" s="290"/>
      <c r="E30" s="291"/>
      <c r="F30" s="296"/>
      <c r="G30" s="136"/>
      <c r="H30" s="916"/>
      <c r="I30" s="916"/>
      <c r="J30" s="916"/>
      <c r="K30" s="917"/>
    </row>
    <row r="31" spans="1:33" s="912" customFormat="1" ht="13.5" customHeight="1" thickBot="1">
      <c r="A31" s="2021" t="s">
        <v>2273</v>
      </c>
      <c r="B31" s="942" t="s">
        <v>2274</v>
      </c>
      <c r="C31" s="943">
        <f ca="1">ROUND(C4*F31/(1+'数据-取费表'!C42),0)</f>
        <v>710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7440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 zoomScale="85" zoomScaleNormal="70" zoomScaleSheetLayoutView="85" workbookViewId="0">
      <selection activeCell="D2" sqref="D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t="s">
        <v>6</v>
      </c>
      <c r="D1" s="1515" t="s">
        <v>3160</v>
      </c>
      <c r="E1" s="1516" t="s">
        <v>1292</v>
      </c>
      <c r="F1" s="1193">
        <f ca="1">J53</f>
        <v>35.61</v>
      </c>
      <c r="G1" s="1531">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1420</v>
      </c>
      <c r="B2" s="1539">
        <f ca="1">C40+J29+L46</f>
        <v>13545</v>
      </c>
      <c r="C2" s="1540" t="s">
        <v>1421</v>
      </c>
      <c r="D2" s="1540"/>
      <c r="E2" s="1541"/>
      <c r="F2" s="1542"/>
      <c r="G2" s="2904"/>
      <c r="H2" s="2893"/>
      <c r="I2" s="2893"/>
      <c r="J2" s="2893"/>
      <c r="K2" s="2894"/>
      <c r="L2" s="2893"/>
      <c r="M2" s="2893"/>
    </row>
    <row r="3" spans="1:37" ht="18" customHeight="1" thickBot="1">
      <c r="A3" s="1543" t="s">
        <v>1422</v>
      </c>
      <c r="B3" s="1544">
        <f ca="1">IF(ISERROR(B2*10000/F43),0,ROUND(B2*10000/F43,0))</f>
        <v>7177</v>
      </c>
      <c r="C3" s="1540" t="s">
        <v>1423</v>
      </c>
      <c r="D3" s="1540"/>
      <c r="E3" s="1541"/>
      <c r="F3" s="1542"/>
      <c r="G3" s="2904"/>
      <c r="H3" s="692" t="s">
        <v>1493</v>
      </c>
      <c r="I3" s="1535"/>
      <c r="J3" s="1535"/>
      <c r="K3" s="1536"/>
      <c r="L3" s="1535"/>
      <c r="M3" s="1535"/>
    </row>
    <row r="4" spans="1:37" ht="18" customHeight="1">
      <c r="A4" s="301" t="s">
        <v>1301</v>
      </c>
      <c r="B4" s="302" t="s">
        <v>1302</v>
      </c>
      <c r="C4" s="302" t="s">
        <v>1303</v>
      </c>
      <c r="D4" s="302" t="s">
        <v>1304</v>
      </c>
      <c r="E4" s="303" t="s">
        <v>1305</v>
      </c>
      <c r="F4" s="304"/>
      <c r="G4" s="1537"/>
      <c r="H4" s="301" t="s">
        <v>1301</v>
      </c>
      <c r="I4" s="302" t="s">
        <v>1302</v>
      </c>
      <c r="J4" s="302" t="s">
        <v>1303</v>
      </c>
      <c r="K4" s="302" t="s">
        <v>1304</v>
      </c>
      <c r="L4" s="303" t="s">
        <v>1305</v>
      </c>
      <c r="M4" s="304"/>
    </row>
    <row r="5" spans="1:37" ht="18" customHeight="1">
      <c r="A5" s="305">
        <v>1</v>
      </c>
      <c r="B5" s="306" t="s">
        <v>1306</v>
      </c>
      <c r="C5" s="1202">
        <f ca="1">C6+C10+C12</f>
        <v>1244</v>
      </c>
      <c r="D5" s="1517" t="s">
        <v>1307</v>
      </c>
      <c r="E5" s="1203"/>
      <c r="F5" s="1204"/>
      <c r="G5" s="1537"/>
      <c r="H5" s="305">
        <v>1</v>
      </c>
      <c r="I5" s="306" t="s">
        <v>1306</v>
      </c>
      <c r="J5" s="1202">
        <f ca="1">J6+J10+J12</f>
        <v>0</v>
      </c>
      <c r="K5" s="1517" t="s">
        <v>1307</v>
      </c>
      <c r="L5" s="1203"/>
      <c r="M5" s="1204"/>
    </row>
    <row r="6" spans="1:37" ht="18" customHeight="1">
      <c r="A6" s="1201" t="s">
        <v>1003</v>
      </c>
      <c r="B6" s="3430" t="s">
        <v>1308</v>
      </c>
      <c r="C6" s="1206">
        <f ca="1">ROUND(F6*F8*F7*(1-F9)/10000,0)</f>
        <v>1242</v>
      </c>
      <c r="D6" s="160" t="s">
        <v>2786</v>
      </c>
      <c r="E6" s="308" t="s">
        <v>1310</v>
      </c>
      <c r="F6" s="309">
        <f ca="1">INDIRECT("'数据-取费表'!u"&amp;$G$1)</f>
        <v>2</v>
      </c>
      <c r="G6" s="1537"/>
      <c r="H6" s="1201" t="s">
        <v>1003</v>
      </c>
      <c r="I6" s="3430" t="s">
        <v>1308</v>
      </c>
      <c r="J6" s="307">
        <f ca="1">ROUND(M6*M8*M7*(1-M9)/10000,0)</f>
        <v>0</v>
      </c>
      <c r="K6" s="160" t="s">
        <v>2785</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18907.050000000003</v>
      </c>
      <c r="G7" s="1537"/>
      <c r="H7" s="310"/>
      <c r="I7" s="3431"/>
      <c r="J7" s="312"/>
      <c r="K7" s="313"/>
      <c r="L7" s="308" t="s">
        <v>1311</v>
      </c>
      <c r="M7" s="309">
        <f ca="1">F7</f>
        <v>18907.050000000003</v>
      </c>
    </row>
    <row r="8" spans="1:37" ht="18" customHeight="1">
      <c r="A8" s="310"/>
      <c r="B8" s="3431"/>
      <c r="C8" s="312"/>
      <c r="D8" s="313"/>
      <c r="E8" s="308" t="s">
        <v>1312</v>
      </c>
      <c r="F8" s="309">
        <f ca="1">INDIRECT("'数据-取费表'!ai"&amp;$G$1)</f>
        <v>365</v>
      </c>
      <c r="G8" s="1537"/>
      <c r="H8" s="310"/>
      <c r="I8" s="3431"/>
      <c r="J8" s="312"/>
      <c r="K8" s="313"/>
      <c r="L8" s="308" t="s">
        <v>1312</v>
      </c>
      <c r="M8" s="309">
        <f ca="1">INDIRECT("'数据-取费表'!ai"&amp;$G$1)</f>
        <v>365</v>
      </c>
    </row>
    <row r="9" spans="1:37" ht="18" customHeight="1">
      <c r="A9" s="310"/>
      <c r="B9" s="3432"/>
      <c r="C9" s="312"/>
      <c r="D9" s="313"/>
      <c r="E9" s="308" t="s">
        <v>1313</v>
      </c>
      <c r="F9" s="318">
        <f ca="1">INDIRECT("'数据-取费表'!w"&amp;$G$1)</f>
        <v>0.1</v>
      </c>
      <c r="G9" s="1537"/>
      <c r="H9" s="310"/>
      <c r="I9" s="3432"/>
      <c r="J9" s="312"/>
      <c r="K9" s="313"/>
      <c r="L9" s="319" t="s">
        <v>1313</v>
      </c>
      <c r="M9" s="320">
        <f ca="1">INDIRECT("'数据-取费表'!ab"&amp;$G$1)</f>
        <v>0</v>
      </c>
    </row>
    <row r="10" spans="1:37" ht="18" customHeight="1">
      <c r="A10" s="1201" t="s">
        <v>1007</v>
      </c>
      <c r="B10" s="1518" t="s">
        <v>1314</v>
      </c>
      <c r="C10" s="322">
        <f ca="1">ROUND(IF(F10="押一",C6/12*F11,IF(F10="押二",C6/12*2*F11,IF(F10="押三",C6/12*3*F11,C11*F11))),0)</f>
        <v>2</v>
      </c>
      <c r="D10" s="1519" t="s">
        <v>2794</v>
      </c>
      <c r="E10" s="319" t="s">
        <v>1315</v>
      </c>
      <c r="F10" s="1248" t="s">
        <v>3161</v>
      </c>
      <c r="G10" s="1537"/>
      <c r="H10" s="1201" t="s">
        <v>1007</v>
      </c>
      <c r="I10" s="1518" t="s">
        <v>1314</v>
      </c>
      <c r="J10" s="307">
        <f ca="1">ROUND(IF(M10="押一",J6/12*M11,IF(M10="押二",J6/12*2*M11,IF(M10="押三",J6/12*3*M11,J11*M11))),0)</f>
        <v>0</v>
      </c>
      <c r="K10" s="1519" t="s">
        <v>2793</v>
      </c>
      <c r="L10" s="319" t="s">
        <v>1315</v>
      </c>
      <c r="M10" s="1248" t="s">
        <v>1316</v>
      </c>
    </row>
    <row r="11" spans="1:37" ht="18" customHeight="1">
      <c r="A11" s="314"/>
      <c r="B11" s="1520" t="s">
        <v>1293</v>
      </c>
      <c r="C11" s="1090"/>
      <c r="D11" s="1521"/>
      <c r="E11" s="319" t="s">
        <v>1317</v>
      </c>
      <c r="F11" s="320">
        <f ca="1">'数据-取费表'!B39</f>
        <v>1.4999999999999999E-2</v>
      </c>
      <c r="G11" s="1537"/>
      <c r="H11" s="1209"/>
      <c r="I11" s="1520" t="s">
        <v>1293</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12795</v>
      </c>
      <c r="D13" s="1213" t="s">
        <v>1320</v>
      </c>
      <c r="E13" s="1213" t="s">
        <v>1321</v>
      </c>
      <c r="F13" s="1214">
        <f ca="1">INDIRECT("'数据-取费表'!y"&amp;$G$1)</f>
        <v>1</v>
      </c>
      <c r="G13" s="1537"/>
      <c r="H13" s="1211">
        <v>2</v>
      </c>
      <c r="I13" s="1212" t="s">
        <v>1319</v>
      </c>
      <c r="J13" s="1200">
        <f ca="1">ROUND(J14*J15,0)</f>
        <v>0</v>
      </c>
      <c r="K13" s="1219" t="s">
        <v>1320</v>
      </c>
      <c r="L13" s="1545"/>
      <c r="M13" s="1546"/>
    </row>
    <row r="14" spans="1:37" ht="18" customHeight="1">
      <c r="A14" s="1113" t="s">
        <v>1002</v>
      </c>
      <c r="B14" s="308" t="s">
        <v>1322</v>
      </c>
      <c r="C14" s="324">
        <f ca="1">INDIRECT("'数据-取费表'!m"&amp;$G$1)+INDIRECT("'数据-取费表'!t"&amp;$G$1)</f>
        <v>9453</v>
      </c>
      <c r="D14" s="1498" t="s">
        <v>1323</v>
      </c>
      <c r="E14" s="1495"/>
      <c r="F14" s="325"/>
      <c r="G14" s="1537"/>
      <c r="H14" s="1113" t="s">
        <v>1003</v>
      </c>
      <c r="I14" s="308" t="s">
        <v>1324</v>
      </c>
      <c r="J14" s="24">
        <f ca="1">C29</f>
        <v>12795</v>
      </c>
      <c r="K14" s="15"/>
      <c r="L14" s="916"/>
      <c r="M14" s="917"/>
    </row>
    <row r="15" spans="1:37" s="1550" customFormat="1" ht="18" customHeight="1" thickBot="1">
      <c r="A15" s="1113" t="s">
        <v>1004</v>
      </c>
      <c r="B15" s="308" t="s">
        <v>1325</v>
      </c>
      <c r="C15" s="24">
        <f ca="1">ROUND(C14*F15,0)</f>
        <v>284</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7"/>
      <c r="H16" s="1211" t="s">
        <v>998</v>
      </c>
      <c r="I16" s="1212" t="s">
        <v>1329</v>
      </c>
      <c r="J16" s="316">
        <f ca="1">ROUND(J17+J22+J23+J24,0)</f>
        <v>238</v>
      </c>
      <c r="K16" s="1219" t="s">
        <v>1330</v>
      </c>
      <c r="L16" s="1220"/>
      <c r="M16" s="1204"/>
    </row>
    <row r="17" spans="1:37" s="1550" customFormat="1" ht="18" customHeight="1">
      <c r="A17" s="1113" t="s">
        <v>1295</v>
      </c>
      <c r="B17" s="308" t="s">
        <v>1331</v>
      </c>
      <c r="C17" s="24">
        <f ca="1">ROUND(F17*(F43+INDIRECT("'数据-取费表'!S"&amp;$G$1))/10000,0)</f>
        <v>378</v>
      </c>
      <c r="D17" s="308" t="s">
        <v>1332</v>
      </c>
      <c r="E17" s="308" t="s">
        <v>1333</v>
      </c>
      <c r="F17" s="26">
        <f>'数据-取费表'!B35</f>
        <v>200</v>
      </c>
      <c r="G17" s="1549"/>
      <c r="H17" s="1113" t="s">
        <v>1003</v>
      </c>
      <c r="I17" s="308" t="s">
        <v>1334</v>
      </c>
      <c r="J17" s="2503">
        <f ca="1">ROUND(IF(AND(项目基本情况!B11="自然人",项目基本情况!B10="北京市"),J6*M17/(1+'数据-取费表'!C42),J18+J19+J20),0)</f>
        <v>110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142</v>
      </c>
      <c r="D18" s="308" t="s">
        <v>1326</v>
      </c>
      <c r="E18" s="308" t="s">
        <v>1327</v>
      </c>
      <c r="F18" s="328">
        <f>'数据-取费表'!B36</f>
        <v>1.4999999999999999E-2</v>
      </c>
      <c r="G18" s="1549"/>
      <c r="H18" s="1113" t="s">
        <v>1002</v>
      </c>
      <c r="I18" s="308" t="s">
        <v>1338</v>
      </c>
      <c r="J18" s="24">
        <f ca="1">ROUND(J6*M18/(1+'数据-取费表'!C42),2)</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10257</v>
      </c>
      <c r="D19" s="136" t="s">
        <v>1341</v>
      </c>
      <c r="E19" s="1513"/>
      <c r="F19" s="26"/>
      <c r="G19" s="1537"/>
      <c r="H19" s="1113" t="s">
        <v>1004</v>
      </c>
      <c r="I19" s="308" t="s">
        <v>1342</v>
      </c>
      <c r="J19" s="24">
        <f ca="1">IF(K19="按租金收入计税",ROUND(J6*M19/(1+'数据-取费表'!C42),2),ROUND(C29*M19*0.7,2))</f>
        <v>107.48</v>
      </c>
      <c r="K19" s="1523" t="s">
        <v>1343</v>
      </c>
      <c r="L19" s="308" t="s">
        <v>1327</v>
      </c>
      <c r="M19" s="328">
        <f>IF(K19="按租金收入计税",'数据-取费表'!B51,'数据-取费表'!B50)</f>
        <v>1.2E-2</v>
      </c>
    </row>
    <row r="20" spans="1:37" s="1550" customFormat="1" ht="18" customHeight="1">
      <c r="A20" s="1113" t="s">
        <v>1007</v>
      </c>
      <c r="B20" s="308" t="s">
        <v>1344</v>
      </c>
      <c r="C20" s="24">
        <f ca="1">ROUND(C19*F20,0)</f>
        <v>205</v>
      </c>
      <c r="D20" s="329" t="s">
        <v>1345</v>
      </c>
      <c r="E20" s="308" t="s">
        <v>1327</v>
      </c>
      <c r="F20" s="328">
        <f>'数据-取费表'!B37</f>
        <v>0.02</v>
      </c>
      <c r="G20" s="1549"/>
      <c r="H20" s="1113" t="s">
        <v>1294</v>
      </c>
      <c r="I20" s="160" t="s">
        <v>1346</v>
      </c>
      <c r="J20" s="25">
        <f ca="1">ROUND(M20*M21/10000,2)</f>
        <v>2.31</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18</v>
      </c>
      <c r="D21" s="329" t="s">
        <v>1350</v>
      </c>
      <c r="E21" s="308" t="s">
        <v>1351</v>
      </c>
      <c r="F21" s="328">
        <f>'数据-取费表'!B38</f>
        <v>0.02</v>
      </c>
      <c r="G21" s="1549"/>
      <c r="H21" s="332"/>
      <c r="I21" s="317"/>
      <c r="J21" s="29"/>
      <c r="K21" s="333"/>
      <c r="L21" s="308" t="s">
        <v>1352</v>
      </c>
      <c r="M21" s="309">
        <f ca="1">INDIRECT("'数据-取费表'!r"&amp;$G$1)</f>
        <v>15415.9</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ROUND(J14*M22,1)</f>
        <v>128</v>
      </c>
      <c r="K22" s="1497" t="s">
        <v>1355</v>
      </c>
      <c r="L22" s="308" t="s">
        <v>1327</v>
      </c>
      <c r="M22" s="334">
        <f ca="1">INDIRECT("'数据-取费表'!Ak"&amp;$G$1)</f>
        <v>0.01</v>
      </c>
    </row>
    <row r="23" spans="1:37" s="1550" customFormat="1" ht="18" customHeight="1">
      <c r="A23" s="1113" t="s">
        <v>1002</v>
      </c>
      <c r="B23" s="308" t="s">
        <v>1356</v>
      </c>
      <c r="C23" s="24">
        <f ca="1">IF('数据-取费表'!B22&lt;=1,ROUND(C19*F24*F23/2,0)+ROUND(C20*F24*F23/2,0),ROUND(C19*(POWER((1+F24),F23/2)-1),0)+ROUND(C20*(POWER((1+F24),F23/2)-1),0))</f>
        <v>327</v>
      </c>
      <c r="D23" s="335" t="str">
        <f>IF(F23&lt;=1,"(建造成本+管理费用)×利率×(建设周期÷2)","(建造成本+管理费用)×((1+利率)^(建设周期÷2)-1)")</f>
        <v>(建造成本+管理费用)×((1+利率)^(建设周期÷2)-1)</v>
      </c>
      <c r="E23" s="308" t="s">
        <v>1357</v>
      </c>
      <c r="F23" s="331">
        <f>'数据-取费表'!B20</f>
        <v>1.5</v>
      </c>
      <c r="G23" s="1549"/>
      <c r="H23" s="1113" t="s">
        <v>1043</v>
      </c>
      <c r="I23" s="308" t="s">
        <v>1358</v>
      </c>
      <c r="J23" s="24">
        <f ca="1">ROUND(J13*M23,1)</f>
        <v>0</v>
      </c>
      <c r="K23" s="1497" t="s">
        <v>1359</v>
      </c>
      <c r="L23" s="308" t="s">
        <v>1360</v>
      </c>
      <c r="M23" s="336">
        <f ca="1">INDIRECT("'数据-取费表'!Al"&amp;$G$1)</f>
        <v>1.5E-3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5.9999999999999995E-4</v>
      </c>
      <c r="D24" s="335" t="str">
        <f>IF(F23&lt;=1,"销售费用×利率×(建设周期÷2)","销售费用×((1+利率)^(建设周期÷2)-1)")</f>
        <v>销售费用×((1+利率)^(建设周期÷2)-1)</v>
      </c>
      <c r="E24" s="308" t="s">
        <v>1363</v>
      </c>
      <c r="F24" s="337">
        <f ca="1">'数据-取费表'!B40</f>
        <v>4.2000000000000003E-2</v>
      </c>
      <c r="G24" s="1549"/>
      <c r="H24" s="1221" t="s">
        <v>1298</v>
      </c>
      <c r="I24" s="1222" t="s">
        <v>1344</v>
      </c>
      <c r="J24" s="1223">
        <f ca="1">ROUND(J5*M24,1)</f>
        <v>0</v>
      </c>
      <c r="K24" s="1224" t="s">
        <v>1364</v>
      </c>
      <c r="L24" s="1222" t="s">
        <v>1360</v>
      </c>
      <c r="M24" s="1218">
        <f ca="1">INDIRECT("'数据-取费表'!Am"&amp;$G$1)</f>
        <v>0.01</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3" t="s">
        <v>1365</v>
      </c>
      <c r="B25" s="308" t="s">
        <v>1366</v>
      </c>
      <c r="C25" s="24"/>
      <c r="D25" s="136" t="s">
        <v>1367</v>
      </c>
      <c r="E25" s="1513"/>
      <c r="F25" s="26"/>
      <c r="G25" s="1537"/>
      <c r="H25" s="1211" t="s">
        <v>999</v>
      </c>
      <c r="I25" s="1226" t="s">
        <v>1368</v>
      </c>
      <c r="J25" s="316">
        <f ca="1">J5-J16</f>
        <v>-238</v>
      </c>
      <c r="K25" s="1227" t="s">
        <v>1369</v>
      </c>
      <c r="L25" s="1228"/>
      <c r="M25" s="1229"/>
    </row>
    <row r="26" spans="1:37">
      <c r="A26" s="1113" t="s">
        <v>1002</v>
      </c>
      <c r="B26" s="308" t="s">
        <v>1370</v>
      </c>
      <c r="C26" s="24">
        <f ca="1">ROUND((C19+C20)*F26,0)</f>
        <v>1046</v>
      </c>
      <c r="D26" s="329" t="s">
        <v>1371</v>
      </c>
      <c r="E26" s="319" t="s">
        <v>1372</v>
      </c>
      <c r="F26" s="318">
        <f ca="1">INDIRECT("'数据-取费表'!q"&amp;$G$1)</f>
        <v>0.1</v>
      </c>
      <c r="G26" s="1537"/>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2E-3</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12795</v>
      </c>
      <c r="D29" s="1224"/>
      <c r="E29" s="1222"/>
      <c r="F29" s="1225"/>
      <c r="G29" s="1549"/>
      <c r="H29" s="340" t="s">
        <v>1001</v>
      </c>
      <c r="I29" s="341" t="s">
        <v>1384</v>
      </c>
      <c r="J29" s="342">
        <f ca="1">ROUND(J26/(1+F40)^F41,0)</f>
        <v>0</v>
      </c>
      <c r="K29" s="343" t="s">
        <v>1385</v>
      </c>
      <c r="L29" s="344"/>
      <c r="M29" s="345">
        <f ca="1">INDIRECT("'数据-取费表'!k"&amp;$G$1)</f>
        <v>18872.330000000002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369</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209</v>
      </c>
      <c r="D31" s="1498" t="s">
        <v>1335</v>
      </c>
      <c r="E31" s="1497" t="s">
        <v>1386</v>
      </c>
      <c r="F31" s="2502" t="str">
        <f>IF(项目基本情况!B11="企业","——",IF('数据-取费表'!B10="住宅",IF(F6*F7*F8/12/(1+'数据-取费表'!F30)&gt;100000,4%,2.5%),IF(F6*F7*F8/12/(1+'数据-取费表'!F30)&gt;100000,12%,7%)))</f>
        <v>——</v>
      </c>
      <c r="G31" s="1537"/>
      <c r="H31" s="3008" t="s">
        <v>2984</v>
      </c>
      <c r="I31" s="1551"/>
      <c r="J31" s="1552"/>
      <c r="K31" s="2670"/>
      <c r="L31" s="2896"/>
      <c r="M31" s="2897"/>
    </row>
    <row r="32" spans="1:37" ht="18" customHeight="1">
      <c r="A32" s="1113" t="s">
        <v>1002</v>
      </c>
      <c r="B32" s="308" t="s">
        <v>1338</v>
      </c>
      <c r="C32" s="24">
        <f ca="1">IF(项目基本情况!B11="自然人","——",ROUND(C6*F32/(1+'数据-取费表'!C42),2))</f>
        <v>65.06</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141.94</v>
      </c>
      <c r="D33" s="1523" t="s">
        <v>3162</v>
      </c>
      <c r="E33" s="308" t="s">
        <v>1327</v>
      </c>
      <c r="F33" s="328">
        <f>IF(D33="按票据","——",IF(D33="按租金收入计税",'数据-取费表'!B51,'数据-取费表'!B50))</f>
        <v>0.12</v>
      </c>
      <c r="G33" s="1537"/>
      <c r="H33" s="2898"/>
      <c r="I33" s="1551"/>
      <c r="J33" s="1552"/>
      <c r="K33" s="2899"/>
      <c r="L33" s="2898"/>
      <c r="M33" s="2898"/>
    </row>
    <row r="34" spans="1:18" ht="18" customHeight="1">
      <c r="A34" s="1201" t="s">
        <v>1294</v>
      </c>
      <c r="B34" s="160" t="s">
        <v>1346</v>
      </c>
      <c r="C34" s="25">
        <f ca="1">IF(项目基本情况!B11="自然人","——",ROUND(F34*F35/10000,2))</f>
        <v>2.31</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15415.9</v>
      </c>
      <c r="G35" s="1537"/>
      <c r="H35" s="2895"/>
      <c r="I35" s="1551"/>
      <c r="J35" s="1552"/>
      <c r="K35" s="2899"/>
      <c r="L35" s="2898"/>
      <c r="M35" s="2898"/>
    </row>
    <row r="36" spans="1:18" ht="18" customHeight="1">
      <c r="A36" s="1234" t="s">
        <v>1007</v>
      </c>
      <c r="B36" s="308" t="s">
        <v>1354</v>
      </c>
      <c r="C36" s="24">
        <f ca="1">ROUND(C29*F36,1)</f>
        <v>128</v>
      </c>
      <c r="D36" s="1497" t="s">
        <v>1387</v>
      </c>
      <c r="E36" s="308" t="s">
        <v>1327</v>
      </c>
      <c r="F36" s="334">
        <f ca="1">INDIRECT("'数据-取费表'!Ak"&amp;$G$1)</f>
        <v>0.01</v>
      </c>
      <c r="G36" s="1537"/>
      <c r="H36" s="2898"/>
      <c r="I36" s="1551"/>
      <c r="J36" s="1552"/>
      <c r="K36" s="2739"/>
      <c r="L36" s="2898"/>
      <c r="M36" s="2898"/>
    </row>
    <row r="37" spans="1:18" ht="18" customHeight="1">
      <c r="A37" s="1113" t="s">
        <v>1043</v>
      </c>
      <c r="B37" s="308" t="s">
        <v>1358</v>
      </c>
      <c r="C37" s="24">
        <f ca="1">ROUND(C13*F37,1)</f>
        <v>19.2</v>
      </c>
      <c r="D37" s="1497" t="s">
        <v>1359</v>
      </c>
      <c r="E37" s="308" t="s">
        <v>1360</v>
      </c>
      <c r="F37" s="336">
        <f ca="1">INDIRECT("'数据-取费表'!Al"&amp;$G$1)</f>
        <v>1.5E-3</v>
      </c>
      <c r="G37" s="1537"/>
      <c r="H37" s="2898"/>
      <c r="I37" s="1551"/>
      <c r="J37" s="1552"/>
      <c r="K37" s="2739"/>
      <c r="L37" s="2898"/>
      <c r="M37" s="2898"/>
    </row>
    <row r="38" spans="1:18" ht="18" customHeight="1" thickBot="1">
      <c r="A38" s="1221" t="s">
        <v>1298</v>
      </c>
      <c r="B38" s="1222" t="s">
        <v>1344</v>
      </c>
      <c r="C38" s="1223">
        <f ca="1">ROUND(C5*F38,1)</f>
        <v>12.4</v>
      </c>
      <c r="D38" s="1224" t="s">
        <v>1364</v>
      </c>
      <c r="E38" s="1222" t="s">
        <v>1360</v>
      </c>
      <c r="F38" s="1218">
        <f ca="1">INDIRECT("'数据-取费表'!Am"&amp;$G$1)</f>
        <v>0.01</v>
      </c>
      <c r="G38" s="1537"/>
      <c r="H38" s="2898"/>
      <c r="I38" s="1551"/>
      <c r="J38" s="1552"/>
      <c r="K38" s="2902"/>
      <c r="L38" s="2898"/>
      <c r="M38" s="2898"/>
    </row>
    <row r="39" spans="1:18" ht="24.6" customHeight="1" thickTop="1">
      <c r="A39" s="1211" t="s">
        <v>999</v>
      </c>
      <c r="B39" s="1226" t="s">
        <v>1388</v>
      </c>
      <c r="C39" s="316">
        <f ca="1">C5-C30</f>
        <v>875</v>
      </c>
      <c r="D39" s="1227" t="s">
        <v>1389</v>
      </c>
      <c r="E39" s="1228"/>
      <c r="F39" s="1229"/>
      <c r="G39" s="1537"/>
      <c r="H39" s="2898"/>
      <c r="I39" s="1551"/>
      <c r="J39" s="1552"/>
      <c r="K39" s="2902"/>
      <c r="L39" s="2898"/>
      <c r="M39" s="2898"/>
    </row>
    <row r="40" spans="1:18" ht="18" customHeight="1">
      <c r="A40" s="305" t="s">
        <v>1000</v>
      </c>
      <c r="B40" s="306" t="s">
        <v>1390</v>
      </c>
      <c r="C40" s="307">
        <f ca="1">ROUND(C39*(1-((1+F42)/(1+F40))^F41)/(F40-F42),0)</f>
        <v>13545</v>
      </c>
      <c r="D40" s="330" t="s">
        <v>1374</v>
      </c>
      <c r="E40" s="308" t="s">
        <v>1375</v>
      </c>
      <c r="F40" s="318">
        <f ca="1">INDIRECT("'数据-取费表'!I"&amp;$G$1)</f>
        <v>5.5E-2</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35.61</v>
      </c>
      <c r="G41" s="1537"/>
      <c r="H41" s="1324"/>
      <c r="I41" s="1551"/>
      <c r="J41" s="1552"/>
      <c r="K41" s="2739"/>
      <c r="L41" s="1324"/>
      <c r="M41" s="1324"/>
    </row>
    <row r="42" spans="1:18" ht="18" customHeight="1">
      <c r="A42" s="314"/>
      <c r="B42" s="315"/>
      <c r="C42" s="316"/>
      <c r="D42" s="333"/>
      <c r="E42" s="308" t="s">
        <v>1382</v>
      </c>
      <c r="F42" s="318">
        <f ca="1">INDIRECT("'数据-取费表'!v"&amp;$G$1)</f>
        <v>0</v>
      </c>
      <c r="G42" s="1537"/>
      <c r="H42" s="1324"/>
      <c r="I42" s="1551"/>
      <c r="J42" s="1552"/>
      <c r="K42" s="2739"/>
      <c r="L42" s="1324"/>
      <c r="M42" s="1324"/>
    </row>
    <row r="43" spans="1:18" ht="18" customHeight="1" thickBot="1">
      <c r="A43" s="340" t="s">
        <v>1001</v>
      </c>
      <c r="B43" s="341" t="s">
        <v>1392</v>
      </c>
      <c r="C43" s="342">
        <f ca="1">ROUND(C40*10000/F43,0)</f>
        <v>7177</v>
      </c>
      <c r="D43" s="343" t="s">
        <v>1393</v>
      </c>
      <c r="E43" s="344" t="s">
        <v>1394</v>
      </c>
      <c r="F43" s="345">
        <f ca="1">INDIRECT("'数据-取费表'!k"&amp;$G$1)</f>
        <v>18872.330000000002</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5"/>
      <c r="O45" s="2903" t="s">
        <v>1424</v>
      </c>
      <c r="P45" s="1614"/>
      <c r="Q45" s="1614"/>
      <c r="R45" s="1614"/>
    </row>
    <row r="46" spans="1:18" s="1537" customFormat="1" ht="13.5" thickBot="1">
      <c r="A46" s="1557" t="s">
        <v>1425</v>
      </c>
      <c r="C46" s="1558">
        <f ca="1">C68-C40</f>
        <v>-32493</v>
      </c>
      <c r="D46" s="1559" t="str">
        <f>C2</f>
        <v>万元</v>
      </c>
      <c r="E46" s="1553"/>
      <c r="F46" s="1553"/>
      <c r="I46" s="1560" t="s">
        <v>1426</v>
      </c>
      <c r="J46" s="1561"/>
      <c r="K46" s="1562"/>
      <c r="L46" s="1563" t="str">
        <f ca="1">IF(M47="住宅",0,IF(L48&gt;J51,L60,J60))</f>
        <v>0</v>
      </c>
      <c r="O46" s="1564" t="s">
        <v>1427</v>
      </c>
      <c r="P46" s="1565" t="s">
        <v>1428</v>
      </c>
      <c r="Q46" s="1566" t="s">
        <v>1429</v>
      </c>
      <c r="R46" s="1566" t="s">
        <v>1430</v>
      </c>
    </row>
    <row r="47" spans="1:18" s="1537" customFormat="1" ht="13.5" thickBot="1">
      <c r="A47" s="1077" t="s">
        <v>1301</v>
      </c>
      <c r="B47" s="1109" t="s">
        <v>1302</v>
      </c>
      <c r="C47" s="1249" t="s">
        <v>1303</v>
      </c>
      <c r="D47" s="1109" t="s">
        <v>1304</v>
      </c>
      <c r="E47" s="1189" t="s">
        <v>1305</v>
      </c>
      <c r="F47" s="1190"/>
      <c r="G47" s="731"/>
      <c r="I47" s="1567" t="s">
        <v>1431</v>
      </c>
      <c r="J47" s="1568" t="s">
        <v>3163</v>
      </c>
      <c r="K47" s="1569" t="s">
        <v>1432</v>
      </c>
      <c r="L47" s="1570">
        <f ca="1">INDIRECT("'数据-取费表'!d"&amp;$G$1)</f>
        <v>50</v>
      </c>
      <c r="M47" s="1533" t="str">
        <f>IF(ISNUMBER(FIND("住宅",C1)),"住宅","非住宅")</f>
        <v>非住宅</v>
      </c>
      <c r="O47" s="1571" t="s">
        <v>1008</v>
      </c>
      <c r="P47" s="1572" t="s">
        <v>1433</v>
      </c>
      <c r="Q47" s="1573">
        <f ca="1">C40+J29</f>
        <v>13545</v>
      </c>
      <c r="R47" s="1573" t="s">
        <v>1434</v>
      </c>
    </row>
    <row r="48" spans="1:18" s="1537" customFormat="1" ht="28.5" thickBot="1">
      <c r="A48" s="1242" t="s">
        <v>1044</v>
      </c>
      <c r="B48" s="306" t="s">
        <v>1306</v>
      </c>
      <c r="C48" s="1512">
        <f ca="1">C49+C53+C55</f>
        <v>0</v>
      </c>
      <c r="D48" s="1244"/>
      <c r="E48" s="1245"/>
      <c r="F48" s="1093"/>
      <c r="G48" s="731"/>
      <c r="H48" s="732"/>
      <c r="I48" s="1574" t="s">
        <v>1435</v>
      </c>
      <c r="J48" s="1575" t="s">
        <v>3164</v>
      </c>
      <c r="K48" s="1576" t="s">
        <v>1436</v>
      </c>
      <c r="L48" s="1577">
        <f ca="1">INDIRECT("'数据-取费表'!f"&amp;$G$1)</f>
        <v>36.11</v>
      </c>
      <c r="O48" s="1571" t="s">
        <v>1009</v>
      </c>
      <c r="P48" s="1572" t="s">
        <v>1437</v>
      </c>
      <c r="Q48" s="1573" t="str">
        <f ca="1">J60</f>
        <v>0</v>
      </c>
      <c r="R48" s="1573" t="s">
        <v>1438</v>
      </c>
    </row>
    <row r="49" spans="1:18" s="1537" customFormat="1" ht="13.5" thickBot="1">
      <c r="A49" s="1106" t="s">
        <v>1045</v>
      </c>
      <c r="B49" s="1524" t="s">
        <v>1395</v>
      </c>
      <c r="C49" s="1246">
        <f ca="1">ROUND(F49*F51*F50*(1-F52)/10000,0)</f>
        <v>0</v>
      </c>
      <c r="D49" s="1186" t="s">
        <v>2787</v>
      </c>
      <c r="E49" s="1525" t="s">
        <v>1396</v>
      </c>
      <c r="F49" s="1191"/>
      <c r="G49" s="1578"/>
      <c r="H49" s="732"/>
      <c r="I49" s="1574" t="s">
        <v>1439</v>
      </c>
      <c r="J49" s="1579">
        <v>2022</v>
      </c>
      <c r="K49" s="1576" t="s">
        <v>1440</v>
      </c>
      <c r="L49" s="1580"/>
      <c r="O49" s="1581" t="s">
        <v>1010</v>
      </c>
      <c r="P49" s="1572" t="s">
        <v>1441</v>
      </c>
      <c r="Q49" s="1573">
        <f ca="1">C29</f>
        <v>12795</v>
      </c>
      <c r="R49" s="1573" t="s">
        <v>1434</v>
      </c>
    </row>
    <row r="50" spans="1:18" s="1537" customFormat="1" ht="13.5" thickBot="1">
      <c r="A50" s="1107"/>
      <c r="B50" s="1110"/>
      <c r="C50" s="1250"/>
      <c r="D50" s="1084"/>
      <c r="E50" s="1187" t="s">
        <v>1311</v>
      </c>
      <c r="F50" s="1188">
        <f ca="1">F7</f>
        <v>18907.050000000003</v>
      </c>
      <c r="H50" s="732"/>
      <c r="I50" s="1574" t="s">
        <v>1442</v>
      </c>
      <c r="J50" s="1582">
        <f>SUMPRODUCT((I63:I65=J47)*(J62:L62=J48)*(J63:L65))</f>
        <v>60</v>
      </c>
      <c r="K50" s="1576" t="s">
        <v>1443</v>
      </c>
      <c r="L50" s="1580"/>
      <c r="M50" s="1583"/>
      <c r="O50" s="1581" t="s">
        <v>1011</v>
      </c>
      <c r="P50" s="1572" t="s">
        <v>1444</v>
      </c>
      <c r="Q50" s="1584" t="e">
        <f ca="1">J58</f>
        <v>#VALUE!</v>
      </c>
      <c r="R50" s="1573"/>
    </row>
    <row r="51" spans="1:18" s="1537" customFormat="1" ht="13.5" thickBot="1">
      <c r="A51" s="1108"/>
      <c r="B51" s="1110"/>
      <c r="C51" s="1111"/>
      <c r="D51" s="1084"/>
      <c r="E51" s="1112" t="s">
        <v>1312</v>
      </c>
      <c r="F51" s="309">
        <f ca="1">F8</f>
        <v>365</v>
      </c>
      <c r="I51" s="1585" t="s">
        <v>1445</v>
      </c>
      <c r="J51" s="1586">
        <f>IF(J49="",J50,J49+J50-YEAR('数据-取费表'!B2))</f>
        <v>60</v>
      </c>
      <c r="K51" s="1587" t="s">
        <v>1446</v>
      </c>
      <c r="L51" s="1588">
        <f ca="1">ROUND(-PV(INDIRECT("'数据-取费表'!h"&amp;$G$1),J51,(C39-C13*C76),0),0)</f>
        <v>-426</v>
      </c>
      <c r="M51" s="1589"/>
      <c r="O51" s="1581" t="s">
        <v>1012</v>
      </c>
      <c r="P51" s="1572" t="s">
        <v>1447</v>
      </c>
      <c r="Q51" s="1584">
        <f>J52</f>
        <v>7.4999999999999997E-2</v>
      </c>
      <c r="R51" s="1573"/>
    </row>
    <row r="52" spans="1:18" s="1537" customFormat="1" ht="13.5" thickBot="1">
      <c r="A52" s="1108"/>
      <c r="B52" s="1110"/>
      <c r="C52" s="1111"/>
      <c r="D52" s="1084"/>
      <c r="E52" s="1112" t="s">
        <v>1313</v>
      </c>
      <c r="F52" s="1185"/>
      <c r="I52" s="1590" t="s">
        <v>1448</v>
      </c>
      <c r="J52" s="1591">
        <v>7.4999999999999997E-2</v>
      </c>
      <c r="K52" s="1590" t="s">
        <v>1449</v>
      </c>
      <c r="L52" s="1591"/>
      <c r="O52" s="1581" t="s">
        <v>1013</v>
      </c>
      <c r="P52" s="1572" t="s">
        <v>1450</v>
      </c>
      <c r="Q52" s="1573">
        <f ca="1">J53</f>
        <v>35.61</v>
      </c>
      <c r="R52" s="1573" t="s">
        <v>1451</v>
      </c>
    </row>
    <row r="53" spans="1:18" s="1537" customFormat="1" ht="24.75" thickBot="1">
      <c r="A53" s="1286" t="s">
        <v>1046</v>
      </c>
      <c r="B53" s="1526" t="s">
        <v>1314</v>
      </c>
      <c r="C53" s="322">
        <f ca="1">ROUND(IF(F53="押一",C49/12*F11,IF(F53="押二",C49/12*2*F11,IF(F53="押三",C49/12*3*F11,C54*F11))),0)</f>
        <v>0</v>
      </c>
      <c r="D53" s="1519" t="s">
        <v>2793</v>
      </c>
      <c r="E53" s="319" t="s">
        <v>1315</v>
      </c>
      <c r="F53" s="1248"/>
      <c r="I53" s="1592" t="s">
        <v>1452</v>
      </c>
      <c r="J53" s="2355">
        <f ca="1">IF(M47="住宅",IF(D1="——",MAX(J51,L48),MAX(J51,L48-'数据-取费表'!B24)),IF(D1="——",MIN(J51,L48),MIN(J51,L48-'数据-取费表'!B24)))</f>
        <v>35.61</v>
      </c>
      <c r="K53" s="3428" t="s">
        <v>1453</v>
      </c>
      <c r="L53" s="3429"/>
      <c r="O53" s="1571" t="s">
        <v>1014</v>
      </c>
      <c r="P53" s="1572" t="s">
        <v>1454</v>
      </c>
      <c r="Q53" s="1573">
        <f ca="1">Q47+Q48</f>
        <v>13545</v>
      </c>
      <c r="R53" s="1573" t="s">
        <v>1015</v>
      </c>
    </row>
    <row r="54" spans="1:18" s="1537" customFormat="1" ht="13.5" thickBot="1">
      <c r="A54" s="1287"/>
      <c r="B54" s="1520" t="s">
        <v>1293</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#VALUE!</v>
      </c>
      <c r="K55" s="1598" t="s">
        <v>1457</v>
      </c>
      <c r="L55" s="1599" t="s">
        <v>1458</v>
      </c>
      <c r="O55" s="1564" t="s">
        <v>1427</v>
      </c>
      <c r="P55" s="1565" t="s">
        <v>1428</v>
      </c>
      <c r="Q55" s="1566" t="s">
        <v>1429</v>
      </c>
      <c r="R55" s="1566" t="s">
        <v>1430</v>
      </c>
    </row>
    <row r="56" spans="1:18" s="1537" customFormat="1" ht="25.5" thickTop="1" thickBot="1">
      <c r="A56" s="1088">
        <v>2</v>
      </c>
      <c r="B56" s="1089" t="s">
        <v>1319</v>
      </c>
      <c r="C56" s="238">
        <f ca="1">C13</f>
        <v>12795</v>
      </c>
      <c r="D56" s="1600"/>
      <c r="E56" s="1601"/>
      <c r="F56" s="1593"/>
      <c r="I56" s="1602" t="s">
        <v>1459</v>
      </c>
      <c r="J56" s="1603" t="s">
        <v>3125</v>
      </c>
      <c r="K56" s="1574" t="s">
        <v>1460</v>
      </c>
      <c r="L56" s="1577" t="str">
        <f ca="1">IF(L48&lt;J51,"——",L48-J53)</f>
        <v>——</v>
      </c>
      <c r="O56" s="1571" t="s">
        <v>1008</v>
      </c>
      <c r="P56" s="1572" t="s">
        <v>1433</v>
      </c>
      <c r="Q56" s="1573">
        <f ca="1">C40+J29</f>
        <v>13545</v>
      </c>
      <c r="R56" s="1573" t="s">
        <v>1434</v>
      </c>
    </row>
    <row r="57" spans="1:18" s="1537" customFormat="1" ht="24.75" thickBot="1">
      <c r="A57" s="1604"/>
      <c r="B57" s="1081" t="s">
        <v>1383</v>
      </c>
      <c r="C57" s="244">
        <f ca="1">C29</f>
        <v>12795</v>
      </c>
      <c r="D57" s="1605"/>
      <c r="E57" s="1606"/>
      <c r="F57" s="1607"/>
      <c r="I57" s="1608" t="s">
        <v>1461</v>
      </c>
      <c r="J57" s="1609" t="str">
        <f ca="1">IF(OR(M47="住宅",J51&lt;L48,J56="是"),"——",J51-L48)</f>
        <v>——</v>
      </c>
      <c r="K57" s="1574" t="s">
        <v>1462</v>
      </c>
      <c r="L57" s="1577" t="str">
        <f ca="1">IF(L48&lt;J51,"——",IF(L55="比较法",L49,IF(L55="基准地价",L50,L51)))</f>
        <v>——</v>
      </c>
      <c r="O57" s="1571" t="s">
        <v>1009</v>
      </c>
      <c r="P57" s="1572" t="s">
        <v>1463</v>
      </c>
      <c r="Q57" s="1573">
        <f ca="1">L60</f>
        <v>0</v>
      </c>
      <c r="R57" s="1573" t="s">
        <v>1464</v>
      </c>
    </row>
    <row r="58" spans="1:18" s="1537" customFormat="1" ht="24.75" thickBot="1">
      <c r="A58" s="321" t="s">
        <v>998</v>
      </c>
      <c r="B58" s="1089" t="s">
        <v>1329</v>
      </c>
      <c r="C58" s="322">
        <f ca="1">ROUND(C59+C64+C65+C66,0)</f>
        <v>1224</v>
      </c>
      <c r="D58" s="1091" t="s">
        <v>1330</v>
      </c>
      <c r="E58" s="1092"/>
      <c r="F58" s="1093"/>
      <c r="I58" s="1608" t="s">
        <v>1465</v>
      </c>
      <c r="J58" s="1610" t="e">
        <f ca="1">IF(J55&lt;0.4,0.4,J55)</f>
        <v>#VALUE!</v>
      </c>
      <c r="K58" s="1587" t="s">
        <v>1466</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1077</v>
      </c>
      <c r="D59" s="1094" t="s">
        <v>1335</v>
      </c>
      <c r="E59" s="1095" t="s">
        <v>1336</v>
      </c>
      <c r="F59" s="2502" t="str">
        <f>IF(项目基本情况!B11="企业","——",IF('数据-取费表'!B10="住宅",IF(F49*F50*F51/12/(1+'数据-取费表'!F30)&gt;100000,4%,2.5%),IF(F49*F50*F51/12/(1+'数据-取费表'!F30)&gt;100000,12%,7%)))</f>
        <v>——</v>
      </c>
      <c r="I59" s="1608" t="s">
        <v>1468</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7"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1" t="s">
        <v>1470</v>
      </c>
      <c r="J60" s="1612" t="str">
        <f ca="1">IF(OR(M47="住宅",J51&lt;L48,J56="是"),"0",ROUND(J59/(1+J52)^J53,0))</f>
        <v>0</v>
      </c>
      <c r="K60" s="1613" t="s">
        <v>1471</v>
      </c>
      <c r="L60" s="1612">
        <f ca="1">IF(OR(M47="住宅",L48&lt;J51),0,ROUND(L57*(L58/L59-1),0))</f>
        <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IF(项目基本情况!B11="自然人","——",IF(D61="按租金收入计税",ROUND(C49*F61/(1+'数据-取费表'!C42),2),IF(D61="按房产原值计税",ROUND(C57*F61*0.7,2),INDIRECT("'数据-取费表'!Aj"&amp;$G$1))))</f>
        <v>1074.78</v>
      </c>
      <c r="D61" s="1523" t="s">
        <v>1343</v>
      </c>
      <c r="E61" s="1081" t="s">
        <v>1399</v>
      </c>
      <c r="F61" s="328">
        <f t="shared" si="0"/>
        <v>0.12</v>
      </c>
      <c r="I61" s="1614"/>
      <c r="J61" s="1614"/>
      <c r="K61" s="1614"/>
      <c r="L61" s="1614"/>
      <c r="O61" s="1581" t="s">
        <v>1013</v>
      </c>
      <c r="P61" s="1572" t="str">
        <f>K59</f>
        <v>续建工期及建筑物耐用年限下的土地年期修正系数Kn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IF(项目基本情况!B11="自然人","——",ROUND(F62*F63/10000,2))</f>
        <v>2.31</v>
      </c>
      <c r="D62" s="1096" t="s">
        <v>1402</v>
      </c>
      <c r="E62" s="1081" t="s">
        <v>1403</v>
      </c>
      <c r="F62" s="331">
        <f t="shared" si="0"/>
        <v>1.5</v>
      </c>
      <c r="I62" s="1615" t="s">
        <v>1475</v>
      </c>
      <c r="J62" s="1616" t="s">
        <v>1476</v>
      </c>
      <c r="K62" s="1616" t="s">
        <v>1477</v>
      </c>
      <c r="L62" s="1616" t="s">
        <v>1478</v>
      </c>
      <c r="M62" s="1617" t="s">
        <v>1479</v>
      </c>
      <c r="O62" s="1571" t="s">
        <v>1014</v>
      </c>
      <c r="P62" s="1572" t="s">
        <v>1480</v>
      </c>
      <c r="Q62" s="1573">
        <f ca="1">Q56+Q57</f>
        <v>13545</v>
      </c>
      <c r="R62" s="1573" t="s">
        <v>1015</v>
      </c>
    </row>
    <row r="63" spans="1:18" s="1537" customFormat="1" ht="13.5" thickBot="1">
      <c r="A63" s="332"/>
      <c r="B63" s="1087"/>
      <c r="C63" s="29"/>
      <c r="D63" s="1097"/>
      <c r="E63" s="1081" t="s">
        <v>1404</v>
      </c>
      <c r="F63" s="309">
        <f t="shared" ca="1" si="0"/>
        <v>15415.9</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ROUND(C57*F64,1)</f>
        <v>128</v>
      </c>
      <c r="D64" s="1095" t="s">
        <v>1407</v>
      </c>
      <c r="E64" s="1081" t="s">
        <v>1399</v>
      </c>
      <c r="F64" s="334">
        <f t="shared" ca="1" si="0"/>
        <v>0.01</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ROUND(C56*F65,1)</f>
        <v>19.2</v>
      </c>
      <c r="D65" s="1095" t="s">
        <v>1359</v>
      </c>
      <c r="E65" s="1081" t="s">
        <v>1360</v>
      </c>
      <c r="F65" s="336">
        <f t="shared" ca="1" si="0"/>
        <v>1.5E-3</v>
      </c>
      <c r="I65" s="1615" t="s">
        <v>1484</v>
      </c>
      <c r="J65" s="1616">
        <v>40</v>
      </c>
      <c r="K65" s="1616">
        <v>30</v>
      </c>
      <c r="L65" s="1616">
        <v>50</v>
      </c>
      <c r="M65" s="1618">
        <v>0.02</v>
      </c>
      <c r="O65" s="1571" t="s">
        <v>1008</v>
      </c>
      <c r="P65" s="1572" t="s">
        <v>1485</v>
      </c>
      <c r="Q65" s="1573">
        <f ca="1">C40+J29</f>
        <v>13545</v>
      </c>
      <c r="R65" s="1573" t="s">
        <v>1434</v>
      </c>
    </row>
    <row r="66" spans="1:18" s="1537" customFormat="1" ht="16.5" thickBot="1">
      <c r="A66" s="1113" t="s">
        <v>1409</v>
      </c>
      <c r="B66" s="1081" t="s">
        <v>1344</v>
      </c>
      <c r="C66" s="24">
        <f ca="1">ROUND(C48*F66,1)</f>
        <v>0</v>
      </c>
      <c r="D66" s="1095" t="s">
        <v>1410</v>
      </c>
      <c r="E66" s="1081" t="s">
        <v>1327</v>
      </c>
      <c r="F66" s="318">
        <f t="shared" ca="1" si="0"/>
        <v>0.01</v>
      </c>
      <c r="O66" s="1571" t="s">
        <v>1009</v>
      </c>
      <c r="P66" s="1572" t="s">
        <v>1463</v>
      </c>
      <c r="Q66" s="1573">
        <f ca="1">L60</f>
        <v>0</v>
      </c>
      <c r="R66" s="1573" t="s">
        <v>1486</v>
      </c>
    </row>
    <row r="67" spans="1:18" s="1537" customFormat="1" ht="16.5" thickBot="1">
      <c r="A67" s="1088" t="s">
        <v>999</v>
      </c>
      <c r="B67" s="1098" t="s">
        <v>1368</v>
      </c>
      <c r="C67" s="322">
        <f ca="1">C48-C58</f>
        <v>-1224</v>
      </c>
      <c r="D67" s="1094" t="s">
        <v>1369</v>
      </c>
      <c r="E67" s="1099"/>
      <c r="F67" s="1100"/>
      <c r="O67" s="1581" t="s">
        <v>1010</v>
      </c>
      <c r="P67" s="1572" t="s">
        <v>1467</v>
      </c>
      <c r="Q67" s="1619">
        <f ca="1">L51</f>
        <v>-426</v>
      </c>
      <c r="R67" s="1573" t="s">
        <v>1487</v>
      </c>
    </row>
    <row r="68" spans="1:18" s="1537" customFormat="1" ht="16.5" thickBot="1">
      <c r="A68" s="1078" t="s">
        <v>1000</v>
      </c>
      <c r="B68" s="1079" t="s">
        <v>1390</v>
      </c>
      <c r="C68" s="307">
        <f ca="1">ROUND(C67*(1-((1+F70)/(1+F68))^F69)/(F68-F70),0)</f>
        <v>-18948</v>
      </c>
      <c r="D68" s="1096" t="s">
        <v>1374</v>
      </c>
      <c r="E68" s="1081" t="s">
        <v>1375</v>
      </c>
      <c r="F68" s="318">
        <f ca="1">F40</f>
        <v>5.5E-2</v>
      </c>
      <c r="O68" s="1581" t="s">
        <v>1011</v>
      </c>
      <c r="P68" s="1620" t="s">
        <v>1488</v>
      </c>
      <c r="Q68" s="1573">
        <f ca="1">ROUND(Q69-Q70*Q71,0)</f>
        <v>-21</v>
      </c>
      <c r="R68" s="1573" t="s">
        <v>1019</v>
      </c>
    </row>
    <row r="69" spans="1:18" s="1537" customFormat="1" ht="13.5" thickBot="1">
      <c r="A69" s="1082"/>
      <c r="B69" s="1083"/>
      <c r="C69" s="312"/>
      <c r="D69" s="1101" t="s">
        <v>1378</v>
      </c>
      <c r="E69" s="1081" t="s">
        <v>1379</v>
      </c>
      <c r="F69" s="339">
        <f ca="1">F41</f>
        <v>35.61</v>
      </c>
      <c r="O69" s="1581" t="s">
        <v>1016</v>
      </c>
      <c r="P69" s="1620" t="s">
        <v>1489</v>
      </c>
      <c r="Q69" s="1573">
        <f ca="1">C39</f>
        <v>875</v>
      </c>
      <c r="R69" s="1573" t="s">
        <v>1434</v>
      </c>
    </row>
    <row r="70" spans="1:18" s="1537" customFormat="1" ht="13.5" thickBot="1">
      <c r="A70" s="1085"/>
      <c r="B70" s="1086"/>
      <c r="C70" s="316"/>
      <c r="D70" s="1097"/>
      <c r="E70" s="1081" t="s">
        <v>1382</v>
      </c>
      <c r="F70" s="1185"/>
      <c r="O70" s="1581" t="s">
        <v>1017</v>
      </c>
      <c r="P70" s="1620" t="s">
        <v>1490</v>
      </c>
      <c r="Q70" s="1573">
        <f ca="1">C13</f>
        <v>12795</v>
      </c>
      <c r="R70" s="1573" t="s">
        <v>1434</v>
      </c>
    </row>
    <row r="71" spans="1:18" s="1537" customFormat="1" ht="13.5" thickBot="1">
      <c r="A71" s="1102" t="s">
        <v>1001</v>
      </c>
      <c r="B71" s="1103" t="s">
        <v>1392</v>
      </c>
      <c r="C71" s="342">
        <f ca="1">ROUND(C68*10000/F71,0)</f>
        <v>-10040</v>
      </c>
      <c r="D71" s="1104" t="s">
        <v>1393</v>
      </c>
      <c r="E71" s="1105" t="s">
        <v>1394</v>
      </c>
      <c r="F71" s="345">
        <f ca="1">F43</f>
        <v>18872.330000000002</v>
      </c>
      <c r="O71" s="1581" t="s">
        <v>1018</v>
      </c>
      <c r="P71" s="1620" t="s">
        <v>1491</v>
      </c>
      <c r="Q71" s="1584">
        <f ca="1">C76</f>
        <v>7.0000000000000007E-2</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续建工期及建筑物耐用年限下的土地年期修正系数Kn</v>
      </c>
      <c r="Q74" s="1573" t="e">
        <f ca="1">L59</f>
        <v>#DIV/0!</v>
      </c>
      <c r="R74" s="1573" t="s">
        <v>1474</v>
      </c>
    </row>
    <row r="75" spans="1:18" ht="13.5" thickBot="1">
      <c r="A75" s="1537"/>
      <c r="B75" s="346" t="s">
        <v>1411</v>
      </c>
      <c r="C75" s="347">
        <f ca="1">ROUND(C13*C76,0)</f>
        <v>896</v>
      </c>
      <c r="D75" s="1537"/>
      <c r="E75" s="1537"/>
      <c r="F75" s="1537"/>
      <c r="K75" s="1555"/>
      <c r="L75" s="1537"/>
      <c r="O75" s="1571" t="s">
        <v>1014</v>
      </c>
      <c r="P75" s="1572" t="s">
        <v>1454</v>
      </c>
      <c r="Q75" s="1573">
        <f ca="1">Q65+Q66</f>
        <v>13545</v>
      </c>
      <c r="R75" s="1573" t="s">
        <v>1015</v>
      </c>
    </row>
    <row r="76" spans="1:18">
      <c r="B76" s="348" t="s">
        <v>1412</v>
      </c>
      <c r="C76" s="349">
        <f ca="1">INDIRECT("'数据-取费表'!j"&amp;$G$1)</f>
        <v>7.0000000000000007E-2</v>
      </c>
      <c r="I76" s="1537"/>
      <c r="J76" s="1537"/>
      <c r="K76" s="1555"/>
      <c r="L76" s="1537"/>
    </row>
    <row r="77" spans="1:18">
      <c r="B77" s="350" t="s">
        <v>1413</v>
      </c>
      <c r="C77" s="351"/>
      <c r="I77" s="1537"/>
      <c r="J77" s="1537"/>
      <c r="K77" s="1555"/>
      <c r="L77" s="1537"/>
    </row>
    <row r="78" spans="1:18">
      <c r="B78" s="276" t="s">
        <v>1414</v>
      </c>
      <c r="C78" s="352"/>
    </row>
    <row r="79" spans="1:18">
      <c r="B79" s="346" t="s">
        <v>1415</v>
      </c>
      <c r="C79" s="280">
        <f ca="1">1-C80</f>
        <v>-2.4000000000000021E-2</v>
      </c>
    </row>
    <row r="80" spans="1:18">
      <c r="B80" s="346" t="s">
        <v>1416</v>
      </c>
      <c r="C80" s="280">
        <f ca="1">ROUND(C75/C39,3)</f>
        <v>1.024</v>
      </c>
    </row>
    <row r="81" spans="2:3">
      <c r="B81" s="276" t="s">
        <v>1417</v>
      </c>
      <c r="C81" s="244"/>
    </row>
    <row r="82" spans="2:3">
      <c r="B82" s="279" t="s">
        <v>1418</v>
      </c>
      <c r="C82" s="281">
        <f ca="1">1-C83</f>
        <v>5.5000000000000049E-2</v>
      </c>
    </row>
    <row r="83" spans="2:3">
      <c r="B83" s="279" t="s">
        <v>1419</v>
      </c>
      <c r="C83" s="280">
        <f ca="1">ROUND(C13/C40,3)</f>
        <v>0.94499999999999995</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c r="D1" s="1515"/>
      <c r="E1" s="1516" t="s">
        <v>1292</v>
      </c>
      <c r="F1" s="1193">
        <f ca="1">J53</f>
        <v>-0.5</v>
      </c>
      <c r="G1" s="1531">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1495</v>
      </c>
      <c r="B2" s="1539" t="e">
        <f ca="1">ROUND(D2/10000,0)</f>
        <v>#DIV/0!</v>
      </c>
      <c r="C2" s="1540" t="s">
        <v>1496</v>
      </c>
      <c r="D2" s="1624" t="e">
        <f ca="1">C40+J29+L46</f>
        <v>#DIV/0!</v>
      </c>
      <c r="E2" s="1541" t="s">
        <v>1497</v>
      </c>
      <c r="F2" s="1542"/>
      <c r="G2" s="2904"/>
      <c r="H2" s="2893"/>
      <c r="I2" s="2893"/>
      <c r="J2" s="2893"/>
      <c r="K2" s="2894"/>
      <c r="L2" s="2893"/>
      <c r="M2" s="2893"/>
    </row>
    <row r="3" spans="1:37" ht="18" customHeight="1" thickBot="1">
      <c r="A3" s="1543" t="s">
        <v>1498</v>
      </c>
      <c r="B3" s="1544">
        <f ca="1">IF(ISERROR(D2/F43),0,ROUND(D2/F43,0))</f>
        <v>0</v>
      </c>
      <c r="C3" s="1540" t="s">
        <v>1499</v>
      </c>
      <c r="D3" s="1540"/>
      <c r="E3" s="1541"/>
      <c r="F3" s="1542"/>
      <c r="G3" s="2904"/>
      <c r="H3" s="692" t="s">
        <v>1493</v>
      </c>
      <c r="I3" s="1535"/>
      <c r="J3" s="1535"/>
      <c r="K3" s="1536"/>
      <c r="L3" s="1535"/>
      <c r="M3" s="1535"/>
    </row>
    <row r="4" spans="1:37" ht="18" customHeight="1">
      <c r="A4" s="301" t="s">
        <v>1500</v>
      </c>
      <c r="B4" s="302" t="s">
        <v>1501</v>
      </c>
      <c r="C4" s="302" t="s">
        <v>1502</v>
      </c>
      <c r="D4" s="302" t="s">
        <v>1503</v>
      </c>
      <c r="E4" s="303" t="s">
        <v>1504</v>
      </c>
      <c r="F4" s="304"/>
      <c r="G4" s="1537"/>
      <c r="H4" s="301" t="s">
        <v>1500</v>
      </c>
      <c r="I4" s="302" t="s">
        <v>1501</v>
      </c>
      <c r="J4" s="302" t="s">
        <v>1502</v>
      </c>
      <c r="K4" s="302" t="s">
        <v>1503</v>
      </c>
      <c r="L4" s="303" t="s">
        <v>1504</v>
      </c>
      <c r="M4" s="304"/>
    </row>
    <row r="5" spans="1:37" ht="18" customHeight="1">
      <c r="A5" s="305">
        <v>1</v>
      </c>
      <c r="B5" s="306" t="s">
        <v>1505</v>
      </c>
      <c r="C5" s="1202">
        <f ca="1">C6+C10+C12</f>
        <v>0</v>
      </c>
      <c r="D5" s="1517" t="s">
        <v>1506</v>
      </c>
      <c r="E5" s="1203"/>
      <c r="F5" s="1204"/>
      <c r="G5" s="1537"/>
      <c r="H5" s="305">
        <v>1</v>
      </c>
      <c r="I5" s="306" t="s">
        <v>1505</v>
      </c>
      <c r="J5" s="1202">
        <f ca="1">J6+J10+J12</f>
        <v>0</v>
      </c>
      <c r="K5" s="1517" t="s">
        <v>1506</v>
      </c>
      <c r="L5" s="1203"/>
      <c r="M5" s="1204"/>
    </row>
    <row r="6" spans="1:37" ht="18" customHeight="1">
      <c r="A6" s="1201" t="s">
        <v>1003</v>
      </c>
      <c r="B6" s="3430" t="s">
        <v>1308</v>
      </c>
      <c r="C6" s="1206">
        <f ca="1">ROUND(F6*F8*F7*(1-F9),0)</f>
        <v>0</v>
      </c>
      <c r="D6" s="160" t="s">
        <v>2783</v>
      </c>
      <c r="E6" s="308" t="s">
        <v>1310</v>
      </c>
      <c r="F6" s="309">
        <f ca="1">INDIRECT("'数据-取费表'!u"&amp;$G$1)</f>
        <v>0</v>
      </c>
      <c r="G6" s="1537"/>
      <c r="H6" s="1201" t="s">
        <v>1003</v>
      </c>
      <c r="I6" s="3430" t="s">
        <v>1308</v>
      </c>
      <c r="J6" s="307">
        <f ca="1">ROUND(M6*M8*M7*(1-M9),0)</f>
        <v>0</v>
      </c>
      <c r="K6" s="1529" t="s">
        <v>2784</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0</v>
      </c>
      <c r="G7" s="1537"/>
      <c r="H7" s="310"/>
      <c r="I7" s="3431"/>
      <c r="J7" s="312"/>
      <c r="K7" s="313"/>
      <c r="L7" s="308" t="s">
        <v>1311</v>
      </c>
      <c r="M7" s="309">
        <f ca="1">F7</f>
        <v>0</v>
      </c>
    </row>
    <row r="8" spans="1:37" ht="18" customHeight="1">
      <c r="A8" s="310"/>
      <c r="B8" s="3431"/>
      <c r="C8" s="312"/>
      <c r="D8" s="313"/>
      <c r="E8" s="308" t="s">
        <v>1312</v>
      </c>
      <c r="F8" s="309">
        <f ca="1">INDIRECT("'数据-取费表'!ai"&amp;$G$1)</f>
        <v>0</v>
      </c>
      <c r="G8" s="1537"/>
      <c r="H8" s="310"/>
      <c r="I8" s="3431"/>
      <c r="J8" s="312"/>
      <c r="K8" s="313"/>
      <c r="L8" s="308" t="s">
        <v>1312</v>
      </c>
      <c r="M8" s="309">
        <f ca="1">INDIRECT("'数据-取费表'!ai"&amp;$G$1)</f>
        <v>0</v>
      </c>
    </row>
    <row r="9" spans="1:37" ht="18" customHeight="1">
      <c r="A9" s="310"/>
      <c r="B9" s="3432"/>
      <c r="C9" s="312"/>
      <c r="D9" s="313"/>
      <c r="E9" s="308" t="s">
        <v>1313</v>
      </c>
      <c r="F9" s="318">
        <f ca="1">INDIRECT("'数据-取费表'!w"&amp;$G$1)</f>
        <v>0</v>
      </c>
      <c r="G9" s="1537"/>
      <c r="H9" s="310"/>
      <c r="I9" s="3432"/>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2793</v>
      </c>
      <c r="E10" s="319" t="s">
        <v>1315</v>
      </c>
      <c r="F10" s="1248"/>
      <c r="G10" s="1537"/>
      <c r="H10" s="1201" t="s">
        <v>1007</v>
      </c>
      <c r="I10" s="1518" t="s">
        <v>1314</v>
      </c>
      <c r="J10" s="307">
        <f ca="1">ROUND(IF(M10="押一",J6/12*M11,IF(M10="押二",J6/12*2*M11,IF(M10="押三",J6/12*3*M11,J11*M11))),0)</f>
        <v>0</v>
      </c>
      <c r="K10" s="1530" t="s">
        <v>2795</v>
      </c>
      <c r="L10" s="319" t="s">
        <v>1315</v>
      </c>
      <c r="M10" s="1248"/>
    </row>
    <row r="11" spans="1:37" ht="18" customHeight="1">
      <c r="A11" s="314"/>
      <c r="B11" s="1520" t="s">
        <v>1507</v>
      </c>
      <c r="C11" s="1090"/>
      <c r="D11" s="313"/>
      <c r="E11" s="319" t="s">
        <v>1317</v>
      </c>
      <c r="F11" s="320">
        <f ca="1">'数据-取费表'!B39</f>
        <v>1.4999999999999999E-2</v>
      </c>
      <c r="G11" s="1537"/>
      <c r="H11" s="1209"/>
      <c r="I11" s="1520" t="s">
        <v>1508</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7"/>
      <c r="H13" s="1211">
        <v>2</v>
      </c>
      <c r="I13" s="1212" t="s">
        <v>1319</v>
      </c>
      <c r="J13" s="1200">
        <f ca="1">ROUND(J14*J15,0)</f>
        <v>0</v>
      </c>
      <c r="K13" s="1219" t="s">
        <v>1320</v>
      </c>
      <c r="L13" s="1545"/>
      <c r="M13" s="1546"/>
    </row>
    <row r="14" spans="1:37" ht="18" customHeight="1">
      <c r="A14" s="1113" t="s">
        <v>1002</v>
      </c>
      <c r="B14" s="308" t="s">
        <v>1322</v>
      </c>
      <c r="C14" s="324">
        <f ca="1">ROUND(INDIRECT("'数据-取费表'!l"&amp;$G$1)*F43+'数据-取费表'!L14*INDIRECT("'数据-取费表'!S"&amp;$G$1),0)</f>
        <v>0</v>
      </c>
      <c r="D14" s="1498" t="s">
        <v>1323</v>
      </c>
      <c r="E14" s="1495"/>
      <c r="F14" s="325"/>
      <c r="G14" s="1537"/>
      <c r="H14" s="1113" t="s">
        <v>1003</v>
      </c>
      <c r="I14" s="308" t="s">
        <v>1324</v>
      </c>
      <c r="J14" s="24">
        <f ca="1">C29</f>
        <v>0</v>
      </c>
      <c r="K14" s="15"/>
      <c r="L14" s="916"/>
      <c r="M14" s="917"/>
    </row>
    <row r="15" spans="1:37" s="1550" customFormat="1" ht="18" customHeight="1" thickBot="1">
      <c r="A15" s="1113" t="s">
        <v>1004</v>
      </c>
      <c r="B15" s="308" t="s">
        <v>1325</v>
      </c>
      <c r="C15" s="24">
        <f ca="1">ROUND(C14*F15,0)</f>
        <v>0</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7"/>
      <c r="H16" s="1211" t="s">
        <v>998</v>
      </c>
      <c r="I16" s="1212" t="s">
        <v>1329</v>
      </c>
      <c r="J16" s="316">
        <f ca="1">ROUND(J17+J22+J23+J24,0)</f>
        <v>0</v>
      </c>
      <c r="K16" s="1219" t="s">
        <v>1330</v>
      </c>
      <c r="L16" s="1220"/>
      <c r="M16" s="1204"/>
    </row>
    <row r="17" spans="1:37" s="1550" customFormat="1" ht="18" customHeight="1">
      <c r="A17" s="1113" t="s">
        <v>1295</v>
      </c>
      <c r="B17" s="308" t="s">
        <v>1331</v>
      </c>
      <c r="C17" s="24">
        <f ca="1">ROUND(F17*(F43+INDIRECT("'数据-取费表'!S"&amp;$G$1)),0)</f>
        <v>0</v>
      </c>
      <c r="D17" s="308" t="s">
        <v>1332</v>
      </c>
      <c r="E17" s="308" t="s">
        <v>1333</v>
      </c>
      <c r="F17" s="26">
        <f>'数据-取费表'!B35</f>
        <v>200</v>
      </c>
      <c r="G17" s="1549"/>
      <c r="H17" s="1113" t="s">
        <v>1003</v>
      </c>
      <c r="I17" s="308" t="s">
        <v>1334</v>
      </c>
      <c r="J17" s="2503">
        <f ca="1">ROUND(IF(AND(项目基本情况!B11="自然人",项目基本情况!B10="北京市"),J6*M17/(1+'数据-取费表'!C42),J18+J19+J20),0)</f>
        <v>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0</v>
      </c>
      <c r="D18" s="308" t="s">
        <v>1326</v>
      </c>
      <c r="E18" s="308" t="s">
        <v>1327</v>
      </c>
      <c r="F18" s="328">
        <f>'数据-取费表'!B36</f>
        <v>1.4999999999999999E-2</v>
      </c>
      <c r="G18" s="1549"/>
      <c r="H18" s="1113" t="s">
        <v>1002</v>
      </c>
      <c r="I18" s="308" t="s">
        <v>1338</v>
      </c>
      <c r="J18" s="24">
        <f ca="1">ROUND(J6*M18/(1+'数据-取费表'!C42),0)</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0</v>
      </c>
      <c r="D19" s="136" t="s">
        <v>1341</v>
      </c>
      <c r="E19" s="1513"/>
      <c r="F19" s="26"/>
      <c r="G19" s="1537"/>
      <c r="H19" s="1113" t="s">
        <v>1004</v>
      </c>
      <c r="I19" s="308" t="s">
        <v>1342</v>
      </c>
      <c r="J19" s="24">
        <f ca="1">IF(K19="按租金收入计税",ROUND(J6*M19/(1+'数据-取费表'!C42),0),ROUND(C29*M19*0.7,0))</f>
        <v>0</v>
      </c>
      <c r="K19" s="1523" t="s">
        <v>1343</v>
      </c>
      <c r="L19" s="308" t="s">
        <v>1327</v>
      </c>
      <c r="M19" s="328">
        <f>IF(K19="按租金收入计税",'数据-取费表'!B51,'数据-取费表'!B50)</f>
        <v>1.2E-2</v>
      </c>
    </row>
    <row r="20" spans="1:37" s="1550" customFormat="1" ht="18" customHeight="1">
      <c r="A20" s="1113" t="s">
        <v>1007</v>
      </c>
      <c r="B20" s="308" t="s">
        <v>1344</v>
      </c>
      <c r="C20" s="24">
        <f ca="1">ROUND(C19*F20,0)</f>
        <v>0</v>
      </c>
      <c r="D20" s="329" t="s">
        <v>1345</v>
      </c>
      <c r="E20" s="308" t="s">
        <v>1327</v>
      </c>
      <c r="F20" s="328">
        <f>'数据-取费表'!B37</f>
        <v>0.02</v>
      </c>
      <c r="G20" s="1549"/>
      <c r="H20" s="1113" t="s">
        <v>1294</v>
      </c>
      <c r="I20" s="160" t="s">
        <v>1346</v>
      </c>
      <c r="J20" s="25">
        <f ca="1">ROUND(M20*M21,0)</f>
        <v>0</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v>
      </c>
      <c r="D21" s="329" t="s">
        <v>1350</v>
      </c>
      <c r="E21" s="308" t="s">
        <v>1351</v>
      </c>
      <c r="F21" s="328">
        <f>'数据-取费表'!B38</f>
        <v>0.02</v>
      </c>
      <c r="G21" s="1549"/>
      <c r="H21" s="332"/>
      <c r="I21" s="317"/>
      <c r="J21" s="29"/>
      <c r="K21" s="333"/>
      <c r="L21" s="308" t="s">
        <v>1352</v>
      </c>
      <c r="M21" s="309">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ROUND(J14*M22,0)</f>
        <v>0</v>
      </c>
      <c r="K22" s="1497" t="s">
        <v>1355</v>
      </c>
      <c r="L22" s="308" t="s">
        <v>1327</v>
      </c>
      <c r="M22" s="334">
        <f ca="1">INDIRECT("'数据-取费表'!Ak"&amp;$G$1)</f>
        <v>0</v>
      </c>
    </row>
    <row r="23" spans="1:37" s="1550"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1.5</v>
      </c>
      <c r="G23" s="1549"/>
      <c r="H23" s="1113" t="s">
        <v>1043</v>
      </c>
      <c r="I23" s="308" t="s">
        <v>1358</v>
      </c>
      <c r="J23" s="24">
        <f ca="1">ROUND(J13*M23,0)</f>
        <v>0</v>
      </c>
      <c r="K23" s="1497" t="s">
        <v>1359</v>
      </c>
      <c r="L23" s="308" t="s">
        <v>1360</v>
      </c>
      <c r="M23" s="336">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5.9999999999999995E-4</v>
      </c>
      <c r="D24" s="335" t="str">
        <f>IF(F23&lt;=1,"销售费用×利率×(建设周期÷2)","销售费用×((1+利率)^(建设周期÷2)-1)")</f>
        <v>销售费用×((1+利率)^(建设周期÷2)-1)</v>
      </c>
      <c r="E24" s="308" t="s">
        <v>1363</v>
      </c>
      <c r="F24" s="337">
        <f ca="1">'数据-取费表'!B40</f>
        <v>4.2000000000000003E-2</v>
      </c>
      <c r="G24" s="1549"/>
      <c r="H24" s="1221" t="s">
        <v>1298</v>
      </c>
      <c r="I24" s="1222" t="s">
        <v>1344</v>
      </c>
      <c r="J24" s="1223">
        <f ca="1">ROUND(J5*M24,0)</f>
        <v>0</v>
      </c>
      <c r="K24" s="1224" t="s">
        <v>1364</v>
      </c>
      <c r="L24" s="1222" t="s">
        <v>1360</v>
      </c>
      <c r="M24" s="1218">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3" t="s">
        <v>1365</v>
      </c>
      <c r="B25" s="308" t="s">
        <v>1366</v>
      </c>
      <c r="C25" s="24"/>
      <c r="D25" s="136" t="s">
        <v>1367</v>
      </c>
      <c r="E25" s="1513"/>
      <c r="F25" s="26"/>
      <c r="G25" s="1537"/>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7"/>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0</v>
      </c>
      <c r="D29" s="1224"/>
      <c r="E29" s="1222"/>
      <c r="F29" s="1225"/>
      <c r="G29" s="1549"/>
      <c r="H29" s="340" t="s">
        <v>1001</v>
      </c>
      <c r="I29" s="341" t="s">
        <v>1384</v>
      </c>
      <c r="J29" s="342">
        <f ca="1">ROUND(J26/(1+F40)^F41,0)</f>
        <v>0</v>
      </c>
      <c r="K29" s="343" t="s">
        <v>1385</v>
      </c>
      <c r="L29" s="344"/>
      <c r="M29" s="345">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0</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0</v>
      </c>
      <c r="D31" s="1498" t="s">
        <v>1335</v>
      </c>
      <c r="E31" s="1497" t="s">
        <v>1386</v>
      </c>
      <c r="F31" s="2502" t="str">
        <f>IF(项目基本情况!B11="企业","——",IF('数据-取费表'!B10="住宅",IF(F6*F7*F8/12/(1+'数据-取费表'!F30)&gt;100000,4%,2.5%),IF(F6*F7*F8/12/(1+'数据-取费表'!F30)&gt;100000,12%,7%)))</f>
        <v>——</v>
      </c>
      <c r="G31" s="1537"/>
      <c r="H31" s="3008" t="s">
        <v>2984</v>
      </c>
      <c r="I31" s="1551"/>
      <c r="J31" s="1552"/>
      <c r="K31" s="2670"/>
      <c r="L31" s="2896"/>
      <c r="M31" s="2897"/>
    </row>
    <row r="32" spans="1:37" ht="18" customHeight="1">
      <c r="A32" s="1113" t="s">
        <v>1002</v>
      </c>
      <c r="B32" s="308" t="s">
        <v>1338</v>
      </c>
      <c r="C32" s="24">
        <f ca="1">IF(项目基本情况!B11="自然人","——",ROUND(C6*F32/(1+'数据-取费表'!C42),0))</f>
        <v>0</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3" t="s">
        <v>1343</v>
      </c>
      <c r="E33" s="308" t="s">
        <v>1327</v>
      </c>
      <c r="F33" s="328">
        <f>IF(D33="按票据","——",IF(D33="按租金收入计税",'数据-取费表'!B51,'数据-取费表'!B50))</f>
        <v>1.2E-2</v>
      </c>
      <c r="G33" s="1537"/>
      <c r="H33" s="2898"/>
      <c r="I33" s="1551"/>
      <c r="J33" s="1552"/>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0</v>
      </c>
      <c r="G35" s="1537"/>
      <c r="H35" s="2895"/>
      <c r="I35" s="1551"/>
      <c r="J35" s="1552"/>
      <c r="K35" s="2899"/>
      <c r="L35" s="2898"/>
      <c r="M35" s="2898"/>
    </row>
    <row r="36" spans="1:18" ht="18" customHeight="1">
      <c r="A36" s="1234" t="s">
        <v>1007</v>
      </c>
      <c r="B36" s="308" t="s">
        <v>1354</v>
      </c>
      <c r="C36" s="24">
        <f ca="1">ROUND(C29*F36,0)</f>
        <v>0</v>
      </c>
      <c r="D36" s="1497" t="s">
        <v>1387</v>
      </c>
      <c r="E36" s="308" t="s">
        <v>1327</v>
      </c>
      <c r="F36" s="334">
        <f ca="1">INDIRECT("'数据-取费表'!Ak"&amp;$G$1)</f>
        <v>0</v>
      </c>
      <c r="G36" s="1537"/>
      <c r="H36" s="2898"/>
      <c r="I36" s="1551"/>
      <c r="J36" s="1552"/>
      <c r="K36" s="2739"/>
      <c r="L36" s="2898"/>
      <c r="M36" s="2898"/>
    </row>
    <row r="37" spans="1:18" ht="18" customHeight="1">
      <c r="A37" s="1113" t="s">
        <v>1043</v>
      </c>
      <c r="B37" s="308" t="s">
        <v>1358</v>
      </c>
      <c r="C37" s="24">
        <f ca="1">ROUND(C13*F37,0)</f>
        <v>0</v>
      </c>
      <c r="D37" s="1497" t="s">
        <v>1359</v>
      </c>
      <c r="E37" s="308" t="s">
        <v>1360</v>
      </c>
      <c r="F37" s="336">
        <f ca="1">INDIRECT("'数据-取费表'!Al"&amp;$G$1)</f>
        <v>0</v>
      </c>
      <c r="G37" s="1537"/>
      <c r="H37" s="2898"/>
      <c r="I37" s="1551"/>
      <c r="J37" s="1552"/>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7"/>
      <c r="H38" s="2898"/>
      <c r="I38" s="1551"/>
      <c r="J38" s="1552"/>
      <c r="K38" s="2902"/>
      <c r="L38" s="2898"/>
      <c r="M38" s="2898"/>
    </row>
    <row r="39" spans="1:18" ht="24.6" customHeight="1" thickTop="1">
      <c r="A39" s="1211" t="s">
        <v>999</v>
      </c>
      <c r="B39" s="1226" t="s">
        <v>1388</v>
      </c>
      <c r="C39" s="316">
        <f ca="1">C5-C30</f>
        <v>0</v>
      </c>
      <c r="D39" s="1227" t="s">
        <v>1389</v>
      </c>
      <c r="E39" s="1228"/>
      <c r="F39" s="1229"/>
      <c r="G39" s="1537"/>
      <c r="H39" s="2898"/>
      <c r="I39" s="1551"/>
      <c r="J39" s="1552"/>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0</v>
      </c>
      <c r="G41" s="1537"/>
      <c r="H41" s="1324"/>
      <c r="I41" s="1551"/>
      <c r="J41" s="1552"/>
      <c r="K41" s="2739"/>
      <c r="L41" s="1324"/>
      <c r="M41" s="1324"/>
    </row>
    <row r="42" spans="1:18" ht="18" customHeight="1">
      <c r="A42" s="314"/>
      <c r="B42" s="315"/>
      <c r="C42" s="316"/>
      <c r="D42" s="333"/>
      <c r="E42" s="308" t="s">
        <v>1382</v>
      </c>
      <c r="F42" s="318">
        <f ca="1">INDIRECT("'数据-取费表'!v"&amp;$G$1)</f>
        <v>0</v>
      </c>
      <c r="G42" s="1537"/>
      <c r="H42" s="1324"/>
      <c r="I42" s="1551"/>
      <c r="J42" s="1552"/>
      <c r="K42" s="2739"/>
      <c r="L42" s="1324"/>
      <c r="M42" s="1324"/>
    </row>
    <row r="43" spans="1:18" ht="18" customHeight="1" thickBot="1">
      <c r="A43" s="340" t="s">
        <v>1001</v>
      </c>
      <c r="B43" s="341" t="s">
        <v>1392</v>
      </c>
      <c r="C43" s="342" t="e">
        <f ca="1">ROUND(C40/F43,0)</f>
        <v>#DIV/0!</v>
      </c>
      <c r="D43" s="343" t="s">
        <v>1393</v>
      </c>
      <c r="E43" s="344" t="s">
        <v>1394</v>
      </c>
      <c r="F43" s="345">
        <f ca="1">INDIRECT("'数据-取费表'!k"&amp;$G$1)</f>
        <v>0</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1509</v>
      </c>
      <c r="E45" s="1553"/>
      <c r="F45" s="1553"/>
      <c r="O45" s="1556" t="s">
        <v>1424</v>
      </c>
      <c r="P45" s="1614"/>
      <c r="Q45" s="1614"/>
      <c r="R45" s="1614"/>
    </row>
    <row r="46" spans="1:18" s="1537" customFormat="1" ht="13.5" thickBot="1">
      <c r="A46" s="1557" t="s">
        <v>1425</v>
      </c>
      <c r="C46" s="1558" t="e">
        <f ca="1">ROUND(C45/10000,0)</f>
        <v>#DIV/0!</v>
      </c>
      <c r="D46" s="1559" t="str">
        <f>C2</f>
        <v>万元</v>
      </c>
      <c r="I46" s="1560" t="s">
        <v>1426</v>
      </c>
      <c r="J46" s="1561"/>
      <c r="K46" s="1562"/>
      <c r="L46" s="1563" t="e">
        <f ca="1">IF(M47="住宅",0,IF(L48&gt;J51,L60,J60))</f>
        <v>#DIV/0!</v>
      </c>
      <c r="O46" s="1564" t="s">
        <v>1427</v>
      </c>
      <c r="P46" s="1565" t="s">
        <v>1428</v>
      </c>
      <c r="Q46" s="1566" t="s">
        <v>1429</v>
      </c>
      <c r="R46" s="1566" t="s">
        <v>1430</v>
      </c>
    </row>
    <row r="47" spans="1:18" s="1537" customFormat="1" ht="13.5" thickBot="1">
      <c r="A47" s="1077" t="s">
        <v>1301</v>
      </c>
      <c r="B47" s="1109" t="s">
        <v>1302</v>
      </c>
      <c r="C47" s="1109" t="s">
        <v>1303</v>
      </c>
      <c r="D47" s="1109" t="s">
        <v>1304</v>
      </c>
      <c r="E47" s="1189" t="s">
        <v>1305</v>
      </c>
      <c r="F47" s="1190"/>
      <c r="G47" s="731"/>
      <c r="I47" s="1567" t="s">
        <v>1431</v>
      </c>
      <c r="J47" s="1568"/>
      <c r="K47" s="1569" t="s">
        <v>1432</v>
      </c>
      <c r="L47" s="1570">
        <f ca="1">INDIRECT("'数据-取费表'!d"&amp;$G$1)</f>
        <v>0</v>
      </c>
      <c r="M47" s="1533" t="str">
        <f>IF(ISNUMBER(FIND("住宅",C1)),"住宅","非住宅")</f>
        <v>非住宅</v>
      </c>
      <c r="O47" s="1571" t="s">
        <v>1008</v>
      </c>
      <c r="P47" s="1572" t="s">
        <v>1433</v>
      </c>
      <c r="Q47" s="1573" t="e">
        <f ca="1">C40+J29</f>
        <v>#DIV/0!</v>
      </c>
      <c r="R47" s="1573" t="s">
        <v>1434</v>
      </c>
    </row>
    <row r="48" spans="1:18" s="1537" customFormat="1" ht="28.5" thickBot="1">
      <c r="A48" s="1242" t="s">
        <v>1044</v>
      </c>
      <c r="B48" s="306" t="s">
        <v>1306</v>
      </c>
      <c r="C48" s="1512">
        <f ca="1">C49+C53+C55</f>
        <v>0</v>
      </c>
      <c r="D48" s="1244"/>
      <c r="E48" s="1245"/>
      <c r="F48" s="1093"/>
      <c r="G48" s="731"/>
      <c r="H48" s="732"/>
      <c r="I48" s="1574" t="s">
        <v>1435</v>
      </c>
      <c r="J48" s="1575"/>
      <c r="K48" s="1576" t="s">
        <v>1436</v>
      </c>
      <c r="L48" s="1577">
        <f ca="1">INDIRECT("'数据-取费表'!f"&amp;$G$1)</f>
        <v>0</v>
      </c>
      <c r="O48" s="1571" t="s">
        <v>1009</v>
      </c>
      <c r="P48" s="1572" t="s">
        <v>1437</v>
      </c>
      <c r="Q48" s="1573" t="e">
        <f ca="1">J60</f>
        <v>#DIV/0!</v>
      </c>
      <c r="R48" s="1573" t="s">
        <v>1438</v>
      </c>
    </row>
    <row r="49" spans="1:18" s="1537" customFormat="1" ht="13.5" thickBot="1">
      <c r="A49" s="1106" t="s">
        <v>1045</v>
      </c>
      <c r="B49" s="1524" t="s">
        <v>1395</v>
      </c>
      <c r="C49" s="1246">
        <f ca="1">ROUND(F49*F51*F50*(1-F52),0)</f>
        <v>0</v>
      </c>
      <c r="D49" s="1186" t="s">
        <v>1309</v>
      </c>
      <c r="E49" s="1525" t="s">
        <v>1396</v>
      </c>
      <c r="F49" s="1191"/>
      <c r="G49" s="1578"/>
      <c r="H49" s="732"/>
      <c r="I49" s="1574" t="s">
        <v>1439</v>
      </c>
      <c r="J49" s="1579"/>
      <c r="K49" s="1576" t="s">
        <v>1440</v>
      </c>
      <c r="L49" s="1580"/>
      <c r="O49" s="1581" t="s">
        <v>1010</v>
      </c>
      <c r="P49" s="1572" t="s">
        <v>1441</v>
      </c>
      <c r="Q49" s="1573">
        <f ca="1">C29</f>
        <v>0</v>
      </c>
      <c r="R49" s="1573" t="s">
        <v>1434</v>
      </c>
    </row>
    <row r="50" spans="1:18" s="1537" customFormat="1" ht="13.5" thickBot="1">
      <c r="A50" s="1107"/>
      <c r="B50" s="1110"/>
      <c r="C50" s="1111"/>
      <c r="D50" s="1084"/>
      <c r="E50" s="1187" t="s">
        <v>1311</v>
      </c>
      <c r="F50" s="1188">
        <f ca="1">F7</f>
        <v>0</v>
      </c>
      <c r="H50" s="732"/>
      <c r="I50" s="1574" t="s">
        <v>1442</v>
      </c>
      <c r="J50" s="1582">
        <f>SUMPRODUCT((I63:I65=J47)*(J62:L62=J48)*(J63:L65))</f>
        <v>0</v>
      </c>
      <c r="K50" s="1576" t="s">
        <v>1443</v>
      </c>
      <c r="L50" s="1580"/>
      <c r="M50" s="1583"/>
      <c r="O50" s="1581" t="s">
        <v>1011</v>
      </c>
      <c r="P50" s="1572" t="s">
        <v>1444</v>
      </c>
      <c r="Q50" s="1584" t="e">
        <f ca="1">J58</f>
        <v>#DIV/0!</v>
      </c>
      <c r="R50" s="1573"/>
    </row>
    <row r="51" spans="1:18" s="1537" customFormat="1" ht="13.5" thickBot="1">
      <c r="A51" s="1108"/>
      <c r="B51" s="1110"/>
      <c r="C51" s="1111"/>
      <c r="D51" s="1084"/>
      <c r="E51" s="1112" t="s">
        <v>1312</v>
      </c>
      <c r="F51" s="309">
        <f ca="1">F8</f>
        <v>0</v>
      </c>
      <c r="I51" s="1585" t="s">
        <v>1445</v>
      </c>
      <c r="J51" s="1586">
        <f>IF(J49="",J50,J49+J50-YEAR('数据-取费表'!B2))</f>
        <v>0</v>
      </c>
      <c r="K51" s="1587" t="s">
        <v>1446</v>
      </c>
      <c r="L51" s="1588">
        <f ca="1">ROUND(-PV(INDIRECT("'数据-取费表'!h"&amp;$G$1),J51,(C39-C13*C76),0),0)</f>
        <v>0</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-0.5</v>
      </c>
      <c r="R52" s="1573" t="s">
        <v>1451</v>
      </c>
    </row>
    <row r="53" spans="1:18" s="1537" customFormat="1" ht="30.75" customHeight="1" thickBot="1">
      <c r="A53" s="1243" t="s">
        <v>1046</v>
      </c>
      <c r="B53" s="329" t="s">
        <v>1314</v>
      </c>
      <c r="C53" s="322">
        <f ca="1">ROUND(IF(F53="押一",C49/12*F11,IF(F53="押二",C49/12*2*F11,IF(F53="押三",C49/12*3*F11,C54*F11))),0)</f>
        <v>0</v>
      </c>
      <c r="D53" s="1519" t="s">
        <v>2796</v>
      </c>
      <c r="E53" s="319" t="s">
        <v>1315</v>
      </c>
      <c r="F53" s="1248"/>
      <c r="I53" s="1592" t="s">
        <v>1452</v>
      </c>
      <c r="J53" s="2355">
        <f ca="1">IF(M47="住宅",IF(D1="——",MAX(J51,L48),MAX(J51,L48-'数据-取费表'!B24)),IF(D1="——",MIN(J51,L48),MIN(J51,L48-'数据-取费表'!B24)))</f>
        <v>-0.5</v>
      </c>
      <c r="K53" s="3428" t="s">
        <v>1453</v>
      </c>
      <c r="L53" s="3429"/>
      <c r="O53" s="1571" t="s">
        <v>1014</v>
      </c>
      <c r="P53" s="1572" t="s">
        <v>1454</v>
      </c>
      <c r="Q53" s="1573" t="e">
        <f ca="1">Q47+Q48</f>
        <v>#DIV/0!</v>
      </c>
      <c r="R53" s="1573" t="s">
        <v>1015</v>
      </c>
    </row>
    <row r="54" spans="1:18" s="1537" customFormat="1" ht="13.5" thickBot="1">
      <c r="A54" s="1106"/>
      <c r="B54" s="1627" t="s">
        <v>1508</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#DIV/0!</v>
      </c>
      <c r="K55" s="1598" t="s">
        <v>1457</v>
      </c>
      <c r="L55" s="1599"/>
      <c r="O55" s="1564" t="s">
        <v>1427</v>
      </c>
      <c r="P55" s="1565" t="s">
        <v>1428</v>
      </c>
      <c r="Q55" s="1566" t="s">
        <v>1429</v>
      </c>
      <c r="R55" s="1566" t="s">
        <v>1430</v>
      </c>
    </row>
    <row r="56" spans="1:18" s="1537" customFormat="1" ht="36" customHeight="1" thickTop="1" thickBot="1">
      <c r="A56" s="1088">
        <v>2</v>
      </c>
      <c r="B56" s="1089" t="s">
        <v>1319</v>
      </c>
      <c r="C56" s="238">
        <f ca="1">C13</f>
        <v>0</v>
      </c>
      <c r="D56" s="1600"/>
      <c r="E56" s="1601"/>
      <c r="F56" s="1593"/>
      <c r="I56" s="1602" t="s">
        <v>1459</v>
      </c>
      <c r="J56" s="1603"/>
      <c r="K56" s="1574" t="s">
        <v>1460</v>
      </c>
      <c r="L56" s="1577">
        <f ca="1">IF(L48&lt;J51,"——",L48-J51)</f>
        <v>0</v>
      </c>
      <c r="O56" s="1571" t="s">
        <v>1008</v>
      </c>
      <c r="P56" s="1572" t="s">
        <v>1433</v>
      </c>
      <c r="Q56" s="1573" t="e">
        <f ca="1">C40+J29</f>
        <v>#DIV/0!</v>
      </c>
      <c r="R56" s="1573" t="s">
        <v>1434</v>
      </c>
    </row>
    <row r="57" spans="1:18" s="1537" customFormat="1" ht="24.75" thickBot="1">
      <c r="A57" s="1604"/>
      <c r="B57" s="1081" t="s">
        <v>1383</v>
      </c>
      <c r="C57" s="244">
        <f ca="1">C29</f>
        <v>0</v>
      </c>
      <c r="D57" s="1605"/>
      <c r="E57" s="1606"/>
      <c r="F57" s="1607"/>
      <c r="I57" s="1608" t="s">
        <v>1461</v>
      </c>
      <c r="J57" s="1609">
        <f ca="1">IF(OR(M47="住宅",J51&lt;L48,J56="是"),"——",J51-L48)</f>
        <v>0</v>
      </c>
      <c r="K57" s="1574" t="s">
        <v>1510</v>
      </c>
      <c r="L57" s="1577">
        <f ca="1">IF(L48&lt;J51,"——",IF(L55="比较法",L49,IF(L55="基准地价",L50,L51)))</f>
        <v>0</v>
      </c>
      <c r="O57" s="1571" t="s">
        <v>1009</v>
      </c>
      <c r="P57" s="1572" t="s">
        <v>1511</v>
      </c>
      <c r="Q57" s="1573" t="e">
        <f ca="1">L60</f>
        <v>#DIV/0!</v>
      </c>
      <c r="R57" s="1573" t="s">
        <v>1512</v>
      </c>
    </row>
    <row r="58" spans="1:18" s="1537" customFormat="1" ht="24.75" thickBot="1">
      <c r="A58" s="321" t="s">
        <v>998</v>
      </c>
      <c r="B58" s="1089" t="s">
        <v>1329</v>
      </c>
      <c r="C58" s="322">
        <f ca="1">ROUND(C59+C64+C65+C66,0)</f>
        <v>0</v>
      </c>
      <c r="D58" s="1091" t="s">
        <v>1330</v>
      </c>
      <c r="E58" s="1092"/>
      <c r="F58" s="1093"/>
      <c r="I58" s="1608" t="s">
        <v>1465</v>
      </c>
      <c r="J58" s="1610" t="e">
        <f ca="1">IF(J55&lt;0.4,0.4,J55)</f>
        <v>#DIV/0!</v>
      </c>
      <c r="K58" s="1587" t="s">
        <v>1513</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8" t="s">
        <v>1468</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1" t="s">
        <v>1470</v>
      </c>
      <c r="J60" s="1612" t="e">
        <f ca="1">IF(OR(M47="住宅",J51&lt;L48,J56="是"),"0",ROUND(J59/(1+J52)^J53,0))</f>
        <v>#DIV/0!</v>
      </c>
      <c r="K60" s="1613" t="s">
        <v>1471</v>
      </c>
      <c r="L60" s="1612" t="e">
        <f ca="1">IF(OR(M47="住宅",L48&lt;J51),0,ROUND(L57*(L58/L59-1),0))</f>
        <v>#DIV/0!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IF(项目基本情况!B11="自然人","——",IF(D61="按租金收入计税",ROUND(C49*F61/(1+'数据-取费表'!C42),0),IF(D61="按房产原值计税",ROUND(C57*F61*0.7,0),INDIRECT("'数据-取费表'!Aj"&amp;$G$1))))</f>
        <v>0</v>
      </c>
      <c r="D61" s="1523" t="s">
        <v>1343</v>
      </c>
      <c r="E61" s="1081" t="s">
        <v>1399</v>
      </c>
      <c r="F61" s="328">
        <f t="shared" si="0"/>
        <v>1.2E-2</v>
      </c>
      <c r="I61" s="1614"/>
      <c r="J61" s="1614"/>
      <c r="K61" s="1614"/>
      <c r="L61" s="1614"/>
      <c r="O61" s="1581" t="s">
        <v>1013</v>
      </c>
      <c r="P61" s="1572" t="str">
        <f>K59</f>
        <v>建设期及建筑物耐用年限下的土地年期修正系数Kn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IF(项目基本情况!B11="自然人","——",ROUND(F62*F63,0))</f>
        <v>0</v>
      </c>
      <c r="D62" s="1096" t="s">
        <v>1402</v>
      </c>
      <c r="E62" s="1081" t="s">
        <v>1403</v>
      </c>
      <c r="F62" s="331">
        <f t="shared" si="0"/>
        <v>1.5</v>
      </c>
      <c r="I62" s="1615" t="s">
        <v>1475</v>
      </c>
      <c r="J62" s="1616" t="s">
        <v>1476</v>
      </c>
      <c r="K62" s="1616" t="s">
        <v>1477</v>
      </c>
      <c r="L62" s="1616" t="s">
        <v>1478</v>
      </c>
      <c r="M62" s="1617" t="s">
        <v>1479</v>
      </c>
      <c r="O62" s="1571" t="s">
        <v>1014</v>
      </c>
      <c r="P62" s="1572" t="s">
        <v>1480</v>
      </c>
      <c r="Q62" s="1573" t="e">
        <f ca="1">Q56+Q57</f>
        <v>#DIV/0!</v>
      </c>
      <c r="R62" s="1573" t="s">
        <v>1015</v>
      </c>
    </row>
    <row r="63" spans="1:18" s="1537" customFormat="1" ht="13.5" thickBot="1">
      <c r="A63" s="332"/>
      <c r="B63" s="1087"/>
      <c r="C63" s="29"/>
      <c r="D63" s="1097"/>
      <c r="E63" s="1081" t="s">
        <v>1404</v>
      </c>
      <c r="F63" s="309">
        <f t="shared" ca="1" si="0"/>
        <v>0</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ROUND(C57*F64,0)</f>
        <v>0</v>
      </c>
      <c r="D64" s="1095" t="s">
        <v>1407</v>
      </c>
      <c r="E64" s="1081" t="s">
        <v>1399</v>
      </c>
      <c r="F64" s="334">
        <f t="shared" ca="1" si="0"/>
        <v>0</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ROUND(C56*F65,0)</f>
        <v>0</v>
      </c>
      <c r="D65" s="1095" t="s">
        <v>1359</v>
      </c>
      <c r="E65" s="1081" t="s">
        <v>1360</v>
      </c>
      <c r="F65" s="336">
        <f t="shared" ca="1" si="0"/>
        <v>0</v>
      </c>
      <c r="I65" s="1615" t="s">
        <v>1484</v>
      </c>
      <c r="J65" s="1616">
        <v>40</v>
      </c>
      <c r="K65" s="1616">
        <v>30</v>
      </c>
      <c r="L65" s="1616">
        <v>50</v>
      </c>
      <c r="M65" s="1618">
        <v>0.02</v>
      </c>
      <c r="O65" s="1571" t="s">
        <v>1008</v>
      </c>
      <c r="P65" s="1572" t="s">
        <v>1485</v>
      </c>
      <c r="Q65" s="1573" t="e">
        <f ca="1">C40+J29</f>
        <v>#DIV/0!</v>
      </c>
      <c r="R65" s="1573" t="s">
        <v>1434</v>
      </c>
    </row>
    <row r="66" spans="1:18" s="1537" customFormat="1" ht="16.5" thickBot="1">
      <c r="A66" s="1113" t="s">
        <v>1409</v>
      </c>
      <c r="B66" s="1081" t="s">
        <v>1344</v>
      </c>
      <c r="C66" s="24">
        <f ca="1">ROUND(C48*F66,0)</f>
        <v>0</v>
      </c>
      <c r="D66" s="1095" t="s">
        <v>1410</v>
      </c>
      <c r="E66" s="1081" t="s">
        <v>1327</v>
      </c>
      <c r="F66" s="318">
        <f t="shared" ca="1" si="0"/>
        <v>0</v>
      </c>
      <c r="O66" s="1571" t="s">
        <v>1009</v>
      </c>
      <c r="P66" s="1572" t="s">
        <v>1463</v>
      </c>
      <c r="Q66" s="1573" t="e">
        <f ca="1">L60</f>
        <v>#DIV/0!</v>
      </c>
      <c r="R66" s="1573" t="s">
        <v>1486</v>
      </c>
    </row>
    <row r="67" spans="1:18" s="1537" customFormat="1" ht="16.5" thickBot="1">
      <c r="A67" s="1088" t="s">
        <v>999</v>
      </c>
      <c r="B67" s="1098" t="s">
        <v>1368</v>
      </c>
      <c r="C67" s="322">
        <f ca="1">C48-C58</f>
        <v>0</v>
      </c>
      <c r="D67" s="1094" t="s">
        <v>1369</v>
      </c>
      <c r="E67" s="1099"/>
      <c r="F67" s="1100"/>
      <c r="O67" s="1581" t="s">
        <v>1010</v>
      </c>
      <c r="P67" s="1572" t="s">
        <v>1467</v>
      </c>
      <c r="Q67" s="1619">
        <f ca="1">L51</f>
        <v>0</v>
      </c>
      <c r="R67" s="1573" t="s">
        <v>1487</v>
      </c>
    </row>
    <row r="68" spans="1:18" s="1537" customFormat="1" ht="16.5" thickBot="1">
      <c r="A68" s="1078" t="s">
        <v>1000</v>
      </c>
      <c r="B68" s="1079" t="s">
        <v>1390</v>
      </c>
      <c r="C68" s="307" t="e">
        <f ca="1">ROUND(C67*(1-((1+F70)/(1+F68))^F69)/(F68-F70),0)</f>
        <v>#DIV/0!</v>
      </c>
      <c r="D68" s="1096" t="s">
        <v>1374</v>
      </c>
      <c r="E68" s="1081" t="s">
        <v>1375</v>
      </c>
      <c r="F68" s="318">
        <f ca="1">F40</f>
        <v>0</v>
      </c>
      <c r="O68" s="1581" t="s">
        <v>1011</v>
      </c>
      <c r="P68" s="1620" t="s">
        <v>1488</v>
      </c>
      <c r="Q68" s="1573">
        <f ca="1">ROUND(Q69-Q70*Q71,0)</f>
        <v>0</v>
      </c>
      <c r="R68" s="1573" t="s">
        <v>1019</v>
      </c>
    </row>
    <row r="69" spans="1:18" s="1537" customFormat="1" ht="13.5" thickBot="1">
      <c r="A69" s="1082"/>
      <c r="B69" s="1083"/>
      <c r="C69" s="312"/>
      <c r="D69" s="1101" t="s">
        <v>1378</v>
      </c>
      <c r="E69" s="1081" t="s">
        <v>1379</v>
      </c>
      <c r="F69" s="339">
        <f ca="1">F41</f>
        <v>0</v>
      </c>
      <c r="O69" s="1581" t="s">
        <v>1016</v>
      </c>
      <c r="P69" s="1620" t="s">
        <v>1489</v>
      </c>
      <c r="Q69" s="1573">
        <f ca="1">C39</f>
        <v>0</v>
      </c>
      <c r="R69" s="1573" t="s">
        <v>1434</v>
      </c>
    </row>
    <row r="70" spans="1:18" s="1537" customFormat="1" ht="13.5" thickBot="1">
      <c r="A70" s="1085"/>
      <c r="B70" s="1086"/>
      <c r="C70" s="316"/>
      <c r="D70" s="1097"/>
      <c r="E70" s="1081" t="s">
        <v>1382</v>
      </c>
      <c r="F70" s="1185">
        <f ca="1">F42</f>
        <v>0</v>
      </c>
      <c r="O70" s="1581" t="s">
        <v>1017</v>
      </c>
      <c r="P70" s="1620" t="s">
        <v>1490</v>
      </c>
      <c r="Q70" s="1573">
        <f ca="1">C13</f>
        <v>0</v>
      </c>
      <c r="R70" s="1573" t="s">
        <v>1434</v>
      </c>
    </row>
    <row r="71" spans="1:18" s="1537" customFormat="1" ht="13.5" thickBot="1">
      <c r="A71" s="1102" t="s">
        <v>1001</v>
      </c>
      <c r="B71" s="1103" t="s">
        <v>1392</v>
      </c>
      <c r="C71" s="342" t="e">
        <f ca="1">ROUND(C68/F71,0)</f>
        <v>#DIV/0!</v>
      </c>
      <c r="D71" s="1104" t="s">
        <v>1393</v>
      </c>
      <c r="E71" s="1105" t="s">
        <v>1394</v>
      </c>
      <c r="F71" s="345">
        <f ca="1">F43</f>
        <v>0</v>
      </c>
      <c r="O71" s="1581" t="s">
        <v>1018</v>
      </c>
      <c r="P71" s="1620" t="s">
        <v>1491</v>
      </c>
      <c r="Q71" s="1584">
        <f ca="1">C76</f>
        <v>0</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建设期及建筑物耐用年限下的土地年期修正系数Kn</v>
      </c>
      <c r="Q74" s="1573" t="e">
        <f ca="1">L59</f>
        <v>#DIV/0!</v>
      </c>
      <c r="R74" s="1573" t="s">
        <v>1474</v>
      </c>
    </row>
    <row r="75" spans="1:18" ht="13.5" thickBot="1">
      <c r="A75" s="1537"/>
      <c r="B75" s="346" t="s">
        <v>1411</v>
      </c>
      <c r="C75" s="347">
        <f ca="1">ROUND(C13*C76,0)</f>
        <v>0</v>
      </c>
      <c r="D75" s="1537"/>
      <c r="E75" s="1537"/>
      <c r="F75" s="1537"/>
      <c r="K75" s="1555"/>
      <c r="L75" s="1537"/>
      <c r="O75" s="1571" t="s">
        <v>1014</v>
      </c>
      <c r="P75" s="1572" t="s">
        <v>1454</v>
      </c>
      <c r="Q75" s="1573" t="e">
        <f ca="1">Q65+Q66</f>
        <v>#DIV/0!</v>
      </c>
      <c r="R75" s="1573" t="s">
        <v>1015</v>
      </c>
    </row>
    <row r="76" spans="1:18">
      <c r="B76" s="348" t="s">
        <v>1412</v>
      </c>
      <c r="C76" s="349">
        <f ca="1">INDIRECT("'数据-取费表'!j"&amp;$G$1)</f>
        <v>0</v>
      </c>
      <c r="I76" s="1537"/>
      <c r="J76" s="1537"/>
      <c r="K76" s="1555"/>
      <c r="L76" s="1537"/>
    </row>
    <row r="77" spans="1:18">
      <c r="B77" s="350" t="s">
        <v>1413</v>
      </c>
      <c r="C77" s="351"/>
      <c r="I77" s="1537"/>
      <c r="J77" s="1537"/>
      <c r="K77" s="1555"/>
      <c r="L77" s="1537"/>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3112</v>
      </c>
      <c r="B1" s="3032"/>
      <c r="C1" s="3044"/>
      <c r="D1" s="3044"/>
      <c r="E1" s="3033"/>
      <c r="F1" s="3034"/>
      <c r="G1" s="3035"/>
      <c r="J1" s="3038" t="s">
        <v>2991</v>
      </c>
      <c r="K1" s="3039"/>
      <c r="L1" s="3039"/>
      <c r="M1" s="3039"/>
      <c r="N1" s="3039"/>
      <c r="O1" s="3039"/>
      <c r="P1" s="3039"/>
      <c r="Q1" s="3039"/>
      <c r="R1" s="3040"/>
      <c r="S1" s="3041"/>
      <c r="T1" s="3041"/>
      <c r="U1" s="3041"/>
    </row>
    <row r="2" spans="1:22" s="3053" customFormat="1" ht="13.15" customHeight="1">
      <c r="A2" s="1538" t="s">
        <v>2992</v>
      </c>
      <c r="B2" s="3043" t="e">
        <f>C40</f>
        <v>#DIV/0!</v>
      </c>
      <c r="C2" s="3044" t="s">
        <v>2993</v>
      </c>
      <c r="D2" s="3044"/>
      <c r="E2" s="3045"/>
      <c r="F2" s="3046"/>
      <c r="G2" s="3047"/>
      <c r="H2" s="3048"/>
      <c r="I2" s="3049"/>
      <c r="J2" s="3439" t="s">
        <v>2994</v>
      </c>
      <c r="K2" s="3440"/>
      <c r="L2" s="3050" t="s">
        <v>2995</v>
      </c>
      <c r="M2" s="3050" t="s">
        <v>2996</v>
      </c>
      <c r="N2" s="3050" t="s">
        <v>2997</v>
      </c>
      <c r="O2" s="3050" t="s">
        <v>2998</v>
      </c>
      <c r="P2" s="3050" t="s">
        <v>2999</v>
      </c>
      <c r="Q2" s="3051" t="s">
        <v>3000</v>
      </c>
      <c r="R2" s="3052" t="s">
        <v>3001</v>
      </c>
      <c r="S2" s="3041"/>
      <c r="T2" s="3041"/>
      <c r="U2" s="3041"/>
      <c r="V2" s="3049"/>
    </row>
    <row r="3" spans="1:22" s="3053" customFormat="1" ht="13.15" customHeight="1">
      <c r="A3" s="3054" t="s">
        <v>3002</v>
      </c>
      <c r="B3" s="3055" t="e">
        <f>ROUND(B2*10000/B4,0)</f>
        <v>#DIV/0!</v>
      </c>
      <c r="C3" s="3044" t="s">
        <v>3003</v>
      </c>
      <c r="D3" s="3044"/>
      <c r="E3" s="3045"/>
      <c r="F3" s="3046"/>
      <c r="G3" s="3047"/>
      <c r="H3" s="3048"/>
      <c r="I3" s="3049"/>
      <c r="J3" s="3441" t="s">
        <v>3004</v>
      </c>
      <c r="K3" s="3442"/>
      <c r="L3" s="3056"/>
      <c r="M3" s="3056"/>
      <c r="N3" s="3056"/>
      <c r="O3" s="3056"/>
      <c r="P3" s="3056"/>
      <c r="Q3" s="3057"/>
      <c r="R3" s="3058">
        <f>SUM(L3:Q3)</f>
        <v>0</v>
      </c>
      <c r="S3" s="3041"/>
      <c r="T3" s="3041"/>
      <c r="U3" s="3041"/>
      <c r="V3" s="3049"/>
    </row>
    <row r="4" spans="1:22" s="3053" customFormat="1" ht="13.15" customHeight="1">
      <c r="A4" s="3059" t="s">
        <v>3005</v>
      </c>
      <c r="B4" s="3060"/>
      <c r="C4" s="3044"/>
      <c r="D4" s="3044"/>
      <c r="E4" s="3045"/>
      <c r="F4" s="3046"/>
      <c r="G4" s="3047"/>
      <c r="H4" s="3048"/>
      <c r="I4" s="3049"/>
      <c r="J4" s="3441" t="s">
        <v>3006</v>
      </c>
      <c r="K4" s="3442"/>
      <c r="L4" s="3061"/>
      <c r="M4" s="3061"/>
      <c r="N4" s="3061"/>
      <c r="O4" s="3061"/>
      <c r="P4" s="3061"/>
      <c r="Q4" s="3062"/>
      <c r="R4" s="3063">
        <f>SUM(L4:Q4)</f>
        <v>0</v>
      </c>
      <c r="S4" s="3041"/>
      <c r="T4" s="3041"/>
      <c r="U4" s="3041"/>
      <c r="V4" s="3049"/>
    </row>
    <row r="5" spans="1:22" s="3053" customFormat="1" ht="13.15" customHeight="1" thickBot="1">
      <c r="A5" s="3064" t="s">
        <v>3007</v>
      </c>
      <c r="B5" s="3065"/>
      <c r="C5" s="3044"/>
      <c r="D5" s="3066"/>
      <c r="E5" s="3046"/>
      <c r="F5" s="3046"/>
      <c r="G5" s="3047"/>
      <c r="H5" s="3048"/>
      <c r="I5" s="3049"/>
      <c r="J5" s="3067" t="s">
        <v>3008</v>
      </c>
      <c r="K5" s="3068"/>
      <c r="L5" s="3068"/>
      <c r="M5" s="3069"/>
      <c r="N5" s="3069"/>
      <c r="O5" s="3069"/>
      <c r="P5" s="3069"/>
      <c r="Q5" s="3069"/>
      <c r="R5" s="3052">
        <f>SUM(R14,R19,R24,R25,R27,R28)</f>
        <v>0</v>
      </c>
      <c r="S5" s="3041"/>
      <c r="T5" s="3041" t="s">
        <v>3009</v>
      </c>
      <c r="U5" s="3041" t="e">
        <f>ROUND(R5*10000/365/R3,1)</f>
        <v>#DIV/0!</v>
      </c>
      <c r="V5" s="3049"/>
    </row>
    <row r="6" spans="1:22" s="3053" customFormat="1" ht="13.15" customHeight="1" thickBot="1">
      <c r="A6" s="3447" t="s">
        <v>3010</v>
      </c>
      <c r="B6" s="3448"/>
      <c r="C6" s="3449"/>
      <c r="D6" s="3070"/>
      <c r="E6" s="3071"/>
      <c r="F6" s="3072"/>
      <c r="G6" s="3073"/>
      <c r="H6" s="3048"/>
      <c r="I6" s="3049"/>
      <c r="J6" s="3433">
        <v>1</v>
      </c>
      <c r="K6" s="3434" t="s">
        <v>3011</v>
      </c>
      <c r="L6" s="3074" t="s">
        <v>3012</v>
      </c>
      <c r="M6" s="3075" t="s">
        <v>3013</v>
      </c>
      <c r="N6" s="3075" t="s">
        <v>3014</v>
      </c>
      <c r="O6" s="3075" t="s">
        <v>3015</v>
      </c>
      <c r="P6" s="3075" t="s">
        <v>3016</v>
      </c>
      <c r="Q6" s="3075" t="s">
        <v>3017</v>
      </c>
      <c r="R6" s="3058" t="s">
        <v>3018</v>
      </c>
      <c r="S6" s="3041"/>
      <c r="T6" s="3041" t="s">
        <v>3019</v>
      </c>
      <c r="U6" s="3041"/>
      <c r="V6" s="3049"/>
    </row>
    <row r="7" spans="1:22" s="3053" customFormat="1" ht="13.15" customHeight="1">
      <c r="A7" s="3076" t="s">
        <v>3020</v>
      </c>
      <c r="B7" s="3077"/>
      <c r="C7" s="3078"/>
      <c r="D7" s="3079">
        <f>SUM(D9,D10,D11,D17,0)</f>
        <v>0</v>
      </c>
      <c r="E7" s="3080" t="e">
        <f>E9+E10+E11+E17</f>
        <v>#DIV/0!</v>
      </c>
      <c r="F7" s="3081"/>
      <c r="G7" s="3082"/>
      <c r="H7" s="3048"/>
      <c r="I7" s="3049"/>
      <c r="J7" s="3433"/>
      <c r="K7" s="3435"/>
      <c r="L7" s="3083" t="s">
        <v>3021</v>
      </c>
      <c r="M7" s="3084"/>
      <c r="N7" s="3060"/>
      <c r="O7" s="3085"/>
      <c r="P7" s="3085"/>
      <c r="Q7" s="3086">
        <v>365</v>
      </c>
      <c r="R7" s="3087">
        <f>ROUND(M7*N7*O7*P7*Q7/10000,0)</f>
        <v>0</v>
      </c>
      <c r="S7" s="3041"/>
      <c r="T7" s="3041" t="s">
        <v>3022</v>
      </c>
      <c r="U7" s="3041"/>
      <c r="V7" s="3049"/>
    </row>
    <row r="8" spans="1:22" s="3053" customFormat="1" ht="13.15" customHeight="1">
      <c r="A8" s="3088" t="s">
        <v>3023</v>
      </c>
      <c r="B8" s="3450" t="s">
        <v>3024</v>
      </c>
      <c r="C8" s="3451"/>
      <c r="D8" s="3089" t="s">
        <v>3025</v>
      </c>
      <c r="E8" s="3090" t="s">
        <v>3026</v>
      </c>
      <c r="F8" s="3091" t="s">
        <v>3027</v>
      </c>
      <c r="G8" s="3092"/>
      <c r="H8" s="3048"/>
      <c r="I8" s="3049"/>
      <c r="J8" s="3433"/>
      <c r="K8" s="3435"/>
      <c r="L8" s="3083" t="s">
        <v>3028</v>
      </c>
      <c r="M8" s="3084"/>
      <c r="N8" s="3060"/>
      <c r="O8" s="3085"/>
      <c r="P8" s="3085"/>
      <c r="Q8" s="3086">
        <v>365</v>
      </c>
      <c r="R8" s="3087">
        <f t="shared" ref="R8:R13" si="0">ROUND(M8*N8*O8*P8*Q8/10000,0)</f>
        <v>0</v>
      </c>
      <c r="S8" s="3041"/>
      <c r="T8" s="3041" t="s">
        <v>3029</v>
      </c>
      <c r="U8" s="3041"/>
      <c r="V8" s="3049"/>
    </row>
    <row r="9" spans="1:22" s="3053" customFormat="1" ht="13.15" customHeight="1">
      <c r="A9" s="3088">
        <v>1</v>
      </c>
      <c r="B9" s="3450" t="s">
        <v>3030</v>
      </c>
      <c r="C9" s="3451"/>
      <c r="D9" s="3089">
        <f>ROUND(D6*E9,0)</f>
        <v>0</v>
      </c>
      <c r="E9" s="3093"/>
      <c r="F9" s="3094" t="s">
        <v>3031</v>
      </c>
      <c r="G9" s="3073"/>
      <c r="H9" s="3048"/>
      <c r="I9" s="3049"/>
      <c r="J9" s="3433"/>
      <c r="K9" s="3435"/>
      <c r="L9" s="3083" t="s">
        <v>3032</v>
      </c>
      <c r="M9" s="3084"/>
      <c r="N9" s="3060"/>
      <c r="O9" s="3085"/>
      <c r="P9" s="3085"/>
      <c r="Q9" s="3086">
        <v>365</v>
      </c>
      <c r="R9" s="3087">
        <f t="shared" si="0"/>
        <v>0</v>
      </c>
      <c r="S9" s="3041"/>
      <c r="T9" s="3041"/>
      <c r="U9" s="3041"/>
      <c r="V9" s="3049"/>
    </row>
    <row r="10" spans="1:22" s="3053" customFormat="1" ht="13.15" customHeight="1">
      <c r="A10" s="3088">
        <v>2</v>
      </c>
      <c r="B10" s="3450" t="s">
        <v>3033</v>
      </c>
      <c r="C10" s="3451"/>
      <c r="D10" s="3089">
        <f>ROUND(D6*E10,0)</f>
        <v>0</v>
      </c>
      <c r="E10" s="3093"/>
      <c r="F10" s="3094" t="s">
        <v>3034</v>
      </c>
      <c r="G10" s="3073"/>
      <c r="H10" s="3048"/>
      <c r="I10" s="3049"/>
      <c r="J10" s="3433"/>
      <c r="K10" s="3435"/>
      <c r="L10" s="3083" t="s">
        <v>3035</v>
      </c>
      <c r="M10" s="3084"/>
      <c r="N10" s="3060"/>
      <c r="O10" s="3085"/>
      <c r="P10" s="3085"/>
      <c r="Q10" s="3086">
        <v>365</v>
      </c>
      <c r="R10" s="3087">
        <f t="shared" si="0"/>
        <v>0</v>
      </c>
      <c r="S10" s="3041"/>
      <c r="T10" s="3041"/>
      <c r="U10" s="3041"/>
      <c r="V10" s="3049"/>
    </row>
    <row r="11" spans="1:22" s="3053" customFormat="1" ht="13.15" customHeight="1">
      <c r="A11" s="3088">
        <v>3</v>
      </c>
      <c r="B11" s="3450" t="s">
        <v>3036</v>
      </c>
      <c r="C11" s="3451"/>
      <c r="D11" s="3089">
        <f>D12+D14+D15+D16</f>
        <v>0</v>
      </c>
      <c r="E11" s="3095" t="e">
        <f>D11/D6</f>
        <v>#DIV/0!</v>
      </c>
      <c r="F11" s="3091"/>
      <c r="G11" s="3092"/>
      <c r="H11" s="3048"/>
      <c r="I11" s="3049"/>
      <c r="J11" s="3433"/>
      <c r="K11" s="3435"/>
      <c r="L11" s="3083" t="s">
        <v>3037</v>
      </c>
      <c r="M11" s="3084"/>
      <c r="N11" s="3060"/>
      <c r="O11" s="3085"/>
      <c r="P11" s="3085"/>
      <c r="Q11" s="3086">
        <v>365</v>
      </c>
      <c r="R11" s="3087">
        <f t="shared" si="0"/>
        <v>0</v>
      </c>
      <c r="S11" s="3041"/>
      <c r="T11" s="3041"/>
      <c r="U11" s="3041"/>
      <c r="V11" s="3049"/>
    </row>
    <row r="12" spans="1:22" s="3053" customFormat="1" ht="13.15" customHeight="1">
      <c r="A12" s="3096" t="s">
        <v>3038</v>
      </c>
      <c r="B12" s="3443" t="s">
        <v>3039</v>
      </c>
      <c r="C12" s="3444"/>
      <c r="D12" s="3097">
        <f>ROUND(D13*1.2%*(1-30%),0)</f>
        <v>0</v>
      </c>
      <c r="E12" s="3098">
        <v>1.2E-2</v>
      </c>
      <c r="F12" s="3091" t="s">
        <v>3040</v>
      </c>
      <c r="G12" s="3092"/>
      <c r="H12" s="3048"/>
      <c r="I12" s="3049"/>
      <c r="J12" s="3433"/>
      <c r="K12" s="3435"/>
      <c r="L12" s="3083" t="s">
        <v>3041</v>
      </c>
      <c r="M12" s="3084"/>
      <c r="N12" s="3060"/>
      <c r="O12" s="3085"/>
      <c r="P12" s="3085"/>
      <c r="Q12" s="3086">
        <v>365</v>
      </c>
      <c r="R12" s="3087">
        <f t="shared" si="0"/>
        <v>0</v>
      </c>
      <c r="S12" s="3041"/>
      <c r="T12" s="3041"/>
      <c r="U12" s="3041"/>
      <c r="V12" s="3049"/>
    </row>
    <row r="13" spans="1:22" s="3053" customFormat="1" ht="13.15" customHeight="1">
      <c r="A13" s="3096"/>
      <c r="B13" s="3099"/>
      <c r="C13" s="3100" t="s">
        <v>3042</v>
      </c>
      <c r="D13" s="3101"/>
      <c r="E13" s="3102"/>
      <c r="F13" s="3091"/>
      <c r="G13" s="3092"/>
      <c r="H13" s="3048"/>
      <c r="I13" s="3049"/>
      <c r="J13" s="3433"/>
      <c r="K13" s="3435"/>
      <c r="L13" s="3083" t="s">
        <v>3043</v>
      </c>
      <c r="M13" s="3084"/>
      <c r="N13" s="3060"/>
      <c r="O13" s="3085"/>
      <c r="P13" s="3085"/>
      <c r="Q13" s="3086">
        <v>365</v>
      </c>
      <c r="R13" s="3087">
        <f t="shared" si="0"/>
        <v>0</v>
      </c>
      <c r="S13" s="3041"/>
      <c r="T13" s="3041"/>
      <c r="U13" s="3041"/>
      <c r="V13" s="3049"/>
    </row>
    <row r="14" spans="1:22" s="3053" customFormat="1" ht="13.15" customHeight="1">
      <c r="A14" s="3096" t="s">
        <v>3044</v>
      </c>
      <c r="B14" s="3443" t="s">
        <v>3045</v>
      </c>
      <c r="C14" s="3444"/>
      <c r="D14" s="3097">
        <f>ROUND(E14*B5/10000,0)</f>
        <v>0</v>
      </c>
      <c r="E14" s="3086"/>
      <c r="F14" s="3091" t="s">
        <v>3046</v>
      </c>
      <c r="G14" s="3092"/>
      <c r="H14" s="3048"/>
      <c r="I14" s="3049"/>
      <c r="J14" s="3433"/>
      <c r="K14" s="3436"/>
      <c r="L14" s="3103" t="s">
        <v>3047</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3048</v>
      </c>
      <c r="B15" s="3443" t="s">
        <v>3049</v>
      </c>
      <c r="C15" s="3444"/>
      <c r="D15" s="3097">
        <f>ROUND(D6*E15,0)</f>
        <v>0</v>
      </c>
      <c r="E15" s="3098">
        <v>5.5E-2</v>
      </c>
      <c r="F15" s="3091" t="s">
        <v>3050</v>
      </c>
      <c r="G15" s="3073"/>
      <c r="H15" s="3048"/>
      <c r="I15" s="3049"/>
      <c r="J15" s="3433">
        <v>2</v>
      </c>
      <c r="K15" s="3434" t="s">
        <v>3051</v>
      </c>
      <c r="L15" s="3083" t="s">
        <v>3052</v>
      </c>
      <c r="M15" s="3084" t="s">
        <v>3053</v>
      </c>
      <c r="N15" s="3084" t="s">
        <v>3054</v>
      </c>
      <c r="O15" s="3085" t="s">
        <v>3055</v>
      </c>
      <c r="P15" s="3085" t="s">
        <v>3017</v>
      </c>
      <c r="Q15" s="3060" t="s">
        <v>3056</v>
      </c>
      <c r="R15" s="3107" t="s">
        <v>3018</v>
      </c>
      <c r="S15" s="3041"/>
      <c r="T15" s="3041"/>
      <c r="U15" s="3041"/>
      <c r="V15" s="3049"/>
    </row>
    <row r="16" spans="1:22" s="3053" customFormat="1" ht="13.15" customHeight="1">
      <c r="A16" s="3096" t="s">
        <v>3057</v>
      </c>
      <c r="B16" s="3443" t="s">
        <v>3058</v>
      </c>
      <c r="C16" s="3444"/>
      <c r="D16" s="3108">
        <f>D6*E16</f>
        <v>0</v>
      </c>
      <c r="E16" s="3109"/>
      <c r="F16" s="3094" t="s">
        <v>3059</v>
      </c>
      <c r="G16" s="3073"/>
      <c r="H16" s="3048"/>
      <c r="I16" s="3049"/>
      <c r="J16" s="3433"/>
      <c r="K16" s="3435"/>
      <c r="L16" s="3083" t="s">
        <v>3060</v>
      </c>
      <c r="M16" s="3084"/>
      <c r="N16" s="3084"/>
      <c r="O16" s="3085"/>
      <c r="P16" s="3086">
        <v>365</v>
      </c>
      <c r="Q16" s="3060"/>
      <c r="R16" s="3107">
        <f>ROUND(M16*N16*O16*P16/10000,0)</f>
        <v>0</v>
      </c>
      <c r="S16" s="3041"/>
      <c r="T16" s="3041"/>
      <c r="U16" s="3041"/>
      <c r="V16" s="3049"/>
    </row>
    <row r="17" spans="1:22" s="3053" customFormat="1" ht="13.15" customHeight="1" thickBot="1">
      <c r="A17" s="3110">
        <v>4</v>
      </c>
      <c r="B17" s="3445" t="s">
        <v>3061</v>
      </c>
      <c r="C17" s="3446"/>
      <c r="D17" s="3111">
        <f>ROUND(D6*E17,0)</f>
        <v>0</v>
      </c>
      <c r="E17" s="3112"/>
      <c r="F17" s="3113" t="s">
        <v>3062</v>
      </c>
      <c r="G17" s="3073"/>
      <c r="H17" s="3048"/>
      <c r="I17" s="3049"/>
      <c r="J17" s="3433"/>
      <c r="K17" s="3435"/>
      <c r="L17" s="3083" t="s">
        <v>3063</v>
      </c>
      <c r="M17" s="3084"/>
      <c r="N17" s="3084"/>
      <c r="O17" s="3085"/>
      <c r="P17" s="3086">
        <v>365</v>
      </c>
      <c r="Q17" s="3060"/>
      <c r="R17" s="3107">
        <f>ROUND(M17*N17*O17*P17/10000,0)</f>
        <v>0</v>
      </c>
      <c r="S17" s="3041"/>
      <c r="T17" s="3041"/>
      <c r="U17" s="3041"/>
      <c r="V17" s="3049"/>
    </row>
    <row r="18" spans="1:22" s="3053" customFormat="1" ht="13.15" customHeight="1" thickBot="1">
      <c r="A18" s="3076" t="s">
        <v>3064</v>
      </c>
      <c r="B18" s="3077"/>
      <c r="C18" s="3077"/>
      <c r="D18" s="3114">
        <f>ROUND(D6*E18,0)</f>
        <v>0</v>
      </c>
      <c r="E18" s="3115"/>
      <c r="F18" s="3116" t="s">
        <v>3065</v>
      </c>
      <c r="G18" s="3073"/>
      <c r="H18" s="3048"/>
      <c r="I18" s="3049"/>
      <c r="J18" s="3433"/>
      <c r="K18" s="3435"/>
      <c r="L18" s="3083" t="s">
        <v>3066</v>
      </c>
      <c r="M18" s="3084"/>
      <c r="N18" s="3084"/>
      <c r="O18" s="3085"/>
      <c r="P18" s="3086">
        <v>365</v>
      </c>
      <c r="Q18" s="3060"/>
      <c r="R18" s="3107">
        <f>ROUND(M18*N18*O18*P18/10000,0)</f>
        <v>0</v>
      </c>
      <c r="S18" s="3041"/>
      <c r="T18" s="3041"/>
      <c r="U18" s="3041"/>
      <c r="V18" s="3049"/>
    </row>
    <row r="19" spans="1:22" s="3053" customFormat="1" ht="13.15" customHeight="1" thickBot="1">
      <c r="A19" s="3117" t="s">
        <v>3067</v>
      </c>
      <c r="B19" s="3071"/>
      <c r="C19" s="3071"/>
      <c r="D19" s="3071"/>
      <c r="E19" s="3071"/>
      <c r="F19" s="3072"/>
      <c r="G19" s="3092"/>
      <c r="H19" s="3048"/>
      <c r="I19" s="3049"/>
      <c r="J19" s="3433"/>
      <c r="K19" s="3436"/>
      <c r="L19" s="3103" t="s">
        <v>3047</v>
      </c>
      <c r="M19" s="3104"/>
      <c r="N19" s="3104">
        <f>SUM(N16:N18)</f>
        <v>0</v>
      </c>
      <c r="O19" s="3105"/>
      <c r="P19" s="3118" t="s">
        <v>3111</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33">
        <v>3</v>
      </c>
      <c r="K20" s="3434" t="s">
        <v>3068</v>
      </c>
      <c r="L20" s="3083" t="s">
        <v>3069</v>
      </c>
      <c r="M20" s="3084" t="s">
        <v>3070</v>
      </c>
      <c r="N20" s="3121" t="s">
        <v>3071</v>
      </c>
      <c r="O20" s="3085" t="s">
        <v>3072</v>
      </c>
      <c r="P20" s="3086" t="s">
        <v>3073</v>
      </c>
      <c r="Q20" s="3060" t="s">
        <v>3074</v>
      </c>
      <c r="R20" s="3107" t="s">
        <v>3075</v>
      </c>
      <c r="S20" s="3122"/>
      <c r="T20" s="3122"/>
      <c r="U20" s="3122"/>
      <c r="V20" s="3049"/>
    </row>
    <row r="21" spans="1:22" s="3053" customFormat="1" ht="13.15" customHeight="1">
      <c r="A21" s="3076"/>
      <c r="B21" s="3077"/>
      <c r="C21" s="3123" t="s">
        <v>3076</v>
      </c>
      <c r="D21" s="3124" t="s">
        <v>3077</v>
      </c>
      <c r="E21" s="3125" t="s">
        <v>3078</v>
      </c>
      <c r="F21" s="3120"/>
      <c r="G21" s="3092"/>
      <c r="H21" s="3048"/>
      <c r="I21" s="3049"/>
      <c r="J21" s="3433"/>
      <c r="K21" s="3435"/>
      <c r="L21" s="3083" t="s">
        <v>3079</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3080</v>
      </c>
      <c r="D22" s="3128" t="s">
        <v>3081</v>
      </c>
      <c r="E22" s="3129" t="s">
        <v>3082</v>
      </c>
      <c r="F22" s="3120"/>
      <c r="G22" s="3130"/>
      <c r="H22" s="3048"/>
      <c r="I22" s="3049"/>
      <c r="J22" s="3433"/>
      <c r="K22" s="3435"/>
      <c r="L22" s="3083" t="s">
        <v>3083</v>
      </c>
      <c r="M22" s="3084"/>
      <c r="N22" s="3084"/>
      <c r="O22" s="3085"/>
      <c r="P22" s="3086">
        <v>365</v>
      </c>
      <c r="Q22" s="3060"/>
      <c r="R22" s="3126">
        <f>ROUND(M22*N22*O22*P22/10000,0)</f>
        <v>0</v>
      </c>
      <c r="S22" s="3122"/>
      <c r="T22" s="3122"/>
      <c r="U22" s="3122"/>
      <c r="V22" s="3049"/>
    </row>
    <row r="23" spans="1:22" s="3053" customFormat="1" ht="13.15" customHeight="1">
      <c r="A23" s="3131">
        <v>1</v>
      </c>
      <c r="B23" s="3132" t="s">
        <v>3084</v>
      </c>
      <c r="C23" s="3133">
        <f>D6</f>
        <v>0</v>
      </c>
      <c r="D23" s="3134">
        <f>C23*(1+D24)</f>
        <v>0</v>
      </c>
      <c r="E23" s="3135">
        <f>D23*(1+E24)</f>
        <v>0</v>
      </c>
      <c r="F23" s="3136"/>
      <c r="G23" s="3137"/>
      <c r="H23" s="3048"/>
      <c r="I23" s="3049"/>
      <c r="J23" s="3433"/>
      <c r="K23" s="3435"/>
      <c r="L23" s="3083" t="s">
        <v>3085</v>
      </c>
      <c r="M23" s="3084"/>
      <c r="N23" s="3084"/>
      <c r="O23" s="3085"/>
      <c r="P23" s="3086">
        <v>365</v>
      </c>
      <c r="Q23" s="3060"/>
      <c r="R23" s="3126">
        <f>ROUND(M23*N23*O23*P23/10000,0)</f>
        <v>0</v>
      </c>
      <c r="S23" s="3041"/>
      <c r="T23" s="3041"/>
      <c r="U23" s="3041"/>
      <c r="V23" s="3049"/>
    </row>
    <row r="24" spans="1:22" s="3053" customFormat="1" ht="13.15" customHeight="1">
      <c r="A24" s="3138"/>
      <c r="B24" s="3139" t="s">
        <v>3086</v>
      </c>
      <c r="C24" s="3140"/>
      <c r="D24" s="3141"/>
      <c r="E24" s="3142"/>
      <c r="F24" s="3143"/>
      <c r="G24" s="3137"/>
      <c r="H24" s="3048"/>
      <c r="I24" s="3049"/>
      <c r="J24" s="3433"/>
      <c r="K24" s="3436"/>
      <c r="L24" s="3103" t="s">
        <v>3047</v>
      </c>
      <c r="M24" s="3104">
        <f>SUM(M21:M23)</f>
        <v>0</v>
      </c>
      <c r="N24" s="3104"/>
      <c r="O24" s="3105"/>
      <c r="P24" s="3118" t="s">
        <v>3111</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3087</v>
      </c>
      <c r="L25" s="3146"/>
      <c r="M25" s="3146"/>
      <c r="N25" s="3146"/>
      <c r="O25" s="3146"/>
      <c r="P25" s="3147"/>
      <c r="Q25" s="3148">
        <v>0</v>
      </c>
      <c r="R25" s="3119">
        <f>ROUND(R14*Q25,0)</f>
        <v>0</v>
      </c>
      <c r="S25" s="3041"/>
      <c r="T25" s="3041"/>
      <c r="U25" s="3041"/>
      <c r="V25" s="3149"/>
    </row>
    <row r="26" spans="1:22" s="3150" customFormat="1" ht="13.15" customHeight="1">
      <c r="A26" s="3131">
        <v>2</v>
      </c>
      <c r="B26" s="3132" t="s">
        <v>3088</v>
      </c>
      <c r="C26" s="3133">
        <f>D7</f>
        <v>0</v>
      </c>
      <c r="D26" s="3134">
        <f>D23*D27</f>
        <v>0</v>
      </c>
      <c r="E26" s="3135">
        <f>E23*E27</f>
        <v>0</v>
      </c>
      <c r="F26" s="3136"/>
      <c r="G26" s="3137"/>
      <c r="H26" s="3048"/>
      <c r="I26" s="3049"/>
      <c r="J26" s="3437">
        <v>5</v>
      </c>
      <c r="K26" s="3151" t="s">
        <v>3089</v>
      </c>
      <c r="L26" s="3152"/>
      <c r="M26" s="3153"/>
      <c r="N26" s="3154" t="s">
        <v>3090</v>
      </c>
      <c r="O26" s="3154" t="s">
        <v>3091</v>
      </c>
      <c r="P26" s="3155" t="s">
        <v>3092</v>
      </c>
      <c r="Q26" s="3155" t="s">
        <v>3093</v>
      </c>
      <c r="R26" s="3058" t="s">
        <v>3018</v>
      </c>
      <c r="S26" s="3156"/>
      <c r="T26" s="3156"/>
      <c r="U26" s="3156"/>
      <c r="V26" s="3149"/>
    </row>
    <row r="27" spans="1:22" s="3053" customFormat="1" ht="13.15" customHeight="1">
      <c r="A27" s="3138"/>
      <c r="B27" s="3139" t="s">
        <v>3094</v>
      </c>
      <c r="C27" s="3157" t="e">
        <f>E7</f>
        <v>#DIV/0!</v>
      </c>
      <c r="D27" s="3141"/>
      <c r="E27" s="3142"/>
      <c r="F27" s="3143"/>
      <c r="G27" s="3137"/>
      <c r="H27" s="3158"/>
      <c r="I27" s="3149"/>
      <c r="J27" s="3438"/>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3095</v>
      </c>
      <c r="F28" s="3143"/>
      <c r="G28" s="3130"/>
      <c r="H28" s="3158"/>
      <c r="I28" s="3149"/>
      <c r="J28" s="3164">
        <v>6</v>
      </c>
      <c r="K28" s="3165" t="s">
        <v>3096</v>
      </c>
      <c r="L28" s="3166" t="s">
        <v>3097</v>
      </c>
      <c r="M28" s="3167"/>
      <c r="N28" s="3166" t="s">
        <v>3098</v>
      </c>
      <c r="O28" s="3168"/>
      <c r="P28" s="3166" t="s">
        <v>3099</v>
      </c>
      <c r="Q28" s="3169">
        <v>1.4999999999999999E-2</v>
      </c>
      <c r="R28" s="3170"/>
      <c r="S28" s="3122"/>
      <c r="T28" s="3122"/>
      <c r="U28" s="3122"/>
      <c r="V28" s="3149"/>
    </row>
    <row r="29" spans="1:22" s="3150" customFormat="1" ht="13.15" customHeight="1">
      <c r="A29" s="3131">
        <v>3</v>
      </c>
      <c r="B29" s="3132" t="s">
        <v>3100</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3094</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3101</v>
      </c>
      <c r="K31" s="3039"/>
      <c r="L31" s="3039"/>
      <c r="M31" s="3039"/>
      <c r="N31" s="3039"/>
      <c r="O31" s="3039"/>
      <c r="P31" s="3039"/>
      <c r="Q31" s="3039"/>
      <c r="R31" s="3040"/>
      <c r="S31" s="3122"/>
      <c r="T31" s="3041"/>
      <c r="U31" s="3041"/>
      <c r="V31" s="3149"/>
    </row>
    <row r="32" spans="1:22" s="3150" customFormat="1" ht="13.15" customHeight="1">
      <c r="A32" s="3131">
        <v>4</v>
      </c>
      <c r="B32" s="3132" t="s">
        <v>3102</v>
      </c>
      <c r="C32" s="3133">
        <f>C23-C26-C29</f>
        <v>0</v>
      </c>
      <c r="D32" s="3134">
        <f>D23-D26-D29</f>
        <v>0</v>
      </c>
      <c r="E32" s="3135">
        <f>E23-E26-E29</f>
        <v>0</v>
      </c>
      <c r="F32" s="3136"/>
      <c r="G32" s="3130"/>
      <c r="H32" s="3048"/>
      <c r="I32" s="3049"/>
      <c r="J32" s="3439" t="s">
        <v>2994</v>
      </c>
      <c r="K32" s="3440"/>
      <c r="L32" s="3050" t="s">
        <v>2995</v>
      </c>
      <c r="M32" s="3050" t="s">
        <v>2996</v>
      </c>
      <c r="N32" s="3050" t="s">
        <v>2997</v>
      </c>
      <c r="O32" s="3050" t="s">
        <v>2998</v>
      </c>
      <c r="P32" s="3050" t="s">
        <v>2999</v>
      </c>
      <c r="Q32" s="3051" t="s">
        <v>3000</v>
      </c>
      <c r="R32" s="3173" t="s">
        <v>3001</v>
      </c>
      <c r="S32" s="3122"/>
      <c r="T32" s="3041"/>
      <c r="U32" s="3041"/>
      <c r="V32" s="3149"/>
    </row>
    <row r="33" spans="1:23" s="3053" customFormat="1" ht="13.15" customHeight="1">
      <c r="A33" s="3131"/>
      <c r="B33" s="3132"/>
      <c r="C33" s="3133"/>
      <c r="D33" s="3174"/>
      <c r="E33" s="3175"/>
      <c r="F33" s="3136"/>
      <c r="G33" s="3130"/>
      <c r="H33" s="3158"/>
      <c r="I33" s="3149"/>
      <c r="J33" s="3441" t="s">
        <v>3004</v>
      </c>
      <c r="K33" s="3442"/>
      <c r="L33" s="3056"/>
      <c r="M33" s="3056"/>
      <c r="N33" s="3056"/>
      <c r="O33" s="3056"/>
      <c r="P33" s="3056"/>
      <c r="Q33" s="3057"/>
      <c r="R33" s="3176">
        <f>SUM(L33:Q33)</f>
        <v>0</v>
      </c>
      <c r="S33" s="3122"/>
      <c r="T33" s="3041"/>
      <c r="U33" s="3041"/>
      <c r="V33" s="3049"/>
    </row>
    <row r="34" spans="1:23" s="3053" customFormat="1" ht="13.15" customHeight="1">
      <c r="A34" s="3131">
        <v>5</v>
      </c>
      <c r="B34" s="3132" t="s">
        <v>3103</v>
      </c>
      <c r="C34" s="3177"/>
      <c r="D34" s="3178"/>
      <c r="E34" s="3179"/>
      <c r="F34" s="3136"/>
      <c r="G34" s="3130"/>
      <c r="H34" s="3158"/>
      <c r="I34" s="3149"/>
      <c r="J34" s="3441" t="s">
        <v>3006</v>
      </c>
      <c r="K34" s="3442"/>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3104</v>
      </c>
      <c r="C35" s="3181"/>
      <c r="D35" s="3182"/>
      <c r="E35" s="3183"/>
      <c r="F35" s="3136"/>
      <c r="G35" s="3184"/>
      <c r="H35" s="3048"/>
      <c r="I35" s="3149"/>
      <c r="J35" s="3067" t="s">
        <v>3008</v>
      </c>
      <c r="K35" s="3068"/>
      <c r="L35" s="3068"/>
      <c r="M35" s="3069"/>
      <c r="N35" s="3069"/>
      <c r="O35" s="3069"/>
      <c r="P35" s="3069"/>
      <c r="Q35" s="3069"/>
      <c r="R35" s="3185">
        <f>R40+R41+R43</f>
        <v>0</v>
      </c>
      <c r="S35" s="3122"/>
      <c r="T35" s="3041" t="s">
        <v>3009</v>
      </c>
      <c r="U35" s="3041"/>
      <c r="V35" s="3049"/>
    </row>
    <row r="36" spans="1:23" s="3053" customFormat="1" ht="13.15" customHeight="1" thickBot="1">
      <c r="A36" s="3131">
        <v>7</v>
      </c>
      <c r="B36" s="3186" t="s">
        <v>3105</v>
      </c>
      <c r="C36" s="3187"/>
      <c r="D36" s="3188"/>
      <c r="E36" s="3189"/>
      <c r="F36" s="3190">
        <f>C36+D36+E36</f>
        <v>0</v>
      </c>
      <c r="G36" s="3130"/>
      <c r="H36" s="3048"/>
      <c r="I36" s="3049"/>
      <c r="J36" s="3433">
        <v>1</v>
      </c>
      <c r="K36" s="3434" t="s">
        <v>3106</v>
      </c>
      <c r="L36" s="3074"/>
      <c r="M36" s="3075"/>
      <c r="N36" s="3075"/>
      <c r="O36" s="3075"/>
      <c r="P36" s="3075"/>
      <c r="Q36" s="3075"/>
      <c r="R36" s="3058" t="s">
        <v>3018</v>
      </c>
      <c r="S36" s="3122"/>
      <c r="T36" s="3041" t="s">
        <v>3019</v>
      </c>
      <c r="U36" s="3041"/>
      <c r="V36" s="3049"/>
    </row>
    <row r="37" spans="1:23" s="3053" customFormat="1" ht="13.15" customHeight="1">
      <c r="A37" s="3131"/>
      <c r="B37" s="3132"/>
      <c r="C37" s="3132"/>
      <c r="D37" s="3132"/>
      <c r="E37" s="3132"/>
      <c r="F37" s="3136"/>
      <c r="G37" s="3130"/>
      <c r="H37" s="3048"/>
      <c r="I37" s="3049"/>
      <c r="J37" s="3433"/>
      <c r="K37" s="3435"/>
      <c r="L37" s="3083"/>
      <c r="M37" s="3084"/>
      <c r="N37" s="3060"/>
      <c r="O37" s="3085"/>
      <c r="P37" s="3085"/>
      <c r="Q37" s="3086"/>
      <c r="R37" s="3087"/>
      <c r="S37" s="3122"/>
      <c r="T37" s="3041" t="s">
        <v>3022</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33"/>
      <c r="K38" s="3435"/>
      <c r="L38" s="3083"/>
      <c r="M38" s="3084"/>
      <c r="N38" s="3060"/>
      <c r="O38" s="3085"/>
      <c r="P38" s="3085"/>
      <c r="Q38" s="3086"/>
      <c r="R38" s="3087"/>
      <c r="S38" s="3122"/>
      <c r="T38" s="3041" t="s">
        <v>3029</v>
      </c>
      <c r="U38" s="3041"/>
      <c r="V38" s="3049"/>
    </row>
    <row r="39" spans="1:23" s="3053" customFormat="1" ht="13.15" customHeight="1">
      <c r="A39" s="3131">
        <v>9</v>
      </c>
      <c r="B39" s="3132" t="s">
        <v>3107</v>
      </c>
      <c r="C39" s="3097" t="e">
        <f>C38</f>
        <v>#DIV/0!</v>
      </c>
      <c r="D39" s="3132">
        <f>D38/(1+D34)^C36</f>
        <v>0</v>
      </c>
      <c r="E39" s="3132">
        <f>E38/(1+E34)^(C36+D36)</f>
        <v>0</v>
      </c>
      <c r="F39" s="3136"/>
      <c r="G39" s="3191"/>
      <c r="H39" s="3048"/>
      <c r="I39" s="3049"/>
      <c r="J39" s="3433"/>
      <c r="K39" s="3435"/>
      <c r="L39" s="3083"/>
      <c r="M39" s="3084"/>
      <c r="N39" s="3060"/>
      <c r="O39" s="3085"/>
      <c r="P39" s="3085"/>
      <c r="Q39" s="3086"/>
      <c r="R39" s="3087"/>
      <c r="S39" s="3122"/>
      <c r="T39" s="3041"/>
      <c r="U39" s="3041"/>
      <c r="V39" s="3049"/>
    </row>
    <row r="40" spans="1:23" s="3053" customFormat="1" ht="13.15" customHeight="1">
      <c r="A40" s="3192">
        <v>10</v>
      </c>
      <c r="B40" s="3132" t="s">
        <v>3108</v>
      </c>
      <c r="C40" s="3193" t="e">
        <f>C39+D39+E39</f>
        <v>#DIV/0!</v>
      </c>
      <c r="D40" s="3194"/>
      <c r="E40" s="3194"/>
      <c r="F40" s="3195"/>
      <c r="G40" s="3130"/>
      <c r="H40" s="3048"/>
      <c r="I40" s="3049"/>
      <c r="J40" s="3433"/>
      <c r="K40" s="3436"/>
      <c r="L40" s="3103" t="s">
        <v>3047</v>
      </c>
      <c r="M40" s="3104"/>
      <c r="N40" s="3104"/>
      <c r="O40" s="3105"/>
      <c r="P40" s="3105"/>
      <c r="Q40" s="3106"/>
      <c r="R40" s="3052">
        <f>SUM(R37:R39)</f>
        <v>0</v>
      </c>
      <c r="S40" s="3122"/>
      <c r="T40" s="3041"/>
      <c r="U40" s="3041"/>
      <c r="V40" s="3049"/>
    </row>
    <row r="41" spans="1:23" s="3053" customFormat="1" ht="13.15" customHeight="1" thickBot="1">
      <c r="A41" s="3196">
        <v>11</v>
      </c>
      <c r="B41" s="3197" t="s">
        <v>3109</v>
      </c>
      <c r="C41" s="3197" t="e">
        <f>ROUND(C40*10000/B4,0)</f>
        <v>#DIV/0!</v>
      </c>
      <c r="D41" s="3198"/>
      <c r="E41" s="3198"/>
      <c r="F41" s="3199"/>
      <c r="G41" s="3200"/>
      <c r="H41" s="3048"/>
      <c r="I41" s="3049"/>
      <c r="J41" s="3144">
        <v>2</v>
      </c>
      <c r="K41" s="3145" t="s">
        <v>3087</v>
      </c>
      <c r="L41" s="3146"/>
      <c r="M41" s="3146"/>
      <c r="N41" s="3146"/>
      <c r="O41" s="3146"/>
      <c r="P41" s="3147"/>
      <c r="Q41" s="3148"/>
      <c r="R41" s="3119">
        <f>ROUND(R40*Q41,0)</f>
        <v>0</v>
      </c>
      <c r="S41" s="3122"/>
      <c r="T41" s="3041"/>
      <c r="U41" s="3156"/>
      <c r="V41" s="3049"/>
    </row>
    <row r="42" spans="1:23" s="3053" customFormat="1" ht="13.15" customHeight="1">
      <c r="G42" s="3200"/>
      <c r="H42" s="3048"/>
      <c r="I42" s="3049"/>
      <c r="J42" s="3437">
        <v>3</v>
      </c>
      <c r="K42" s="3151" t="s">
        <v>3089</v>
      </c>
      <c r="L42" s="3152"/>
      <c r="M42" s="3153"/>
      <c r="N42" s="3154" t="s">
        <v>3090</v>
      </c>
      <c r="O42" s="3154" t="s">
        <v>3091</v>
      </c>
      <c r="P42" s="3155" t="s">
        <v>3092</v>
      </c>
      <c r="Q42" s="3155" t="s">
        <v>3093</v>
      </c>
      <c r="R42" s="3058" t="s">
        <v>3018</v>
      </c>
      <c r="S42" s="3156"/>
      <c r="T42" s="3156"/>
      <c r="U42" s="3041"/>
      <c r="V42" s="3049"/>
    </row>
    <row r="43" spans="1:23" ht="13.15" customHeight="1">
      <c r="A43" s="3053"/>
      <c r="B43" s="3053"/>
      <c r="C43" s="3053"/>
      <c r="D43" s="3053"/>
      <c r="E43" s="3053"/>
      <c r="F43" s="3053"/>
      <c r="I43" s="3036"/>
      <c r="J43" s="3438"/>
      <c r="K43" s="3159"/>
      <c r="L43" s="3160"/>
      <c r="M43" s="3161"/>
      <c r="N43" s="3084"/>
      <c r="O43" s="3084"/>
      <c r="P43" s="3084"/>
      <c r="Q43" s="3148"/>
      <c r="R43" s="3119">
        <f>ROUND(O43*N43*P43*(1-Q43)/10000,0)</f>
        <v>0</v>
      </c>
      <c r="S43" s="3122"/>
      <c r="T43" s="3041"/>
      <c r="V43" s="3202"/>
      <c r="W43" s="3203"/>
    </row>
    <row r="44" spans="1:23" ht="13.15" customHeight="1" thickBot="1">
      <c r="J44" s="3164">
        <v>6</v>
      </c>
      <c r="K44" s="3165" t="s">
        <v>3096</v>
      </c>
      <c r="L44" s="3204" t="s">
        <v>3097</v>
      </c>
      <c r="M44" s="3167"/>
      <c r="N44" s="3204" t="s">
        <v>3098</v>
      </c>
      <c r="O44" s="3167"/>
      <c r="P44" s="3204" t="s">
        <v>3099</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2285</v>
      </c>
      <c r="B1" s="2023"/>
      <c r="C1" s="2023"/>
      <c r="D1" s="2023"/>
      <c r="E1" s="2024"/>
      <c r="F1" s="2905"/>
      <c r="G1" s="1643"/>
      <c r="H1" s="1643"/>
      <c r="I1" s="1643"/>
      <c r="J1" s="1643"/>
      <c r="K1" s="1643"/>
      <c r="L1" s="1643"/>
      <c r="M1" s="1643"/>
      <c r="N1" s="1643"/>
      <c r="O1" s="1643"/>
      <c r="P1" s="1643"/>
      <c r="Q1" s="1643"/>
      <c r="R1" s="1643"/>
      <c r="S1" s="1643"/>
    </row>
    <row r="2" spans="1:22" ht="15.75">
      <c r="A2" s="2025" t="s">
        <v>2089</v>
      </c>
      <c r="B2" s="2026">
        <f ca="1">SUMIF(B6:B13,"&lt;&gt;#ref!",B6:B13)</f>
        <v>13545</v>
      </c>
      <c r="C2" s="2027" t="s">
        <v>2278</v>
      </c>
      <c r="D2" s="2028" t="s">
        <v>2279</v>
      </c>
      <c r="E2" s="2802">
        <f>SUM(E6:E13)</f>
        <v>18907.050000000003</v>
      </c>
      <c r="F2" s="2905"/>
      <c r="G2" s="1643"/>
      <c r="H2" s="1643"/>
      <c r="I2" s="1643"/>
      <c r="J2" s="1643"/>
      <c r="K2" s="1643"/>
      <c r="L2" s="1643"/>
      <c r="M2" s="1643"/>
      <c r="N2" s="1643"/>
      <c r="O2" s="1643"/>
      <c r="P2" s="1643"/>
      <c r="Q2" s="1643"/>
      <c r="R2" s="1643"/>
      <c r="S2" s="1643"/>
    </row>
    <row r="3" spans="1:22" ht="15.75">
      <c r="A3" s="2025" t="s">
        <v>1300</v>
      </c>
      <c r="B3" s="2796">
        <f ca="1">ROUND(B2*10000/E2,0)</f>
        <v>7164</v>
      </c>
      <c r="C3" s="2027" t="s">
        <v>2286</v>
      </c>
      <c r="D3" s="2907"/>
      <c r="E3" s="2909"/>
      <c r="F3" s="2905"/>
      <c r="G3" s="1643"/>
      <c r="H3" s="1643"/>
      <c r="I3" s="1643"/>
      <c r="J3" s="1643"/>
      <c r="K3" s="1643"/>
      <c r="L3" s="1643"/>
      <c r="M3" s="1643"/>
      <c r="N3" s="1643"/>
      <c r="O3" s="1643"/>
      <c r="P3" s="1643"/>
      <c r="Q3" s="1643"/>
      <c r="R3" s="1643"/>
      <c r="S3" s="1643"/>
    </row>
    <row r="4" spans="1:22" ht="15.75">
      <c r="A4" s="2910"/>
      <c r="B4" s="2907"/>
      <c r="C4" s="2907"/>
      <c r="D4" s="2907"/>
      <c r="E4" s="2909"/>
      <c r="F4" s="2905"/>
      <c r="G4" s="1643"/>
      <c r="H4" s="1643"/>
      <c r="I4" s="1643"/>
      <c r="J4" s="1643"/>
      <c r="K4" s="1643"/>
      <c r="L4" s="1643"/>
      <c r="M4" s="1643"/>
      <c r="N4" s="1643"/>
      <c r="O4" s="1643"/>
      <c r="P4" s="1643"/>
      <c r="Q4" s="1643"/>
      <c r="R4" s="1643"/>
      <c r="S4" s="1643"/>
    </row>
    <row r="5" spans="1:22" ht="15">
      <c r="A5" s="2798" t="s">
        <v>2280</v>
      </c>
      <c r="B5" s="3452" t="s">
        <v>2281</v>
      </c>
      <c r="C5" s="3453"/>
      <c r="D5" s="2906"/>
      <c r="E5" s="2029" t="s">
        <v>2282</v>
      </c>
      <c r="F5" s="2030" t="s">
        <v>2283</v>
      </c>
      <c r="G5" s="1643"/>
      <c r="H5" s="1643"/>
      <c r="I5" s="1643"/>
      <c r="J5" s="1643"/>
      <c r="K5" s="1643"/>
      <c r="L5" s="1643"/>
      <c r="M5" s="1643"/>
      <c r="N5" s="1643"/>
      <c r="O5" s="1643"/>
      <c r="P5" s="1643"/>
      <c r="Q5" s="1643"/>
      <c r="R5" s="1643"/>
      <c r="S5" s="1643"/>
    </row>
    <row r="6" spans="1:22">
      <c r="A6" s="2799" t="str">
        <f>'数据-取费表'!AN6</f>
        <v>收益法</v>
      </c>
      <c r="B6" s="2797">
        <f ca="1">IF(F6="是",'数据-取费表'!AO6,0)</f>
        <v>13545</v>
      </c>
      <c r="C6" s="2027" t="s">
        <v>2278</v>
      </c>
      <c r="D6" s="2907"/>
      <c r="E6" s="2801">
        <f>IF(OR(A6=0,F6="否"),0,'数据-取费表'!K6+'数据-取费表'!S6)</f>
        <v>18907.050000000003</v>
      </c>
      <c r="F6" s="2031" t="s">
        <v>2284</v>
      </c>
      <c r="G6" s="1643"/>
      <c r="H6" s="1643"/>
      <c r="I6" s="1643"/>
      <c r="J6" s="1643"/>
      <c r="K6" s="1643"/>
      <c r="L6" s="1643"/>
      <c r="M6" s="1643"/>
      <c r="N6" s="1643"/>
      <c r="O6" s="1643"/>
      <c r="P6" s="1643"/>
      <c r="Q6" s="1643"/>
      <c r="R6" s="1643"/>
      <c r="S6" s="1643"/>
    </row>
    <row r="7" spans="1:22">
      <c r="A7" s="2799">
        <f>'数据-取费表'!AN7</f>
        <v>0</v>
      </c>
      <c r="B7" s="2797" t="e">
        <f ca="1">IF(F7="是",'数据-取费表'!AO7,0)</f>
        <v>#REF!</v>
      </c>
      <c r="C7" s="2027" t="s">
        <v>2278</v>
      </c>
      <c r="D7" s="2907"/>
      <c r="E7" s="2801">
        <f>IF(OR(A7=0,F7="否"),0,'数据-取费表'!K7+'数据-取费表'!S7)</f>
        <v>0</v>
      </c>
      <c r="F7" s="2031" t="s">
        <v>2284</v>
      </c>
      <c r="G7" s="1643"/>
      <c r="H7" s="1643"/>
      <c r="I7" s="1643"/>
      <c r="J7" s="1643"/>
      <c r="K7" s="1643"/>
      <c r="L7" s="1643"/>
      <c r="M7" s="1643"/>
      <c r="N7" s="1643"/>
      <c r="O7" s="1643"/>
      <c r="P7" s="1643"/>
      <c r="Q7" s="1643"/>
      <c r="R7" s="1643"/>
      <c r="S7" s="1643"/>
    </row>
    <row r="8" spans="1:22">
      <c r="A8" s="2799">
        <f>'数据-取费表'!AN8</f>
        <v>0</v>
      </c>
      <c r="B8" s="2797" t="e">
        <f ca="1">IF(F8="是",'数据-取费表'!AO8,0)</f>
        <v>#REF!</v>
      </c>
      <c r="C8" s="2027" t="s">
        <v>2278</v>
      </c>
      <c r="D8" s="2907"/>
      <c r="E8" s="2801">
        <f>IF(OR(A8=0,F8="否"),0,'数据-取费表'!K8+'数据-取费表'!S8)</f>
        <v>0</v>
      </c>
      <c r="F8" s="2031" t="s">
        <v>2284</v>
      </c>
      <c r="G8" s="1643"/>
      <c r="H8" s="1643"/>
      <c r="I8" s="1643"/>
      <c r="J8" s="1643"/>
      <c r="K8" s="1643"/>
      <c r="L8" s="1643"/>
      <c r="M8" s="1643"/>
      <c r="N8" s="1643"/>
      <c r="O8" s="1643"/>
      <c r="P8" s="1643"/>
      <c r="Q8" s="1643"/>
      <c r="R8" s="1643"/>
      <c r="S8" s="1643"/>
    </row>
    <row r="9" spans="1:22">
      <c r="A9" s="2799">
        <f>'数据-取费表'!AN9</f>
        <v>0</v>
      </c>
      <c r="B9" s="2797" t="e">
        <f ca="1">IF(F9="是",'数据-取费表'!AO9,0)</f>
        <v>#REF!</v>
      </c>
      <c r="C9" s="2027" t="s">
        <v>2278</v>
      </c>
      <c r="D9" s="2907"/>
      <c r="E9" s="2801">
        <f>IF(OR(A9=0,F9="否"),0,'数据-取费表'!K9+'数据-取费表'!S9)</f>
        <v>0</v>
      </c>
      <c r="F9" s="2031" t="s">
        <v>2284</v>
      </c>
      <c r="G9" s="1643"/>
      <c r="H9" s="1643"/>
      <c r="I9" s="1643"/>
      <c r="J9" s="1643"/>
      <c r="K9" s="1643"/>
      <c r="L9" s="1643"/>
      <c r="M9" s="1643"/>
      <c r="N9" s="1643"/>
      <c r="O9" s="1643"/>
      <c r="P9" s="1643"/>
      <c r="Q9" s="1643"/>
      <c r="R9" s="1643"/>
      <c r="S9" s="1643"/>
    </row>
    <row r="10" spans="1:22">
      <c r="A10" s="2799">
        <f>'数据-取费表'!AN10</f>
        <v>0</v>
      </c>
      <c r="B10" s="2797" t="e">
        <f ca="1">IF(F10="是",'数据-取费表'!AO10,0)</f>
        <v>#REF!</v>
      </c>
      <c r="C10" s="2027" t="s">
        <v>2278</v>
      </c>
      <c r="D10" s="2907"/>
      <c r="E10" s="2801">
        <f>IF(OR(A10=0,F10="否"),0,'数据-取费表'!K10+'数据-取费表'!S10)</f>
        <v>0</v>
      </c>
      <c r="F10" s="2031" t="s">
        <v>2284</v>
      </c>
      <c r="G10" s="1643"/>
      <c r="H10" s="1643"/>
      <c r="I10" s="1643"/>
      <c r="J10" s="1643"/>
      <c r="K10" s="1643"/>
      <c r="L10" s="1643"/>
      <c r="M10" s="1643"/>
      <c r="N10" s="1643"/>
      <c r="O10" s="1643"/>
      <c r="P10" s="1643"/>
      <c r="Q10" s="1643"/>
      <c r="R10" s="1643"/>
      <c r="S10" s="1643"/>
    </row>
    <row r="11" spans="1:22">
      <c r="A11" s="2799">
        <f>'数据-取费表'!AN11</f>
        <v>0</v>
      </c>
      <c r="B11" s="2797" t="e">
        <f ca="1">IF(F11="是",'数据-取费表'!AO11,0)</f>
        <v>#REF!</v>
      </c>
      <c r="C11" s="2027" t="s">
        <v>2278</v>
      </c>
      <c r="D11" s="2907"/>
      <c r="E11" s="2801">
        <f>IF(OR(A11=0,F11="否"),0,'数据-取费表'!K11+'数据-取费表'!S11)</f>
        <v>0</v>
      </c>
      <c r="F11" s="2031" t="s">
        <v>2284</v>
      </c>
      <c r="G11" s="1643"/>
      <c r="H11" s="1643"/>
      <c r="I11" s="1643"/>
      <c r="J11" s="1643"/>
      <c r="K11" s="1643"/>
      <c r="L11" s="1643"/>
      <c r="M11" s="1643"/>
      <c r="N11" s="1643"/>
      <c r="O11" s="1643"/>
      <c r="P11" s="1643"/>
      <c r="Q11" s="1643"/>
      <c r="R11" s="1643"/>
      <c r="S11" s="1643"/>
    </row>
    <row r="12" spans="1:22">
      <c r="A12" s="2799">
        <f>'数据-取费表'!AN12</f>
        <v>0</v>
      </c>
      <c r="B12" s="2797" t="e">
        <f ca="1">IF(F12="是",'数据-取费表'!AO12,0)</f>
        <v>#REF!</v>
      </c>
      <c r="C12" s="2027" t="s">
        <v>2278</v>
      </c>
      <c r="D12" s="2907"/>
      <c r="E12" s="2801">
        <f>IF(OR(A12=0,F12="否"),0,'数据-取费表'!K12+'数据-取费表'!S12)</f>
        <v>0</v>
      </c>
      <c r="F12" s="2031" t="s">
        <v>2284</v>
      </c>
      <c r="G12" s="1643"/>
      <c r="H12" s="1643"/>
      <c r="I12" s="1643"/>
      <c r="J12" s="1643"/>
      <c r="K12" s="1643"/>
      <c r="L12" s="1643"/>
      <c r="M12" s="1643"/>
      <c r="N12" s="1643"/>
      <c r="O12" s="1643"/>
      <c r="P12" s="1643"/>
      <c r="Q12" s="1643"/>
      <c r="R12" s="1643"/>
      <c r="S12" s="1643"/>
    </row>
    <row r="13" spans="1:22" ht="15" thickBot="1">
      <c r="A13" s="2800">
        <f>'数据-取费表'!AN13</f>
        <v>0</v>
      </c>
      <c r="B13" s="2797" t="e">
        <f ca="1">IF(F13="是",'数据-取费表'!AO13,0)</f>
        <v>#REF!</v>
      </c>
      <c r="C13" s="2032" t="s">
        <v>2278</v>
      </c>
      <c r="D13" s="2908"/>
      <c r="E13" s="2801">
        <f>IF(OR(A13=0,F13="否"),0,'数据-取费表'!K13+'数据-取费表'!S13)</f>
        <v>0</v>
      </c>
      <c r="F13" s="2031" t="s">
        <v>2284</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033" t="s">
        <v>2288</v>
      </c>
      <c r="C1" s="1377" t="s">
        <v>2289</v>
      </c>
      <c r="D1" s="1364"/>
      <c r="E1" s="2513"/>
      <c r="F1" s="2034" t="s">
        <v>2290</v>
      </c>
      <c r="G1" s="1374" t="s">
        <v>2291</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3" customFormat="1" ht="28.5" customHeight="1" thickTop="1">
      <c r="A2" s="1360" t="s">
        <v>1299</v>
      </c>
      <c r="B2" s="1298" t="e">
        <f ca="1">IF(C2="——",ROUND(C49*D3/10000,0),ROUND(C49*D3/10000,0)-D2)</f>
        <v>#DIV/0!</v>
      </c>
      <c r="C2" s="2036"/>
      <c r="D2" s="1247" t="e">
        <f ca="1">SUMIF(INDIRECT("'"&amp;F2&amp;"'"&amp;"!A:A"),"承租人权益价值",INDIRECT("'"&amp;F2&amp;"'"&amp;"!c:c"))</f>
        <v>#REF!</v>
      </c>
      <c r="E2" s="2037" t="s">
        <v>2292</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2293</v>
      </c>
      <c r="D3" s="359">
        <f>IF(D1="",'数据-汇总表'!E3,SUMIF('数据-汇总表'!$C19:$C33,D1,'数据-汇总表'!$E19:$E33))</f>
        <v>18907.05</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2294</v>
      </c>
      <c r="B4" s="362"/>
      <c r="C4" s="3472" t="s">
        <v>2295</v>
      </c>
      <c r="D4" s="3473"/>
      <c r="E4" s="3474" t="s">
        <v>2296</v>
      </c>
      <c r="F4" s="3475"/>
      <c r="G4" s="3472" t="s">
        <v>2297</v>
      </c>
      <c r="H4" s="3473"/>
      <c r="I4" s="3472" t="s">
        <v>2298</v>
      </c>
      <c r="J4" s="3473"/>
      <c r="K4" s="2044" t="s">
        <v>2299</v>
      </c>
      <c r="L4" s="2913"/>
      <c r="M4" s="2914"/>
      <c r="N4" s="2914"/>
      <c r="O4" s="2914"/>
      <c r="P4" s="3476" t="s">
        <v>2300</v>
      </c>
      <c r="Q4" s="3477"/>
      <c r="R4" s="3482" t="s">
        <v>2296</v>
      </c>
      <c r="S4" s="3483"/>
      <c r="T4" s="3482" t="s">
        <v>2297</v>
      </c>
      <c r="U4" s="3483"/>
      <c r="V4" s="3488" t="s">
        <v>2298</v>
      </c>
      <c r="W4" s="3488"/>
      <c r="X4" s="1508"/>
      <c r="Y4" s="3482" t="s">
        <v>2300</v>
      </c>
      <c r="Z4" s="3483"/>
      <c r="AA4" s="3469" t="s">
        <v>2296</v>
      </c>
      <c r="AB4" s="3469" t="s">
        <v>2297</v>
      </c>
      <c r="AC4" s="3469" t="s">
        <v>2298</v>
      </c>
    </row>
    <row r="5" spans="1:29" ht="15">
      <c r="A5" s="364"/>
      <c r="B5" s="365"/>
      <c r="C5" s="3491" t="s">
        <v>2301</v>
      </c>
      <c r="D5" s="3492"/>
      <c r="E5" s="3498" t="s">
        <v>2302</v>
      </c>
      <c r="F5" s="3499"/>
      <c r="G5" s="3491" t="s">
        <v>2303</v>
      </c>
      <c r="H5" s="3492"/>
      <c r="I5" s="3491" t="s">
        <v>2304</v>
      </c>
      <c r="J5" s="3492"/>
      <c r="K5" s="2045"/>
      <c r="L5" s="2913"/>
      <c r="M5" s="2914"/>
      <c r="N5" s="2914"/>
      <c r="O5" s="2914"/>
      <c r="P5" s="3478"/>
      <c r="Q5" s="3479"/>
      <c r="R5" s="3484"/>
      <c r="S5" s="3485"/>
      <c r="T5" s="3484"/>
      <c r="U5" s="3485"/>
      <c r="V5" s="3488"/>
      <c r="W5" s="3488"/>
      <c r="X5" s="1508"/>
      <c r="Y5" s="3484"/>
      <c r="Z5" s="3485"/>
      <c r="AA5" s="3470"/>
      <c r="AB5" s="3470"/>
      <c r="AC5" s="3470"/>
    </row>
    <row r="6" spans="1:29" ht="15.75" thickBot="1">
      <c r="A6" s="366"/>
      <c r="B6" s="367"/>
      <c r="C6" s="3489" t="s">
        <v>2305</v>
      </c>
      <c r="D6" s="3490"/>
      <c r="E6" s="3496" t="s">
        <v>2305</v>
      </c>
      <c r="F6" s="3497"/>
      <c r="G6" s="3489" t="s">
        <v>2305</v>
      </c>
      <c r="H6" s="3490"/>
      <c r="I6" s="3489" t="s">
        <v>2305</v>
      </c>
      <c r="J6" s="3490"/>
      <c r="K6" s="2045" t="s">
        <v>2306</v>
      </c>
      <c r="L6" s="2913"/>
      <c r="M6" s="2914"/>
      <c r="N6" s="2914"/>
      <c r="O6" s="2914"/>
      <c r="P6" s="3480"/>
      <c r="Q6" s="3481"/>
      <c r="R6" s="3484"/>
      <c r="S6" s="3485"/>
      <c r="T6" s="3486"/>
      <c r="U6" s="3487"/>
      <c r="V6" s="3488"/>
      <c r="W6" s="3488"/>
      <c r="X6" s="1508"/>
      <c r="Y6" s="3486"/>
      <c r="Z6" s="3487"/>
      <c r="AA6" s="3471"/>
      <c r="AB6" s="3471"/>
      <c r="AC6" s="3471"/>
    </row>
    <row r="7" spans="1:29" s="113" customFormat="1" ht="15.75" thickBot="1">
      <c r="A7" s="368" t="s">
        <v>2307</v>
      </c>
      <c r="B7" s="369"/>
      <c r="C7" s="370">
        <f>'数据-取费表'!B2</f>
        <v>44645</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93" t="s">
        <v>2308</v>
      </c>
      <c r="Q7" s="3495"/>
      <c r="R7" s="710" t="s">
        <v>23</v>
      </c>
      <c r="S7" s="711">
        <f t="shared" ref="S7:S15" si="0">F7</f>
        <v>0</v>
      </c>
      <c r="T7" s="710" t="s">
        <v>23</v>
      </c>
      <c r="U7" s="711">
        <f t="shared" ref="U7:U15" si="1">H7</f>
        <v>0</v>
      </c>
      <c r="V7" s="710" t="s">
        <v>23</v>
      </c>
      <c r="W7" s="711">
        <f t="shared" ref="W7:W15" si="2">J7</f>
        <v>0</v>
      </c>
      <c r="X7" s="712"/>
      <c r="Y7" s="3493" t="s">
        <v>2308</v>
      </c>
      <c r="Z7" s="3494"/>
      <c r="AA7" s="713" t="e">
        <f>D7/F7</f>
        <v>#DIV/0!</v>
      </c>
      <c r="AB7" s="713" t="e">
        <f>D7/H7</f>
        <v>#DIV/0!</v>
      </c>
      <c r="AC7" s="713" t="e">
        <f>D7/J7</f>
        <v>#DIV/0!</v>
      </c>
    </row>
    <row r="8" spans="1:29" s="113" customFormat="1" ht="15.75" thickBot="1">
      <c r="A8" s="368" t="s">
        <v>2309</v>
      </c>
      <c r="B8" s="369"/>
      <c r="C8" s="374" t="s">
        <v>2310</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93" t="s">
        <v>2311</v>
      </c>
      <c r="Q8" s="3494"/>
      <c r="R8" s="710" t="s">
        <v>23</v>
      </c>
      <c r="S8" s="711">
        <f t="shared" si="0"/>
        <v>0</v>
      </c>
      <c r="T8" s="710" t="s">
        <v>23</v>
      </c>
      <c r="U8" s="711">
        <f t="shared" si="1"/>
        <v>0</v>
      </c>
      <c r="V8" s="710" t="s">
        <v>23</v>
      </c>
      <c r="W8" s="711">
        <f t="shared" si="2"/>
        <v>0</v>
      </c>
      <c r="X8" s="712"/>
      <c r="Y8" s="3493" t="s">
        <v>2311</v>
      </c>
      <c r="Z8" s="3494"/>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68"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68"/>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68"/>
      <c r="Q11" s="1496" t="str">
        <f t="shared" si="6"/>
        <v>容积率</v>
      </c>
      <c r="R11" s="710" t="s">
        <v>21</v>
      </c>
      <c r="S11" s="711" t="e">
        <f t="shared" si="0"/>
        <v>#N/A</v>
      </c>
      <c r="T11" s="710" t="s">
        <v>21</v>
      </c>
      <c r="U11" s="711" t="e">
        <f t="shared" si="1"/>
        <v>#N/A</v>
      </c>
      <c r="V11" s="710" t="s">
        <v>21</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68"/>
      <c r="Q12" s="1496">
        <f t="shared" si="6"/>
        <v>111</v>
      </c>
      <c r="R12" s="710" t="s">
        <v>21</v>
      </c>
      <c r="S12" s="711">
        <f t="shared" si="0"/>
        <v>100</v>
      </c>
      <c r="T12" s="710" t="s">
        <v>21</v>
      </c>
      <c r="U12" s="711">
        <f t="shared" si="1"/>
        <v>100</v>
      </c>
      <c r="V12" s="710" t="s">
        <v>21</v>
      </c>
      <c r="W12" s="711">
        <f t="shared" si="2"/>
        <v>100</v>
      </c>
      <c r="X12" s="712"/>
      <c r="Y12" s="3329"/>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68"/>
      <c r="Q13" s="1496">
        <f t="shared" si="6"/>
        <v>111</v>
      </c>
      <c r="R13" s="710" t="s">
        <v>21</v>
      </c>
      <c r="S13" s="711">
        <f t="shared" si="0"/>
        <v>100</v>
      </c>
      <c r="T13" s="710" t="s">
        <v>21</v>
      </c>
      <c r="U13" s="711">
        <f t="shared" si="1"/>
        <v>100</v>
      </c>
      <c r="V13" s="710" t="s">
        <v>21</v>
      </c>
      <c r="W13" s="711">
        <f t="shared" si="2"/>
        <v>100</v>
      </c>
      <c r="X13" s="712"/>
      <c r="Y13" s="3329"/>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68"/>
      <c r="Q14" s="1496">
        <f t="shared" si="6"/>
        <v>111</v>
      </c>
      <c r="R14" s="710" t="s">
        <v>21</v>
      </c>
      <c r="S14" s="711">
        <f t="shared" si="0"/>
        <v>100</v>
      </c>
      <c r="T14" s="710" t="s">
        <v>21</v>
      </c>
      <c r="U14" s="711">
        <f t="shared" si="1"/>
        <v>100</v>
      </c>
      <c r="V14" s="710" t="s">
        <v>21</v>
      </c>
      <c r="W14" s="711">
        <f t="shared" si="2"/>
        <v>100</v>
      </c>
      <c r="X14" s="712"/>
      <c r="Y14" s="3329"/>
      <c r="Z14" s="55">
        <f t="shared" si="7"/>
        <v>111</v>
      </c>
      <c r="AA14" s="713">
        <f t="shared" si="3"/>
        <v>1</v>
      </c>
      <c r="AB14" s="713">
        <f t="shared" si="4"/>
        <v>1</v>
      </c>
      <c r="AC14" s="713">
        <f t="shared" si="5"/>
        <v>1</v>
      </c>
    </row>
    <row r="15" spans="1:29" ht="15">
      <c r="A15" s="399" t="s">
        <v>2318</v>
      </c>
      <c r="B15" s="65" t="s">
        <v>1884</v>
      </c>
      <c r="C15" s="2051">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466" t="s">
        <v>2319</v>
      </c>
      <c r="Q15" s="1505" t="str">
        <f t="shared" si="6"/>
        <v>居住社区成熟度</v>
      </c>
      <c r="R15" s="714" t="s">
        <v>21</v>
      </c>
      <c r="S15" s="715">
        <f t="shared" si="0"/>
        <v>100</v>
      </c>
      <c r="T15" s="714" t="s">
        <v>21</v>
      </c>
      <c r="U15" s="715">
        <f t="shared" si="1"/>
        <v>100</v>
      </c>
      <c r="V15" s="714" t="s">
        <v>21</v>
      </c>
      <c r="W15" s="715">
        <f t="shared" si="2"/>
        <v>100</v>
      </c>
      <c r="X15" s="1508"/>
      <c r="Y15" s="3459" t="s">
        <v>2319</v>
      </c>
      <c r="Z15" s="1509" t="str">
        <f t="shared" si="7"/>
        <v>居住社区成熟度</v>
      </c>
      <c r="AA15" s="1506">
        <f t="shared" si="3"/>
        <v>1</v>
      </c>
      <c r="AB15" s="1506">
        <f t="shared" si="4"/>
        <v>1</v>
      </c>
      <c r="AC15" s="1506">
        <f t="shared" si="5"/>
        <v>1</v>
      </c>
    </row>
    <row r="16" spans="1:29" ht="15">
      <c r="A16" s="387"/>
      <c r="B16" s="405"/>
      <c r="C16" s="406"/>
      <c r="D16" s="407"/>
      <c r="E16" s="2052"/>
      <c r="F16" s="407"/>
      <c r="G16" s="2053"/>
      <c r="H16" s="409"/>
      <c r="I16" s="2053"/>
      <c r="J16" s="407"/>
      <c r="K16" s="2054"/>
      <c r="L16" s="2920"/>
      <c r="M16" s="2914"/>
      <c r="N16" s="2914"/>
      <c r="O16" s="2914"/>
      <c r="P16" s="3467"/>
      <c r="Q16" s="1505"/>
      <c r="R16" s="714"/>
      <c r="S16" s="715"/>
      <c r="T16" s="714"/>
      <c r="U16" s="715"/>
      <c r="V16" s="714"/>
      <c r="W16" s="715"/>
      <c r="X16" s="1508"/>
      <c r="Y16" s="3460"/>
      <c r="Z16" s="1509"/>
      <c r="AA16" s="1506">
        <v>1</v>
      </c>
      <c r="AB16" s="1506">
        <v>1</v>
      </c>
      <c r="AC16" s="1506">
        <v>1</v>
      </c>
    </row>
    <row r="17" spans="1:29" ht="15">
      <c r="A17" s="387"/>
      <c r="B17" s="410" t="s">
        <v>1886</v>
      </c>
      <c r="C17" s="2055">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467"/>
      <c r="Q17" s="1505" t="str">
        <f>B17</f>
        <v>交通便捷度</v>
      </c>
      <c r="R17" s="714" t="s">
        <v>21</v>
      </c>
      <c r="S17" s="715">
        <f>F17</f>
        <v>100</v>
      </c>
      <c r="T17" s="714" t="s">
        <v>21</v>
      </c>
      <c r="U17" s="715">
        <f>H17</f>
        <v>100</v>
      </c>
      <c r="V17" s="714" t="s">
        <v>21</v>
      </c>
      <c r="W17" s="715">
        <f>J17</f>
        <v>100</v>
      </c>
      <c r="X17" s="1508"/>
      <c r="Y17" s="3460"/>
      <c r="Z17" s="1509" t="str">
        <f>Q17</f>
        <v>交通便捷度</v>
      </c>
      <c r="AA17" s="1506">
        <f t="shared" si="3"/>
        <v>1</v>
      </c>
      <c r="AB17" s="1506">
        <f t="shared" si="4"/>
        <v>1</v>
      </c>
      <c r="AC17" s="1506">
        <f t="shared" si="5"/>
        <v>1</v>
      </c>
    </row>
    <row r="18" spans="1:29" ht="15">
      <c r="A18" s="387"/>
      <c r="B18" s="415"/>
      <c r="C18" s="2056"/>
      <c r="D18" s="409"/>
      <c r="E18" s="2057"/>
      <c r="F18" s="409"/>
      <c r="G18" s="2058"/>
      <c r="H18" s="407"/>
      <c r="I18" s="2058"/>
      <c r="J18" s="407"/>
      <c r="K18" s="2054"/>
      <c r="L18" s="2920"/>
      <c r="M18" s="2914"/>
      <c r="N18" s="2914"/>
      <c r="O18" s="2914"/>
      <c r="P18" s="3467"/>
      <c r="Q18" s="1505"/>
      <c r="R18" s="714"/>
      <c r="S18" s="715"/>
      <c r="T18" s="714"/>
      <c r="U18" s="715"/>
      <c r="V18" s="714"/>
      <c r="W18" s="715"/>
      <c r="X18" s="1508"/>
      <c r="Y18" s="3460"/>
      <c r="Z18" s="1509"/>
      <c r="AA18" s="1506">
        <v>1</v>
      </c>
      <c r="AB18" s="1506">
        <v>1</v>
      </c>
      <c r="AC18" s="1506">
        <v>1</v>
      </c>
    </row>
    <row r="19" spans="1:29" ht="15">
      <c r="A19" s="387"/>
      <c r="B19" s="410" t="s">
        <v>1885</v>
      </c>
      <c r="C19" s="2055">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467"/>
      <c r="Q19" s="1505" t="str">
        <f>B19</f>
        <v>公共配套设施</v>
      </c>
      <c r="R19" s="714" t="s">
        <v>21</v>
      </c>
      <c r="S19" s="715">
        <f>F19</f>
        <v>100</v>
      </c>
      <c r="T19" s="714" t="s">
        <v>21</v>
      </c>
      <c r="U19" s="715">
        <f>H19</f>
        <v>100</v>
      </c>
      <c r="V19" s="714" t="s">
        <v>21</v>
      </c>
      <c r="W19" s="715">
        <f>J19</f>
        <v>100</v>
      </c>
      <c r="X19" s="1508"/>
      <c r="Y19" s="3460"/>
      <c r="Z19" s="1509" t="str">
        <f>Q19</f>
        <v>公共配套设施</v>
      </c>
      <c r="AA19" s="1506">
        <f t="shared" si="3"/>
        <v>1</v>
      </c>
      <c r="AB19" s="1506">
        <f t="shared" si="4"/>
        <v>1</v>
      </c>
      <c r="AC19" s="1506">
        <f t="shared" si="5"/>
        <v>1</v>
      </c>
    </row>
    <row r="20" spans="1:29" ht="15">
      <c r="A20" s="387"/>
      <c r="B20" s="415"/>
      <c r="C20" s="406"/>
      <c r="D20" s="407"/>
      <c r="E20" s="2052"/>
      <c r="F20" s="407"/>
      <c r="G20" s="2053"/>
      <c r="H20" s="407"/>
      <c r="I20" s="2053"/>
      <c r="J20" s="407"/>
      <c r="K20" s="2054"/>
      <c r="L20" s="2920"/>
      <c r="M20" s="2914"/>
      <c r="N20" s="2914"/>
      <c r="O20" s="2914"/>
      <c r="P20" s="3467"/>
      <c r="Q20" s="1505"/>
      <c r="R20" s="714"/>
      <c r="S20" s="715"/>
      <c r="T20" s="714"/>
      <c r="U20" s="715"/>
      <c r="V20" s="714"/>
      <c r="W20" s="715"/>
      <c r="X20" s="1508"/>
      <c r="Y20" s="3460"/>
      <c r="Z20" s="1509"/>
      <c r="AA20" s="1506">
        <v>1</v>
      </c>
      <c r="AB20" s="1506">
        <v>1</v>
      </c>
      <c r="AC20" s="1506">
        <v>1</v>
      </c>
    </row>
    <row r="21" spans="1:29" ht="15">
      <c r="A21" s="387"/>
      <c r="B21" s="1265" t="s">
        <v>1887</v>
      </c>
      <c r="C21" s="2055">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467"/>
      <c r="Q21" s="1505" t="str">
        <f>B21</f>
        <v>基础设施水平</v>
      </c>
      <c r="R21" s="714" t="s">
        <v>17</v>
      </c>
      <c r="S21" s="715">
        <f>F21</f>
        <v>100</v>
      </c>
      <c r="T21" s="714" t="s">
        <v>17</v>
      </c>
      <c r="U21" s="715">
        <f>H21</f>
        <v>100</v>
      </c>
      <c r="V21" s="714" t="s">
        <v>17</v>
      </c>
      <c r="W21" s="715">
        <f>J21</f>
        <v>100</v>
      </c>
      <c r="X21" s="1508"/>
      <c r="Y21" s="3460"/>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7"/>
      <c r="G22" s="2059"/>
      <c r="H22" s="407"/>
      <c r="I22" s="406"/>
      <c r="J22" s="407"/>
      <c r="K22" s="2060"/>
      <c r="L22" s="2920"/>
      <c r="M22" s="2914"/>
      <c r="N22" s="2914"/>
      <c r="O22" s="2914"/>
      <c r="P22" s="3467"/>
      <c r="Q22" s="1505"/>
      <c r="R22" s="714"/>
      <c r="S22" s="715"/>
      <c r="T22" s="714"/>
      <c r="U22" s="715"/>
      <c r="V22" s="714"/>
      <c r="W22" s="715"/>
      <c r="X22" s="1508"/>
      <c r="Y22" s="3460"/>
      <c r="Z22" s="1509"/>
      <c r="AA22" s="1506">
        <v>1</v>
      </c>
      <c r="AB22" s="1506">
        <v>1</v>
      </c>
      <c r="AC22" s="1506">
        <v>1</v>
      </c>
    </row>
    <row r="23" spans="1:29" ht="15">
      <c r="A23" s="387"/>
      <c r="B23" s="410" t="s">
        <v>1888</v>
      </c>
      <c r="C23" s="2055">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467"/>
      <c r="Q23" s="1505" t="str">
        <f>B23</f>
        <v>自然及人文环境</v>
      </c>
      <c r="R23" s="714" t="s">
        <v>21</v>
      </c>
      <c r="S23" s="715">
        <f>F23</f>
        <v>100</v>
      </c>
      <c r="T23" s="714" t="s">
        <v>21</v>
      </c>
      <c r="U23" s="715">
        <f>H23</f>
        <v>100</v>
      </c>
      <c r="V23" s="714" t="s">
        <v>21</v>
      </c>
      <c r="W23" s="715">
        <f>J23</f>
        <v>100</v>
      </c>
      <c r="X23" s="1508"/>
      <c r="Y23" s="3460"/>
      <c r="Z23" s="1509" t="str">
        <f>Q23</f>
        <v>自然及人文环境</v>
      </c>
      <c r="AA23" s="1506">
        <f>D23/F23</f>
        <v>1</v>
      </c>
      <c r="AB23" s="1506">
        <f>D23/H23</f>
        <v>1</v>
      </c>
      <c r="AC23" s="1506">
        <f>D23/J23</f>
        <v>1</v>
      </c>
    </row>
    <row r="24" spans="1:29" ht="15">
      <c r="A24" s="387"/>
      <c r="B24" s="415"/>
      <c r="C24" s="406"/>
      <c r="D24" s="407"/>
      <c r="E24" s="2052"/>
      <c r="F24" s="407"/>
      <c r="G24" s="2053"/>
      <c r="H24" s="407"/>
      <c r="I24" s="2053"/>
      <c r="J24" s="407"/>
      <c r="K24" s="2054"/>
      <c r="L24" s="2920"/>
      <c r="M24" s="2914"/>
      <c r="N24" s="2914"/>
      <c r="O24" s="2914"/>
      <c r="P24" s="3467"/>
      <c r="Q24" s="1505"/>
      <c r="R24" s="714"/>
      <c r="S24" s="715"/>
      <c r="T24" s="714"/>
      <c r="U24" s="715"/>
      <c r="V24" s="714"/>
      <c r="W24" s="715"/>
      <c r="X24" s="1508"/>
      <c r="Y24" s="3460"/>
      <c r="Z24" s="1509"/>
      <c r="AA24" s="1506">
        <v>1</v>
      </c>
      <c r="AB24" s="1506">
        <v>1</v>
      </c>
      <c r="AC24" s="1506">
        <v>1</v>
      </c>
    </row>
    <row r="25" spans="1:29" ht="15">
      <c r="A25" s="387"/>
      <c r="B25" s="381" t="s">
        <v>2320</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467"/>
      <c r="Q25" s="1505" t="str">
        <f t="shared" ref="Q25:Q46" si="11">B25</f>
        <v>楼层-1</v>
      </c>
      <c r="R25" s="714" t="s">
        <v>21</v>
      </c>
      <c r="S25" s="715">
        <f t="shared" ref="S25:S46" si="12">F25</f>
        <v>100</v>
      </c>
      <c r="T25" s="714" t="s">
        <v>21</v>
      </c>
      <c r="U25" s="715">
        <f t="shared" ref="U25:U46" si="13">H25</f>
        <v>100</v>
      </c>
      <c r="V25" s="714" t="s">
        <v>21</v>
      </c>
      <c r="W25" s="715">
        <f t="shared" ref="W25:W46" si="14">J25</f>
        <v>100</v>
      </c>
      <c r="X25" s="1508"/>
      <c r="Y25" s="3460"/>
      <c r="Z25" s="1509" t="str">
        <f>Q25</f>
        <v>楼层-1</v>
      </c>
      <c r="AA25" s="1506">
        <f t="shared" ref="AA25:AA46" si="15">D25/F25</f>
        <v>1</v>
      </c>
      <c r="AB25" s="1506">
        <f t="shared" ref="AB25:AB46" si="16">D25/H25</f>
        <v>1</v>
      </c>
      <c r="AC25" s="1506">
        <f t="shared" ref="AC25:AC46" si="17">D25/J25</f>
        <v>1</v>
      </c>
    </row>
    <row r="26" spans="1:29" ht="15">
      <c r="A26" s="387"/>
      <c r="B26" s="381" t="s">
        <v>2321</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467"/>
      <c r="Q26" s="1505" t="str">
        <f t="shared" si="11"/>
        <v>朝向</v>
      </c>
      <c r="R26" s="714" t="s">
        <v>21</v>
      </c>
      <c r="S26" s="715">
        <f t="shared" si="12"/>
        <v>100</v>
      </c>
      <c r="T26" s="714" t="s">
        <v>21</v>
      </c>
      <c r="U26" s="715">
        <f t="shared" si="13"/>
        <v>100</v>
      </c>
      <c r="V26" s="714" t="s">
        <v>21</v>
      </c>
      <c r="W26" s="715">
        <f t="shared" si="14"/>
        <v>100</v>
      </c>
      <c r="X26" s="1508"/>
      <c r="Y26" s="3460"/>
      <c r="Z26" s="1509" t="str">
        <f>Q26</f>
        <v>朝向</v>
      </c>
      <c r="AA26" s="1506">
        <f t="shared" si="15"/>
        <v>1</v>
      </c>
      <c r="AB26" s="1506">
        <f t="shared" si="16"/>
        <v>1</v>
      </c>
      <c r="AC26" s="1506">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467"/>
      <c r="Q27" s="1496">
        <f t="shared" si="11"/>
        <v>111</v>
      </c>
      <c r="R27" s="710" t="s">
        <v>21</v>
      </c>
      <c r="S27" s="711">
        <f t="shared" si="12"/>
        <v>100</v>
      </c>
      <c r="T27" s="710" t="s">
        <v>21</v>
      </c>
      <c r="U27" s="711">
        <f t="shared" si="13"/>
        <v>100</v>
      </c>
      <c r="V27" s="710" t="s">
        <v>21</v>
      </c>
      <c r="W27" s="711">
        <f t="shared" si="14"/>
        <v>100</v>
      </c>
      <c r="X27" s="712"/>
      <c r="Y27" s="3460"/>
      <c r="Z27" s="55">
        <f>Q27</f>
        <v>111</v>
      </c>
      <c r="AA27" s="1506">
        <f t="shared" si="15"/>
        <v>1</v>
      </c>
      <c r="AB27" s="1506">
        <f t="shared" si="16"/>
        <v>1</v>
      </c>
      <c r="AC27" s="1506">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467"/>
      <c r="Q28" s="1505">
        <f t="shared" si="11"/>
        <v>111</v>
      </c>
      <c r="R28" s="714" t="s">
        <v>21</v>
      </c>
      <c r="S28" s="715">
        <f t="shared" si="12"/>
        <v>100</v>
      </c>
      <c r="T28" s="714" t="s">
        <v>21</v>
      </c>
      <c r="U28" s="715">
        <f t="shared" si="13"/>
        <v>100</v>
      </c>
      <c r="V28" s="714" t="s">
        <v>21</v>
      </c>
      <c r="W28" s="715">
        <f t="shared" si="14"/>
        <v>100</v>
      </c>
      <c r="X28" s="1508"/>
      <c r="Y28" s="3460"/>
      <c r="Z28" s="1509">
        <f t="shared" ref="Z28:Z46" si="18">Q28</f>
        <v>111</v>
      </c>
      <c r="AA28" s="1506">
        <f t="shared" si="15"/>
        <v>1</v>
      </c>
      <c r="AB28" s="1506">
        <f t="shared" si="16"/>
        <v>1</v>
      </c>
      <c r="AC28" s="1506">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467"/>
      <c r="Q29" s="1505">
        <f t="shared" si="11"/>
        <v>111</v>
      </c>
      <c r="R29" s="714" t="s">
        <v>21</v>
      </c>
      <c r="S29" s="715">
        <f t="shared" si="12"/>
        <v>100</v>
      </c>
      <c r="T29" s="714" t="s">
        <v>21</v>
      </c>
      <c r="U29" s="715">
        <f t="shared" si="13"/>
        <v>100</v>
      </c>
      <c r="V29" s="714" t="s">
        <v>21</v>
      </c>
      <c r="W29" s="715">
        <f t="shared" si="14"/>
        <v>100</v>
      </c>
      <c r="X29" s="1508"/>
      <c r="Y29" s="3460"/>
      <c r="Z29" s="1509">
        <f t="shared" si="18"/>
        <v>111</v>
      </c>
      <c r="AA29" s="1506">
        <f t="shared" si="15"/>
        <v>1</v>
      </c>
      <c r="AB29" s="1506">
        <f t="shared" si="16"/>
        <v>1</v>
      </c>
      <c r="AC29" s="1506">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467"/>
      <c r="Q30" s="1505">
        <f t="shared" si="11"/>
        <v>111</v>
      </c>
      <c r="R30" s="714" t="s">
        <v>21</v>
      </c>
      <c r="S30" s="715">
        <f t="shared" si="12"/>
        <v>100</v>
      </c>
      <c r="T30" s="714" t="s">
        <v>21</v>
      </c>
      <c r="U30" s="715">
        <f t="shared" si="13"/>
        <v>100</v>
      </c>
      <c r="V30" s="714" t="s">
        <v>21</v>
      </c>
      <c r="W30" s="715">
        <f t="shared" si="14"/>
        <v>100</v>
      </c>
      <c r="X30" s="1508"/>
      <c r="Y30" s="3460"/>
      <c r="Z30" s="1509">
        <f t="shared" si="18"/>
        <v>111</v>
      </c>
      <c r="AA30" s="1506">
        <f t="shared" si="15"/>
        <v>1</v>
      </c>
      <c r="AB30" s="1506">
        <f t="shared" si="16"/>
        <v>1</v>
      </c>
      <c r="AC30" s="1506">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467"/>
      <c r="Q31" s="1505">
        <f t="shared" si="11"/>
        <v>111</v>
      </c>
      <c r="R31" s="714" t="s">
        <v>21</v>
      </c>
      <c r="S31" s="715">
        <f t="shared" si="12"/>
        <v>100</v>
      </c>
      <c r="T31" s="714" t="s">
        <v>21</v>
      </c>
      <c r="U31" s="715">
        <f t="shared" si="13"/>
        <v>100</v>
      </c>
      <c r="V31" s="714" t="s">
        <v>21</v>
      </c>
      <c r="W31" s="715">
        <f t="shared" si="14"/>
        <v>100</v>
      </c>
      <c r="X31" s="1508"/>
      <c r="Y31" s="3460"/>
      <c r="Z31" s="1509">
        <f t="shared" si="18"/>
        <v>111</v>
      </c>
      <c r="AA31" s="1506">
        <f t="shared" si="15"/>
        <v>1</v>
      </c>
      <c r="AB31" s="1506">
        <f t="shared" si="16"/>
        <v>1</v>
      </c>
      <c r="AC31" s="1506">
        <f t="shared" si="17"/>
        <v>1</v>
      </c>
    </row>
    <row r="32" spans="1:29" ht="15">
      <c r="A32" s="399" t="s">
        <v>2322</v>
      </c>
      <c r="B32" s="67" t="s">
        <v>2323</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461" t="s">
        <v>2324</v>
      </c>
      <c r="Q32" s="1505" t="str">
        <f t="shared" si="11"/>
        <v>建筑类型</v>
      </c>
      <c r="R32" s="714" t="s">
        <v>21</v>
      </c>
      <c r="S32" s="715">
        <f t="shared" si="12"/>
        <v>100</v>
      </c>
      <c r="T32" s="714" t="s">
        <v>21</v>
      </c>
      <c r="U32" s="715">
        <f t="shared" si="13"/>
        <v>100</v>
      </c>
      <c r="V32" s="714" t="s">
        <v>21</v>
      </c>
      <c r="W32" s="715">
        <f t="shared" si="14"/>
        <v>100</v>
      </c>
      <c r="X32" s="1508"/>
      <c r="Y32" s="3464" t="s">
        <v>2324</v>
      </c>
      <c r="Z32" s="1509" t="str">
        <f t="shared" si="18"/>
        <v>建筑类型</v>
      </c>
      <c r="AA32" s="1506">
        <f t="shared" si="15"/>
        <v>1</v>
      </c>
      <c r="AB32" s="1506">
        <f t="shared" si="16"/>
        <v>1</v>
      </c>
      <c r="AC32" s="1506">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462"/>
      <c r="Q33" s="716" t="str">
        <f t="shared" si="11"/>
        <v>项目建筑规模</v>
      </c>
      <c r="R33" s="717" t="s">
        <v>21</v>
      </c>
      <c r="S33" s="718" t="e">
        <f t="shared" si="12"/>
        <v>#N/A</v>
      </c>
      <c r="T33" s="717" t="s">
        <v>21</v>
      </c>
      <c r="U33" s="718" t="e">
        <f t="shared" si="13"/>
        <v>#N/A</v>
      </c>
      <c r="V33" s="717" t="s">
        <v>21</v>
      </c>
      <c r="W33" s="718" t="e">
        <f t="shared" si="14"/>
        <v>#N/A</v>
      </c>
      <c r="X33" s="719"/>
      <c r="Y33" s="3464"/>
      <c r="Z33" s="720" t="str">
        <f t="shared" si="18"/>
        <v>项目建筑规模</v>
      </c>
      <c r="AA33" s="1506" t="e">
        <f t="shared" si="15"/>
        <v>#N/A</v>
      </c>
      <c r="AB33" s="1506" t="e">
        <f t="shared" si="16"/>
        <v>#N/A</v>
      </c>
      <c r="AC33" s="1506" t="e">
        <f t="shared" si="17"/>
        <v>#N/A</v>
      </c>
    </row>
    <row r="34" spans="1:29" ht="15">
      <c r="A34" s="431"/>
      <c r="B34" s="381" t="s">
        <v>2326</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462"/>
      <c r="Q34" s="1505" t="str">
        <f t="shared" si="11"/>
        <v>建筑结构</v>
      </c>
      <c r="R34" s="714" t="s">
        <v>21</v>
      </c>
      <c r="S34" s="715">
        <f t="shared" si="12"/>
        <v>100</v>
      </c>
      <c r="T34" s="714" t="s">
        <v>21</v>
      </c>
      <c r="U34" s="715">
        <f t="shared" si="13"/>
        <v>100</v>
      </c>
      <c r="V34" s="714" t="s">
        <v>21</v>
      </c>
      <c r="W34" s="715">
        <f t="shared" si="14"/>
        <v>100</v>
      </c>
      <c r="X34" s="1508"/>
      <c r="Y34" s="3464"/>
      <c r="Z34" s="1509" t="str">
        <f t="shared" si="18"/>
        <v>建筑结构</v>
      </c>
      <c r="AA34" s="1506">
        <f t="shared" si="15"/>
        <v>1</v>
      </c>
      <c r="AB34" s="1506">
        <f t="shared" si="16"/>
        <v>1</v>
      </c>
      <c r="AC34" s="1506">
        <f t="shared" si="17"/>
        <v>1</v>
      </c>
    </row>
    <row r="35" spans="1:29" ht="15">
      <c r="A35" s="431"/>
      <c r="B35" s="381" t="s">
        <v>2327</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462"/>
      <c r="Q35" s="1505" t="str">
        <f t="shared" si="11"/>
        <v>建筑品质</v>
      </c>
      <c r="R35" s="714" t="s">
        <v>21</v>
      </c>
      <c r="S35" s="715">
        <f t="shared" si="12"/>
        <v>100</v>
      </c>
      <c r="T35" s="714" t="s">
        <v>21</v>
      </c>
      <c r="U35" s="715">
        <f t="shared" si="13"/>
        <v>100</v>
      </c>
      <c r="V35" s="714" t="s">
        <v>21</v>
      </c>
      <c r="W35" s="715">
        <f t="shared" si="14"/>
        <v>100</v>
      </c>
      <c r="X35" s="1508"/>
      <c r="Y35" s="3464"/>
      <c r="Z35" s="1509" t="str">
        <f t="shared" si="18"/>
        <v>建筑品质</v>
      </c>
      <c r="AA35" s="1506">
        <f t="shared" si="15"/>
        <v>1</v>
      </c>
      <c r="AB35" s="1506">
        <f t="shared" si="16"/>
        <v>1</v>
      </c>
      <c r="AC35" s="1506">
        <f t="shared" si="17"/>
        <v>1</v>
      </c>
    </row>
    <row r="36" spans="1:29" ht="15">
      <c r="A36" s="431"/>
      <c r="B36" s="381" t="s">
        <v>2328</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462"/>
      <c r="Q36" s="1505" t="str">
        <f t="shared" si="11"/>
        <v>公共部分装修</v>
      </c>
      <c r="R36" s="714" t="s">
        <v>21</v>
      </c>
      <c r="S36" s="715">
        <f t="shared" si="12"/>
        <v>100</v>
      </c>
      <c r="T36" s="714" t="s">
        <v>21</v>
      </c>
      <c r="U36" s="715">
        <f t="shared" si="13"/>
        <v>100</v>
      </c>
      <c r="V36" s="714" t="s">
        <v>21</v>
      </c>
      <c r="W36" s="715">
        <f t="shared" si="14"/>
        <v>100</v>
      </c>
      <c r="X36" s="1508"/>
      <c r="Y36" s="3464"/>
      <c r="Z36" s="1509" t="str">
        <f t="shared" si="18"/>
        <v>公共部分装修</v>
      </c>
      <c r="AA36" s="1506">
        <f t="shared" si="15"/>
        <v>1</v>
      </c>
      <c r="AB36" s="1506">
        <f t="shared" si="16"/>
        <v>1</v>
      </c>
      <c r="AC36" s="1506">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462"/>
      <c r="Q37" s="1496" t="str">
        <f t="shared" si="11"/>
        <v>成新度</v>
      </c>
      <c r="R37" s="710" t="s">
        <v>21</v>
      </c>
      <c r="S37" s="711" t="e">
        <f t="shared" si="12"/>
        <v>#N/A</v>
      </c>
      <c r="T37" s="710" t="s">
        <v>21</v>
      </c>
      <c r="U37" s="711" t="e">
        <f t="shared" si="13"/>
        <v>#N/A</v>
      </c>
      <c r="V37" s="710" t="s">
        <v>21</v>
      </c>
      <c r="W37" s="711" t="e">
        <f t="shared" si="14"/>
        <v>#N/A</v>
      </c>
      <c r="X37" s="712"/>
      <c r="Y37" s="3464"/>
      <c r="Z37" s="55" t="str">
        <f t="shared" si="18"/>
        <v>成新度</v>
      </c>
      <c r="AA37" s="713" t="e">
        <f t="shared" si="15"/>
        <v>#N/A</v>
      </c>
      <c r="AB37" s="713" t="e">
        <f t="shared" si="16"/>
        <v>#N/A</v>
      </c>
      <c r="AC37" s="713" t="e">
        <f t="shared" si="17"/>
        <v>#N/A</v>
      </c>
    </row>
    <row r="38" spans="1:29" ht="15">
      <c r="A38" s="431"/>
      <c r="B38" s="381" t="s">
        <v>2330</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462" t="s">
        <v>2324</v>
      </c>
      <c r="Q38" s="1505" t="str">
        <f t="shared" si="11"/>
        <v>物业管理</v>
      </c>
      <c r="R38" s="714" t="s">
        <v>21</v>
      </c>
      <c r="S38" s="715">
        <f t="shared" si="12"/>
        <v>100</v>
      </c>
      <c r="T38" s="714" t="s">
        <v>21</v>
      </c>
      <c r="U38" s="715">
        <f t="shared" si="13"/>
        <v>100</v>
      </c>
      <c r="V38" s="714" t="s">
        <v>21</v>
      </c>
      <c r="W38" s="715">
        <f t="shared" si="14"/>
        <v>100</v>
      </c>
      <c r="X38" s="1508"/>
      <c r="Y38" s="3464" t="s">
        <v>2324</v>
      </c>
      <c r="Z38" s="1509" t="str">
        <f t="shared" si="18"/>
        <v>物业管理</v>
      </c>
      <c r="AA38" s="1506">
        <f t="shared" si="15"/>
        <v>1</v>
      </c>
      <c r="AB38" s="1506">
        <f t="shared" si="16"/>
        <v>1</v>
      </c>
      <c r="AC38" s="1506">
        <f t="shared" si="17"/>
        <v>1</v>
      </c>
    </row>
    <row r="39" spans="1:29" ht="15">
      <c r="A39" s="431"/>
      <c r="B39" s="381" t="s">
        <v>2331</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462"/>
      <c r="Q39" s="1505" t="str">
        <f t="shared" si="11"/>
        <v>市政基础设施</v>
      </c>
      <c r="R39" s="714" t="s">
        <v>21</v>
      </c>
      <c r="S39" s="715">
        <f t="shared" si="12"/>
        <v>100</v>
      </c>
      <c r="T39" s="714" t="s">
        <v>21</v>
      </c>
      <c r="U39" s="715">
        <f t="shared" si="13"/>
        <v>100</v>
      </c>
      <c r="V39" s="714" t="s">
        <v>21</v>
      </c>
      <c r="W39" s="715">
        <f t="shared" si="14"/>
        <v>100</v>
      </c>
      <c r="X39" s="1508"/>
      <c r="Y39" s="3464"/>
      <c r="Z39" s="1509" t="str">
        <f t="shared" si="18"/>
        <v>市政基础设施</v>
      </c>
      <c r="AA39" s="1506">
        <f t="shared" si="15"/>
        <v>1</v>
      </c>
      <c r="AB39" s="1506">
        <f t="shared" si="16"/>
        <v>1</v>
      </c>
      <c r="AC39" s="1506">
        <f t="shared" si="17"/>
        <v>1</v>
      </c>
    </row>
    <row r="40" spans="1:29" ht="15">
      <c r="A40" s="431"/>
      <c r="B40" s="381" t="s">
        <v>2332</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462"/>
      <c r="Q40" s="1505" t="str">
        <f t="shared" si="11"/>
        <v>房型</v>
      </c>
      <c r="R40" s="714" t="s">
        <v>21</v>
      </c>
      <c r="S40" s="715">
        <f t="shared" si="12"/>
        <v>100</v>
      </c>
      <c r="T40" s="714" t="s">
        <v>21</v>
      </c>
      <c r="U40" s="715">
        <f t="shared" si="13"/>
        <v>100</v>
      </c>
      <c r="V40" s="714" t="s">
        <v>21</v>
      </c>
      <c r="W40" s="715">
        <f t="shared" si="14"/>
        <v>100</v>
      </c>
      <c r="X40" s="1508"/>
      <c r="Y40" s="3464"/>
      <c r="Z40" s="1509" t="str">
        <f t="shared" si="18"/>
        <v>房型</v>
      </c>
      <c r="AA40" s="1506">
        <f t="shared" si="15"/>
        <v>1</v>
      </c>
      <c r="AB40" s="1506">
        <f t="shared" si="16"/>
        <v>1</v>
      </c>
      <c r="AC40" s="1506">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62"/>
      <c r="Q41" s="716" t="str">
        <f t="shared" si="11"/>
        <v>单套/主力户型建筑面积</v>
      </c>
      <c r="R41" s="717" t="s">
        <v>21</v>
      </c>
      <c r="S41" s="718">
        <f t="shared" si="12"/>
        <v>100</v>
      </c>
      <c r="T41" s="717" t="s">
        <v>21</v>
      </c>
      <c r="U41" s="718">
        <f t="shared" si="13"/>
        <v>100</v>
      </c>
      <c r="V41" s="717" t="s">
        <v>21</v>
      </c>
      <c r="W41" s="718">
        <f t="shared" si="14"/>
        <v>100</v>
      </c>
      <c r="X41" s="719"/>
      <c r="Y41" s="3464"/>
      <c r="Z41" s="720" t="str">
        <f t="shared" si="18"/>
        <v>单套/主力户型建筑面积</v>
      </c>
      <c r="AA41" s="1506">
        <f t="shared" si="15"/>
        <v>1</v>
      </c>
      <c r="AB41" s="1506">
        <f t="shared" si="16"/>
        <v>1</v>
      </c>
      <c r="AC41" s="1506">
        <f t="shared" si="17"/>
        <v>1</v>
      </c>
    </row>
    <row r="42" spans="1:29" ht="15">
      <c r="A42" s="431"/>
      <c r="B42" s="381" t="s">
        <v>2334</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462"/>
      <c r="Q42" s="1505" t="str">
        <f t="shared" si="11"/>
        <v>内部装修</v>
      </c>
      <c r="R42" s="714" t="s">
        <v>21</v>
      </c>
      <c r="S42" s="715">
        <f t="shared" si="12"/>
        <v>100</v>
      </c>
      <c r="T42" s="714" t="s">
        <v>21</v>
      </c>
      <c r="U42" s="715">
        <f t="shared" si="13"/>
        <v>100</v>
      </c>
      <c r="V42" s="714" t="s">
        <v>21</v>
      </c>
      <c r="W42" s="715">
        <f t="shared" si="14"/>
        <v>100</v>
      </c>
      <c r="X42" s="1508"/>
      <c r="Y42" s="3464"/>
      <c r="Z42" s="1509" t="str">
        <f t="shared" si="18"/>
        <v>内部装修</v>
      </c>
      <c r="AA42" s="1506">
        <f t="shared" si="15"/>
        <v>1</v>
      </c>
      <c r="AB42" s="1506">
        <f t="shared" si="16"/>
        <v>1</v>
      </c>
      <c r="AC42" s="1506">
        <f t="shared" si="17"/>
        <v>1</v>
      </c>
    </row>
    <row r="43" spans="1:29" ht="15">
      <c r="A43" s="431"/>
      <c r="B43" s="381" t="s">
        <v>2335</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462"/>
      <c r="Q43" s="1505" t="str">
        <f t="shared" si="11"/>
        <v>内部装修维护情况</v>
      </c>
      <c r="R43" s="714" t="s">
        <v>21</v>
      </c>
      <c r="S43" s="715">
        <f t="shared" si="12"/>
        <v>100</v>
      </c>
      <c r="T43" s="714" t="s">
        <v>21</v>
      </c>
      <c r="U43" s="715">
        <f t="shared" si="13"/>
        <v>100</v>
      </c>
      <c r="V43" s="714" t="s">
        <v>21</v>
      </c>
      <c r="W43" s="715">
        <f t="shared" si="14"/>
        <v>100</v>
      </c>
      <c r="X43" s="1508"/>
      <c r="Y43" s="3464"/>
      <c r="Z43" s="1509" t="str">
        <f t="shared" si="18"/>
        <v>内部装修维护情况</v>
      </c>
      <c r="AA43" s="1506">
        <f t="shared" si="15"/>
        <v>1</v>
      </c>
      <c r="AB43" s="1506">
        <f t="shared" si="16"/>
        <v>1</v>
      </c>
      <c r="AC43" s="1506">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462"/>
      <c r="Q44" s="1496">
        <f t="shared" si="11"/>
        <v>111</v>
      </c>
      <c r="R44" s="710" t="s">
        <v>21</v>
      </c>
      <c r="S44" s="711">
        <f t="shared" si="12"/>
        <v>100</v>
      </c>
      <c r="T44" s="710" t="s">
        <v>21</v>
      </c>
      <c r="U44" s="711">
        <f t="shared" si="13"/>
        <v>100</v>
      </c>
      <c r="V44" s="710" t="s">
        <v>21</v>
      </c>
      <c r="W44" s="711">
        <f t="shared" si="14"/>
        <v>100</v>
      </c>
      <c r="X44" s="712"/>
      <c r="Y44" s="3464"/>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62"/>
      <c r="Q45" s="1505">
        <f t="shared" si="11"/>
        <v>111</v>
      </c>
      <c r="R45" s="714" t="s">
        <v>21</v>
      </c>
      <c r="S45" s="715">
        <f t="shared" si="12"/>
        <v>100</v>
      </c>
      <c r="T45" s="714" t="s">
        <v>21</v>
      </c>
      <c r="U45" s="715">
        <f t="shared" si="13"/>
        <v>100</v>
      </c>
      <c r="V45" s="714" t="s">
        <v>21</v>
      </c>
      <c r="W45" s="715">
        <f t="shared" si="14"/>
        <v>100</v>
      </c>
      <c r="X45" s="1508"/>
      <c r="Y45" s="3464"/>
      <c r="Z45" s="1509">
        <f t="shared" si="18"/>
        <v>111</v>
      </c>
      <c r="AA45" s="1506">
        <f t="shared" si="15"/>
        <v>1</v>
      </c>
      <c r="AB45" s="1506">
        <f t="shared" si="16"/>
        <v>1</v>
      </c>
      <c r="AC45" s="1506">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63"/>
      <c r="Q46" s="1505">
        <f t="shared" si="11"/>
        <v>111</v>
      </c>
      <c r="R46" s="714" t="s">
        <v>20</v>
      </c>
      <c r="S46" s="715">
        <f t="shared" si="12"/>
        <v>100</v>
      </c>
      <c r="T46" s="714" t="s">
        <v>20</v>
      </c>
      <c r="U46" s="715">
        <f t="shared" si="13"/>
        <v>100</v>
      </c>
      <c r="V46" s="714" t="s">
        <v>20</v>
      </c>
      <c r="W46" s="715">
        <f t="shared" si="14"/>
        <v>100</v>
      </c>
      <c r="X46" s="1508"/>
      <c r="Y46" s="3465"/>
      <c r="Z46" s="1509">
        <f t="shared" si="18"/>
        <v>111</v>
      </c>
      <c r="AA46" s="1506">
        <f t="shared" si="15"/>
        <v>1</v>
      </c>
      <c r="AB46" s="1506">
        <f t="shared" si="16"/>
        <v>1</v>
      </c>
      <c r="AC46" s="1506">
        <f t="shared" si="17"/>
        <v>1</v>
      </c>
    </row>
    <row r="47" spans="1:29" ht="15">
      <c r="A47" s="438" t="s">
        <v>2336</v>
      </c>
      <c r="B47" s="439"/>
      <c r="C47" s="1288" t="s">
        <v>19</v>
      </c>
      <c r="D47" s="1289"/>
      <c r="E47" s="1290"/>
      <c r="F47" s="1291"/>
      <c r="G47" s="1292"/>
      <c r="H47" s="1293"/>
      <c r="I47" s="1290"/>
      <c r="J47" s="1293"/>
      <c r="K47" s="2069"/>
      <c r="L47" s="2922"/>
      <c r="M47" s="2923"/>
      <c r="N47" s="2914"/>
      <c r="O47" s="2923"/>
      <c r="P47" s="3457" t="str">
        <f>A47</f>
        <v>成交单价（元/平方米）</v>
      </c>
      <c r="Q47" s="3457"/>
      <c r="R47" s="3458">
        <f>E47</f>
        <v>0</v>
      </c>
      <c r="S47" s="3458"/>
      <c r="T47" s="3458">
        <f>G47</f>
        <v>0</v>
      </c>
      <c r="U47" s="3458"/>
      <c r="V47" s="3458">
        <f>I47</f>
        <v>0</v>
      </c>
      <c r="W47" s="3458"/>
      <c r="X47" s="699"/>
      <c r="Y47" s="721"/>
      <c r="Z47" s="699"/>
      <c r="AA47" s="699"/>
      <c r="AB47" s="699"/>
      <c r="AC47" s="699"/>
    </row>
    <row r="48" spans="1:29" ht="15.75" thickBot="1">
      <c r="A48" s="445" t="s">
        <v>2337</v>
      </c>
      <c r="B48" s="446"/>
      <c r="C48" s="1294" t="e">
        <f>R49</f>
        <v>#DIV/0!</v>
      </c>
      <c r="D48" s="2507" t="s">
        <v>2816</v>
      </c>
      <c r="E48" s="1295" t="e">
        <f>R48</f>
        <v>#DIV/0!</v>
      </c>
      <c r="F48" s="2508"/>
      <c r="G48" s="1294" t="e">
        <f>T48</f>
        <v>#DIV/0!</v>
      </c>
      <c r="H48" s="2508"/>
      <c r="I48" s="1295" t="e">
        <f>V48</f>
        <v>#DIV/0!</v>
      </c>
      <c r="J48" s="2508"/>
      <c r="K48" s="2509">
        <f>F48+H48+J48</f>
        <v>0</v>
      </c>
      <c r="L48" s="2922"/>
      <c r="M48" s="2923"/>
      <c r="N48" s="2923"/>
      <c r="O48" s="292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0"/>
      <c r="L49" s="2922"/>
      <c r="M49" s="2923"/>
      <c r="N49" s="2923"/>
      <c r="O49" s="292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2342</v>
      </c>
      <c r="B57" s="699"/>
      <c r="C57" s="704"/>
      <c r="D57" s="704"/>
      <c r="E57" s="704"/>
      <c r="F57" s="705"/>
      <c r="G57" s="705"/>
      <c r="H57" s="704"/>
      <c r="I57" s="704"/>
      <c r="J57" s="704"/>
      <c r="K57" s="1072"/>
      <c r="L57" s="1073"/>
      <c r="M57" s="1071"/>
      <c r="N57" s="1071"/>
      <c r="O57" s="1071"/>
      <c r="P57" s="2073"/>
      <c r="Q57" s="461"/>
    </row>
    <row r="58" spans="1:29" s="465" customFormat="1" ht="15">
      <c r="A58" s="462" t="s">
        <v>2343</v>
      </c>
      <c r="B58" s="463"/>
      <c r="C58" s="1319" t="str">
        <f>YEAR(C7)&amp;"-"&amp;MONTH(C7)</f>
        <v>2022-3</v>
      </c>
      <c r="D58" s="1318">
        <f>EDATE(C58,-1)</f>
        <v>44593</v>
      </c>
      <c r="E58" s="1318">
        <f>EDATE(D58,-1)</f>
        <v>44562</v>
      </c>
      <c r="F58" s="1318">
        <f t="shared" ref="F58:O58" si="19">EDATE(E58,-1)</f>
        <v>44531</v>
      </c>
      <c r="G58" s="1318">
        <f t="shared" si="19"/>
        <v>44501</v>
      </c>
      <c r="H58" s="1318">
        <f t="shared" si="19"/>
        <v>44470</v>
      </c>
      <c r="I58" s="1318">
        <f t="shared" si="19"/>
        <v>44440</v>
      </c>
      <c r="J58" s="1318">
        <f t="shared" si="19"/>
        <v>44409</v>
      </c>
      <c r="K58" s="1318">
        <f t="shared" si="19"/>
        <v>44378</v>
      </c>
      <c r="L58" s="1318">
        <f t="shared" si="19"/>
        <v>44348</v>
      </c>
      <c r="M58" s="1318">
        <f t="shared" si="19"/>
        <v>44317</v>
      </c>
      <c r="N58" s="1318">
        <f t="shared" si="19"/>
        <v>44287</v>
      </c>
      <c r="O58" s="1318">
        <f t="shared" si="19"/>
        <v>44256</v>
      </c>
      <c r="P58" s="1314"/>
    </row>
    <row r="59" spans="1:29" s="113" customFormat="1" ht="15">
      <c r="A59" s="466"/>
      <c r="B59" s="2074"/>
      <c r="C59" s="1316">
        <v>100</v>
      </c>
      <c r="D59" s="468"/>
      <c r="E59" s="469"/>
      <c r="F59" s="469"/>
      <c r="G59" s="469"/>
      <c r="H59" s="469"/>
      <c r="I59" s="469"/>
      <c r="J59" s="469"/>
      <c r="K59" s="469"/>
      <c r="L59" s="469"/>
      <c r="M59" s="470"/>
      <c r="N59" s="469"/>
      <c r="O59" s="470"/>
      <c r="P59" s="2075"/>
    </row>
    <row r="60" spans="1:29" s="113" customFormat="1" ht="15.75" thickBot="1">
      <c r="A60" s="472" t="s">
        <v>2344</v>
      </c>
      <c r="B60" s="473"/>
      <c r="C60" s="474"/>
      <c r="D60" s="475"/>
      <c r="E60" s="475"/>
      <c r="F60" s="475"/>
      <c r="G60" s="475"/>
      <c r="H60" s="475"/>
      <c r="I60" s="475"/>
      <c r="J60" s="475"/>
      <c r="K60" s="475"/>
      <c r="L60" s="475"/>
      <c r="M60" s="476"/>
      <c r="N60" s="475"/>
      <c r="O60" s="476"/>
      <c r="P60" s="2075"/>
      <c r="Q60" s="461"/>
    </row>
    <row r="61" spans="1:29" s="113" customFormat="1" ht="15">
      <c r="A61" s="478" t="s">
        <v>2345</v>
      </c>
      <c r="B61" s="467"/>
      <c r="C61" s="479" t="s">
        <v>2346</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2347</v>
      </c>
      <c r="B63" s="485" t="s">
        <v>2313</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1887</v>
      </c>
      <c r="C82" s="496" t="s">
        <v>2363</v>
      </c>
      <c r="D82" s="496" t="s">
        <v>2364</v>
      </c>
      <c r="E82" s="496" t="s">
        <v>2365</v>
      </c>
      <c r="F82" s="496" t="s">
        <v>2366</v>
      </c>
      <c r="G82" s="496" t="s">
        <v>2367</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2369</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2370</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2322</v>
      </c>
      <c r="B100" s="485" t="s">
        <v>2371</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2373</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2374</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2375</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2376</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2377</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2378</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2379</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2381</v>
      </c>
    </row>
    <row r="137" spans="1:17" ht="15">
      <c r="B137" s="2085" t="s">
        <v>2382</v>
      </c>
      <c r="C137" s="2086"/>
      <c r="D137" s="2086"/>
      <c r="E137" s="2086"/>
      <c r="F137" s="2086"/>
      <c r="G137" s="2087"/>
      <c r="H137" s="2088"/>
      <c r="I137" s="2089" t="s">
        <v>2383</v>
      </c>
      <c r="J137" s="2086"/>
      <c r="K137" s="2090"/>
    </row>
    <row r="138" spans="1:17" ht="15">
      <c r="B138" s="2091"/>
      <c r="C138" s="142" t="s">
        <v>2384</v>
      </c>
      <c r="D138" s="142" t="s">
        <v>2385</v>
      </c>
      <c r="E138" s="2092" t="s">
        <v>2386</v>
      </c>
      <c r="F138" s="2093" t="s">
        <v>2387</v>
      </c>
      <c r="G138" s="142" t="s">
        <v>2385</v>
      </c>
      <c r="H138" s="143" t="s">
        <v>2386</v>
      </c>
      <c r="I138" s="2094"/>
      <c r="J138" s="142" t="s">
        <v>2388</v>
      </c>
      <c r="K138" s="143" t="s">
        <v>2389</v>
      </c>
    </row>
    <row r="139" spans="1:17" ht="15">
      <c r="B139" s="998">
        <v>6</v>
      </c>
      <c r="C139" s="999">
        <v>96</v>
      </c>
      <c r="D139" s="2095" t="s">
        <v>2390</v>
      </c>
      <c r="E139" s="1000">
        <v>100</v>
      </c>
      <c r="F139" s="1001">
        <v>102.5</v>
      </c>
      <c r="G139" s="2095" t="s">
        <v>2390</v>
      </c>
      <c r="H139" s="1002">
        <v>105</v>
      </c>
      <c r="I139" s="2096" t="s">
        <v>2391</v>
      </c>
      <c r="J139" s="999">
        <v>20</v>
      </c>
      <c r="K139" s="1003">
        <f>C145/(J139-2)</f>
        <v>4.0555555555555553E-3</v>
      </c>
    </row>
    <row r="140" spans="1:17" ht="15">
      <c r="B140" s="1004">
        <v>5</v>
      </c>
      <c r="C140" s="1005">
        <v>100</v>
      </c>
      <c r="D140" s="1005"/>
      <c r="E140" s="1006"/>
      <c r="F140" s="1007">
        <v>102</v>
      </c>
      <c r="G140" s="1005"/>
      <c r="H140" s="1008"/>
      <c r="I140" s="2097" t="s">
        <v>2392</v>
      </c>
      <c r="J140" s="277">
        <f>ROUNDUP((J139-1)/2,0)</f>
        <v>10</v>
      </c>
      <c r="K140" s="1009">
        <v>100</v>
      </c>
    </row>
    <row r="141" spans="1:17" ht="15">
      <c r="B141" s="1004">
        <v>4</v>
      </c>
      <c r="C141" s="1005">
        <v>102</v>
      </c>
      <c r="D141" s="1005"/>
      <c r="E141" s="1006"/>
      <c r="F141" s="1007">
        <v>101.5</v>
      </c>
      <c r="G141" s="1005"/>
      <c r="H141" s="1008"/>
      <c r="I141" s="2097" t="s">
        <v>2393</v>
      </c>
      <c r="J141" s="277">
        <v>1</v>
      </c>
      <c r="K141" s="1010">
        <f>ROUND(100+(J141-J140)*K139*100,1)</f>
        <v>96.4</v>
      </c>
    </row>
    <row r="142" spans="1:17" ht="15">
      <c r="B142" s="1004">
        <v>3</v>
      </c>
      <c r="C142" s="1005">
        <v>103</v>
      </c>
      <c r="D142" s="1005"/>
      <c r="E142" s="1006"/>
      <c r="F142" s="1007">
        <v>101</v>
      </c>
      <c r="G142" s="1005"/>
      <c r="H142" s="1008"/>
      <c r="I142" s="2097" t="s">
        <v>2394</v>
      </c>
      <c r="J142" s="277">
        <f>J139</f>
        <v>20</v>
      </c>
      <c r="K142" s="1011">
        <v>95</v>
      </c>
    </row>
    <row r="143" spans="1:17" ht="15">
      <c r="B143" s="1004">
        <v>2</v>
      </c>
      <c r="C143" s="1005">
        <v>100</v>
      </c>
      <c r="D143" s="1005"/>
      <c r="E143" s="1006"/>
      <c r="F143" s="1007">
        <v>100.5</v>
      </c>
      <c r="G143" s="1005"/>
      <c r="H143" s="1008"/>
      <c r="I143" s="2097" t="s">
        <v>2395</v>
      </c>
      <c r="J143" s="1005">
        <v>15</v>
      </c>
      <c r="K143" s="1010">
        <f>ROUND(100+(J143-J140)*K139*100,1)</f>
        <v>102</v>
      </c>
    </row>
    <row r="144" spans="1:17" ht="15">
      <c r="B144" s="1004">
        <v>1</v>
      </c>
      <c r="C144" s="1005">
        <v>98</v>
      </c>
      <c r="D144" s="2098" t="s">
        <v>2396</v>
      </c>
      <c r="E144" s="1006">
        <v>102</v>
      </c>
      <c r="F144" s="1012">
        <v>100</v>
      </c>
      <c r="G144" s="2098" t="s">
        <v>2396</v>
      </c>
      <c r="H144" s="1008">
        <v>105</v>
      </c>
      <c r="I144" s="2097" t="s">
        <v>2395</v>
      </c>
      <c r="J144" s="1005">
        <v>18</v>
      </c>
      <c r="K144" s="1010">
        <f>ROUND(100+(J144-J140)*K139*100,1)</f>
        <v>103.2</v>
      </c>
    </row>
    <row r="145" spans="2:11" ht="15.75" thickBot="1">
      <c r="B145" s="2099" t="s">
        <v>2397</v>
      </c>
      <c r="C145" s="1013">
        <f>ROUND(MAX(C139:C144)/MIN(C139:C144)-1,3)</f>
        <v>7.2999999999999995E-2</v>
      </c>
      <c r="D145" s="1014"/>
      <c r="E145" s="1014"/>
      <c r="F145" s="2100" t="s">
        <v>2398</v>
      </c>
      <c r="G145" s="2101"/>
      <c r="H145" s="2102"/>
      <c r="I145" s="2103" t="s">
        <v>2395</v>
      </c>
      <c r="J145" s="1015">
        <v>8</v>
      </c>
      <c r="K145" s="1016">
        <f>ROUND(100+(J145-J140)*K139*100,1)</f>
        <v>99.2</v>
      </c>
    </row>
    <row r="147" spans="2:11">
      <c r="B147" s="2084" t="s">
        <v>2399</v>
      </c>
    </row>
    <row r="148" spans="2:11">
      <c r="B148" s="2084" t="s">
        <v>2400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033" t="s">
        <v>2401</v>
      </c>
      <c r="C1" s="1377" t="s">
        <v>2289</v>
      </c>
      <c r="D1" s="1364"/>
      <c r="E1" s="2512"/>
      <c r="F1" s="2034"/>
      <c r="G1" s="1374" t="s">
        <v>2402</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8" customFormat="1" ht="28.5" customHeight="1" thickTop="1">
      <c r="A2" s="1360" t="s">
        <v>2089</v>
      </c>
      <c r="B2" s="1298" t="e">
        <f ca="1">IF(C2="——",ROUND(C49*D3/10000,0),ROUND(C49*D3/10000,0)-D2)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2091</v>
      </c>
      <c r="B3" s="566" t="e">
        <f ca="1">IF(C2="——",C49,ROUND(B2*10000/D3,0))</f>
        <v>#DIV/0!</v>
      </c>
      <c r="C3" s="360" t="s">
        <v>2403</v>
      </c>
      <c r="D3" s="359">
        <f>IF(D1="",'数据-汇总表'!E3,SUMIF('数据-汇总表'!$C19:$C33,D1,'数据-汇总表'!$E19:$E33))</f>
        <v>18907.05</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2404</v>
      </c>
      <c r="B4" s="362"/>
      <c r="C4" s="3472" t="s">
        <v>2405</v>
      </c>
      <c r="D4" s="3473"/>
      <c r="E4" s="3474" t="s">
        <v>2406</v>
      </c>
      <c r="F4" s="3475"/>
      <c r="G4" s="3472" t="s">
        <v>2407</v>
      </c>
      <c r="H4" s="3473"/>
      <c r="I4" s="3472" t="s">
        <v>2408</v>
      </c>
      <c r="J4" s="3473"/>
      <c r="K4" s="567" t="s">
        <v>2409</v>
      </c>
      <c r="L4" s="2913"/>
      <c r="M4" s="2914"/>
      <c r="N4" s="2914"/>
      <c r="O4" s="2914"/>
      <c r="P4" s="3476" t="s">
        <v>2410</v>
      </c>
      <c r="Q4" s="3477"/>
      <c r="R4" s="3482" t="s">
        <v>2406</v>
      </c>
      <c r="S4" s="3483"/>
      <c r="T4" s="3482" t="s">
        <v>2407</v>
      </c>
      <c r="U4" s="3483"/>
      <c r="V4" s="3488" t="s">
        <v>2408</v>
      </c>
      <c r="W4" s="3488"/>
      <c r="X4" s="1508"/>
      <c r="Y4" s="3482" t="s">
        <v>2410</v>
      </c>
      <c r="Z4" s="3483"/>
      <c r="AA4" s="3469" t="s">
        <v>2406</v>
      </c>
      <c r="AB4" s="3488" t="s">
        <v>2407</v>
      </c>
      <c r="AC4" s="3469" t="s">
        <v>2408</v>
      </c>
    </row>
    <row r="5" spans="1:29" ht="15">
      <c r="A5" s="364"/>
      <c r="B5" s="365"/>
      <c r="C5" s="3491" t="s">
        <v>2301</v>
      </c>
      <c r="D5" s="3492"/>
      <c r="E5" s="3498" t="s">
        <v>2302</v>
      </c>
      <c r="F5" s="3499"/>
      <c r="G5" s="3491" t="s">
        <v>2303</v>
      </c>
      <c r="H5" s="3492"/>
      <c r="I5" s="3491" t="s">
        <v>2304</v>
      </c>
      <c r="J5" s="3492"/>
      <c r="K5" s="567"/>
      <c r="L5" s="2913"/>
      <c r="M5" s="2914"/>
      <c r="N5" s="2914"/>
      <c r="O5" s="2914"/>
      <c r="P5" s="3478"/>
      <c r="Q5" s="3479"/>
      <c r="R5" s="3484"/>
      <c r="S5" s="3485"/>
      <c r="T5" s="3484"/>
      <c r="U5" s="3485"/>
      <c r="V5" s="3488"/>
      <c r="W5" s="3488"/>
      <c r="X5" s="1508"/>
      <c r="Y5" s="3484"/>
      <c r="Z5" s="3485"/>
      <c r="AA5" s="3470"/>
      <c r="AB5" s="3488"/>
      <c r="AC5" s="3470"/>
    </row>
    <row r="6" spans="1:29" ht="15.75" thickBot="1">
      <c r="A6" s="366"/>
      <c r="B6" s="367"/>
      <c r="C6" s="3489" t="s">
        <v>2305</v>
      </c>
      <c r="D6" s="3490"/>
      <c r="E6" s="3496" t="s">
        <v>2305</v>
      </c>
      <c r="F6" s="3497"/>
      <c r="G6" s="3489" t="s">
        <v>2305</v>
      </c>
      <c r="H6" s="3490"/>
      <c r="I6" s="3489" t="s">
        <v>2305</v>
      </c>
      <c r="J6" s="3490"/>
      <c r="K6" s="567" t="s">
        <v>2306</v>
      </c>
      <c r="L6" s="2913"/>
      <c r="M6" s="2914"/>
      <c r="N6" s="2914"/>
      <c r="O6" s="2914"/>
      <c r="P6" s="3480"/>
      <c r="Q6" s="3481"/>
      <c r="R6" s="3484"/>
      <c r="S6" s="3485"/>
      <c r="T6" s="3486"/>
      <c r="U6" s="3487"/>
      <c r="V6" s="3488"/>
      <c r="W6" s="3488"/>
      <c r="X6" s="1508"/>
      <c r="Y6" s="3486"/>
      <c r="Z6" s="3487"/>
      <c r="AA6" s="3471"/>
      <c r="AB6" s="3488"/>
      <c r="AC6" s="3471"/>
    </row>
    <row r="7" spans="1:29" s="113" customFormat="1" ht="15.75" thickBot="1">
      <c r="A7" s="368" t="s">
        <v>2307</v>
      </c>
      <c r="B7" s="369"/>
      <c r="C7" s="370">
        <f>'数据-取费表'!B2</f>
        <v>44645</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93" t="s">
        <v>2308</v>
      </c>
      <c r="Q7" s="3495"/>
      <c r="R7" s="710" t="s">
        <v>17</v>
      </c>
      <c r="S7" s="711">
        <f t="shared" ref="S7:S15" si="0">F7</f>
        <v>0</v>
      </c>
      <c r="T7" s="710" t="s">
        <v>17</v>
      </c>
      <c r="U7" s="711">
        <f t="shared" ref="U7:U15" si="1">H7</f>
        <v>0</v>
      </c>
      <c r="V7" s="710" t="s">
        <v>17</v>
      </c>
      <c r="W7" s="711">
        <f t="shared" ref="W7:W15" si="2">J7</f>
        <v>0</v>
      </c>
      <c r="X7" s="712"/>
      <c r="Y7" s="3493" t="s">
        <v>2308</v>
      </c>
      <c r="Z7" s="3494"/>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93" t="s">
        <v>2311</v>
      </c>
      <c r="Q8" s="3494"/>
      <c r="R8" s="710" t="s">
        <v>17</v>
      </c>
      <c r="S8" s="711">
        <f t="shared" si="0"/>
        <v>0</v>
      </c>
      <c r="T8" s="710" t="s">
        <v>17</v>
      </c>
      <c r="U8" s="711">
        <f t="shared" si="1"/>
        <v>0</v>
      </c>
      <c r="V8" s="710" t="s">
        <v>17</v>
      </c>
      <c r="W8" s="711">
        <f t="shared" si="2"/>
        <v>0</v>
      </c>
      <c r="X8" s="712"/>
      <c r="Y8" s="3493" t="s">
        <v>2311</v>
      </c>
      <c r="Z8" s="3494"/>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68"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68"/>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68"/>
      <c r="Q11" s="1496"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68"/>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68"/>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68"/>
      <c r="Q14" s="1496">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15">
      <c r="A15" s="399" t="s">
        <v>2318</v>
      </c>
      <c r="B15" s="65" t="s">
        <v>2412</v>
      </c>
      <c r="C15" s="2051">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466" t="s">
        <v>2319</v>
      </c>
      <c r="Q15" s="1505" t="str">
        <f t="shared" si="6"/>
        <v>商业繁华度</v>
      </c>
      <c r="R15" s="714" t="s">
        <v>17</v>
      </c>
      <c r="S15" s="715">
        <f t="shared" si="0"/>
        <v>100</v>
      </c>
      <c r="T15" s="714" t="s">
        <v>17</v>
      </c>
      <c r="U15" s="715">
        <f t="shared" si="1"/>
        <v>100</v>
      </c>
      <c r="V15" s="714" t="s">
        <v>17</v>
      </c>
      <c r="W15" s="715">
        <f t="shared" si="2"/>
        <v>100</v>
      </c>
      <c r="X15" s="1508"/>
      <c r="Y15" s="3459" t="s">
        <v>2319</v>
      </c>
      <c r="Z15" s="1509" t="str">
        <f t="shared" si="7"/>
        <v>商业繁华度</v>
      </c>
      <c r="AA15" s="1506">
        <f t="shared" si="3"/>
        <v>1</v>
      </c>
      <c r="AB15" s="1506">
        <f t="shared" si="4"/>
        <v>1</v>
      </c>
      <c r="AC15" s="1506">
        <f t="shared" si="5"/>
        <v>1</v>
      </c>
    </row>
    <row r="16" spans="1:29" ht="15">
      <c r="A16" s="387"/>
      <c r="B16" s="405"/>
      <c r="C16" s="406"/>
      <c r="D16" s="407"/>
      <c r="E16" s="406"/>
      <c r="F16" s="408"/>
      <c r="G16" s="406"/>
      <c r="H16" s="409"/>
      <c r="I16" s="406"/>
      <c r="J16" s="407"/>
      <c r="K16" s="572"/>
      <c r="L16" s="2920"/>
      <c r="M16" s="2914"/>
      <c r="N16" s="2914"/>
      <c r="O16" s="2914"/>
      <c r="P16" s="3467"/>
      <c r="Q16" s="1505"/>
      <c r="R16" s="714"/>
      <c r="S16" s="715"/>
      <c r="T16" s="714"/>
      <c r="U16" s="715"/>
      <c r="V16" s="714"/>
      <c r="W16" s="715"/>
      <c r="X16" s="1508"/>
      <c r="Y16" s="3460"/>
      <c r="Z16" s="1509"/>
      <c r="AA16" s="1506">
        <v>1</v>
      </c>
      <c r="AB16" s="1506">
        <v>1</v>
      </c>
      <c r="AC16" s="1506">
        <v>1</v>
      </c>
    </row>
    <row r="17" spans="1:29" ht="15">
      <c r="A17" s="387"/>
      <c r="B17" s="410" t="s">
        <v>1886</v>
      </c>
      <c r="C17" s="2055">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467"/>
      <c r="Q17" s="1505" t="str">
        <f>B17</f>
        <v>交通便捷度</v>
      </c>
      <c r="R17" s="714" t="s">
        <v>17</v>
      </c>
      <c r="S17" s="715">
        <f>F17</f>
        <v>100</v>
      </c>
      <c r="T17" s="714" t="s">
        <v>17</v>
      </c>
      <c r="U17" s="715">
        <f>H17</f>
        <v>100</v>
      </c>
      <c r="V17" s="714" t="s">
        <v>17</v>
      </c>
      <c r="W17" s="715">
        <f>J17</f>
        <v>100</v>
      </c>
      <c r="X17" s="1508"/>
      <c r="Y17" s="3460"/>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2920"/>
      <c r="M18" s="2914"/>
      <c r="N18" s="2914"/>
      <c r="O18" s="2914"/>
      <c r="P18" s="3467"/>
      <c r="Q18" s="1505"/>
      <c r="R18" s="714"/>
      <c r="S18" s="715"/>
      <c r="T18" s="714"/>
      <c r="U18" s="715"/>
      <c r="V18" s="714"/>
      <c r="W18" s="715"/>
      <c r="X18" s="1508"/>
      <c r="Y18" s="3460"/>
      <c r="Z18" s="1509"/>
      <c r="AA18" s="1506">
        <v>1</v>
      </c>
      <c r="AB18" s="1506">
        <v>1</v>
      </c>
      <c r="AC18" s="1506">
        <v>1</v>
      </c>
    </row>
    <row r="19" spans="1:29" ht="15">
      <c r="A19" s="387"/>
      <c r="B19" s="410" t="s">
        <v>2413</v>
      </c>
      <c r="C19" s="2055">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467"/>
      <c r="Q19" s="1505" t="str">
        <f>B19</f>
        <v>公共配套设施</v>
      </c>
      <c r="R19" s="714" t="s">
        <v>17</v>
      </c>
      <c r="S19" s="715">
        <f>F19</f>
        <v>100</v>
      </c>
      <c r="T19" s="714" t="s">
        <v>17</v>
      </c>
      <c r="U19" s="715">
        <f>H19</f>
        <v>100</v>
      </c>
      <c r="V19" s="714" t="s">
        <v>17</v>
      </c>
      <c r="W19" s="715">
        <f>J19</f>
        <v>100</v>
      </c>
      <c r="X19" s="1508"/>
      <c r="Y19" s="3460"/>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2920"/>
      <c r="M20" s="2914"/>
      <c r="N20" s="2914"/>
      <c r="O20" s="2914"/>
      <c r="P20" s="3467"/>
      <c r="Q20" s="1505"/>
      <c r="R20" s="714"/>
      <c r="S20" s="715"/>
      <c r="T20" s="714"/>
      <c r="U20" s="715"/>
      <c r="V20" s="714"/>
      <c r="W20" s="715"/>
      <c r="X20" s="1508"/>
      <c r="Y20" s="3460"/>
      <c r="Z20" s="1509"/>
      <c r="AA20" s="1506">
        <v>1</v>
      </c>
      <c r="AB20" s="1506">
        <v>1</v>
      </c>
      <c r="AC20" s="1506">
        <v>1</v>
      </c>
    </row>
    <row r="21" spans="1:29" ht="15">
      <c r="A21" s="387"/>
      <c r="B21" s="1265" t="s">
        <v>2414</v>
      </c>
      <c r="C21" s="2055">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467"/>
      <c r="Q21" s="1505" t="str">
        <f>B21</f>
        <v>基础设施水平</v>
      </c>
      <c r="R21" s="714" t="s">
        <v>17</v>
      </c>
      <c r="S21" s="715">
        <f>F21</f>
        <v>100</v>
      </c>
      <c r="T21" s="714" t="s">
        <v>17</v>
      </c>
      <c r="U21" s="715">
        <f>H21</f>
        <v>100</v>
      </c>
      <c r="V21" s="714" t="s">
        <v>17</v>
      </c>
      <c r="W21" s="715">
        <f>J21</f>
        <v>100</v>
      </c>
      <c r="X21" s="1508"/>
      <c r="Y21" s="3460"/>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2920"/>
      <c r="M22" s="2914"/>
      <c r="N22" s="2914"/>
      <c r="O22" s="2914"/>
      <c r="P22" s="3467"/>
      <c r="Q22" s="1505"/>
      <c r="R22" s="714"/>
      <c r="S22" s="715"/>
      <c r="T22" s="714"/>
      <c r="U22" s="715"/>
      <c r="V22" s="714"/>
      <c r="W22" s="715"/>
      <c r="X22" s="1508"/>
      <c r="Y22" s="3460"/>
      <c r="Z22" s="1509"/>
      <c r="AA22" s="1506">
        <v>1</v>
      </c>
      <c r="AB22" s="1506">
        <v>1</v>
      </c>
      <c r="AC22" s="1506">
        <v>1</v>
      </c>
    </row>
    <row r="23" spans="1:29" ht="15">
      <c r="A23" s="387"/>
      <c r="B23" s="410" t="s">
        <v>1888</v>
      </c>
      <c r="C23" s="2110">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467"/>
      <c r="Q23" s="1505" t="str">
        <f>B23</f>
        <v>自然及人文环境</v>
      </c>
      <c r="R23" s="714" t="s">
        <v>17</v>
      </c>
      <c r="S23" s="715">
        <f>F23</f>
        <v>100</v>
      </c>
      <c r="T23" s="714" t="s">
        <v>17</v>
      </c>
      <c r="U23" s="715">
        <f>H23</f>
        <v>100</v>
      </c>
      <c r="V23" s="714" t="s">
        <v>17</v>
      </c>
      <c r="W23" s="715">
        <f>J23</f>
        <v>100</v>
      </c>
      <c r="X23" s="1508"/>
      <c r="Y23" s="3460"/>
      <c r="Z23" s="1509" t="str">
        <f>Q23</f>
        <v>自然及人文环境</v>
      </c>
      <c r="AA23" s="1506">
        <f t="shared" si="3"/>
        <v>1</v>
      </c>
      <c r="AB23" s="1506">
        <f t="shared" si="4"/>
        <v>1</v>
      </c>
      <c r="AC23" s="1506">
        <f t="shared" si="5"/>
        <v>1</v>
      </c>
    </row>
    <row r="24" spans="1:29" ht="15">
      <c r="A24" s="387"/>
      <c r="B24" s="415"/>
      <c r="C24" s="406"/>
      <c r="D24" s="407"/>
      <c r="E24" s="2053"/>
      <c r="F24" s="408"/>
      <c r="G24" s="2052"/>
      <c r="H24" s="407"/>
      <c r="I24" s="2053"/>
      <c r="J24" s="407"/>
      <c r="K24" s="572"/>
      <c r="L24" s="2920"/>
      <c r="M24" s="2914"/>
      <c r="N24" s="2914"/>
      <c r="O24" s="2914"/>
      <c r="P24" s="3467"/>
      <c r="Q24" s="1505"/>
      <c r="R24" s="714"/>
      <c r="S24" s="715"/>
      <c r="T24" s="714"/>
      <c r="U24" s="715"/>
      <c r="V24" s="714"/>
      <c r="W24" s="715"/>
      <c r="X24" s="1508"/>
      <c r="Y24" s="3460"/>
      <c r="Z24" s="1509"/>
      <c r="AA24" s="1506">
        <v>1</v>
      </c>
      <c r="AB24" s="1506">
        <v>1</v>
      </c>
      <c r="AC24" s="1506">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467"/>
      <c r="Q25" s="1505" t="str">
        <f t="shared" ref="Q25:Q46" si="11">B25</f>
        <v>临街状况</v>
      </c>
      <c r="R25" s="714" t="s">
        <v>17</v>
      </c>
      <c r="S25" s="715">
        <f>F25</f>
        <v>100</v>
      </c>
      <c r="T25" s="714" t="s">
        <v>17</v>
      </c>
      <c r="U25" s="715">
        <f>H25</f>
        <v>100</v>
      </c>
      <c r="V25" s="714" t="s">
        <v>17</v>
      </c>
      <c r="W25" s="715">
        <f>J25</f>
        <v>100</v>
      </c>
      <c r="X25" s="1508"/>
      <c r="Y25" s="3460"/>
      <c r="Z25" s="1509" t="str">
        <f>Q25</f>
        <v>临街状况</v>
      </c>
      <c r="AA25" s="1506">
        <f t="shared" si="3"/>
        <v>1</v>
      </c>
      <c r="AB25" s="1506">
        <f t="shared" si="4"/>
        <v>1</v>
      </c>
      <c r="AC25" s="1506">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467"/>
      <c r="Q26" s="1505" t="str">
        <f t="shared" si="11"/>
        <v>平面位置/可视性</v>
      </c>
      <c r="R26" s="714" t="s">
        <v>17</v>
      </c>
      <c r="S26" s="715">
        <f>F26</f>
        <v>100</v>
      </c>
      <c r="T26" s="714" t="s">
        <v>17</v>
      </c>
      <c r="U26" s="715">
        <f>H26</f>
        <v>100</v>
      </c>
      <c r="V26" s="714" t="s">
        <v>17</v>
      </c>
      <c r="W26" s="715">
        <f>J26</f>
        <v>100</v>
      </c>
      <c r="X26" s="1508"/>
      <c r="Y26" s="3460"/>
      <c r="Z26" s="1509" t="str">
        <f>Q26</f>
        <v>平面位置/可视性</v>
      </c>
      <c r="AA26" s="1506">
        <f t="shared" si="3"/>
        <v>1</v>
      </c>
      <c r="AB26" s="1506">
        <f t="shared" si="4"/>
        <v>1</v>
      </c>
      <c r="AC26" s="1506">
        <f t="shared" si="5"/>
        <v>1</v>
      </c>
    </row>
    <row r="27" spans="1:29" s="113" customFormat="1" ht="15">
      <c r="A27" s="390"/>
      <c r="B27" s="410" t="s">
        <v>2417</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467"/>
      <c r="Q27" s="1496" t="str">
        <f t="shared" si="11"/>
        <v>人流量</v>
      </c>
      <c r="R27" s="710" t="s">
        <v>17</v>
      </c>
      <c r="S27" s="711">
        <f>F27</f>
        <v>100</v>
      </c>
      <c r="T27" s="710" t="s">
        <v>17</v>
      </c>
      <c r="U27" s="711">
        <f>H27</f>
        <v>100</v>
      </c>
      <c r="V27" s="710" t="s">
        <v>17</v>
      </c>
      <c r="W27" s="711">
        <f>J27</f>
        <v>100</v>
      </c>
      <c r="X27" s="712"/>
      <c r="Y27" s="3460"/>
      <c r="Z27" s="55" t="str">
        <f>Q27</f>
        <v>人流量</v>
      </c>
      <c r="AA27" s="1506">
        <f>D27/F27</f>
        <v>1</v>
      </c>
      <c r="AB27" s="1506">
        <f>D27/H27</f>
        <v>1</v>
      </c>
      <c r="AC27" s="1506">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467"/>
      <c r="Q28" s="1505" t="str">
        <f t="shared" si="11"/>
        <v>楼层</v>
      </c>
      <c r="R28" s="714" t="s">
        <v>17</v>
      </c>
      <c r="S28" s="715">
        <f t="shared" ref="S28:S46" si="12">F28</f>
        <v>100</v>
      </c>
      <c r="T28" s="714" t="s">
        <v>17</v>
      </c>
      <c r="U28" s="715">
        <f t="shared" ref="U28:U46" si="13">H28</f>
        <v>100</v>
      </c>
      <c r="V28" s="714" t="s">
        <v>17</v>
      </c>
      <c r="W28" s="715">
        <f t="shared" ref="W28:W46" si="14">J28</f>
        <v>100</v>
      </c>
      <c r="X28" s="1508"/>
      <c r="Y28" s="3460"/>
      <c r="Z28" s="1509" t="str">
        <f t="shared" ref="Z28:Z46" si="15">Q28</f>
        <v>楼层</v>
      </c>
      <c r="AA28" s="1506">
        <f t="shared" si="3"/>
        <v>1</v>
      </c>
      <c r="AB28" s="1506">
        <f t="shared" si="4"/>
        <v>1</v>
      </c>
      <c r="AC28" s="1506">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467"/>
      <c r="Q29" s="1505">
        <f t="shared" si="11"/>
        <v>111</v>
      </c>
      <c r="R29" s="714" t="s">
        <v>17</v>
      </c>
      <c r="S29" s="715">
        <f t="shared" si="12"/>
        <v>100</v>
      </c>
      <c r="T29" s="714" t="s">
        <v>17</v>
      </c>
      <c r="U29" s="715">
        <f t="shared" si="13"/>
        <v>100</v>
      </c>
      <c r="V29" s="714" t="s">
        <v>17</v>
      </c>
      <c r="W29" s="715">
        <f t="shared" si="14"/>
        <v>100</v>
      </c>
      <c r="X29" s="1508"/>
      <c r="Y29" s="3460"/>
      <c r="Z29" s="1509">
        <f t="shared" si="15"/>
        <v>111</v>
      </c>
      <c r="AA29" s="1506">
        <f t="shared" si="3"/>
        <v>1</v>
      </c>
      <c r="AB29" s="1506">
        <f t="shared" si="4"/>
        <v>1</v>
      </c>
      <c r="AC29" s="1506">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467"/>
      <c r="Q30" s="1505">
        <f t="shared" si="11"/>
        <v>111</v>
      </c>
      <c r="R30" s="714" t="s">
        <v>17</v>
      </c>
      <c r="S30" s="715">
        <f t="shared" si="12"/>
        <v>100</v>
      </c>
      <c r="T30" s="714" t="s">
        <v>17</v>
      </c>
      <c r="U30" s="715">
        <f t="shared" si="13"/>
        <v>100</v>
      </c>
      <c r="V30" s="714" t="s">
        <v>17</v>
      </c>
      <c r="W30" s="715">
        <f t="shared" si="14"/>
        <v>100</v>
      </c>
      <c r="X30" s="1508"/>
      <c r="Y30" s="3460"/>
      <c r="Z30" s="1509">
        <f t="shared" si="15"/>
        <v>111</v>
      </c>
      <c r="AA30" s="1506">
        <f t="shared" si="3"/>
        <v>1</v>
      </c>
      <c r="AB30" s="1506">
        <f t="shared" si="4"/>
        <v>1</v>
      </c>
      <c r="AC30" s="1506">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467"/>
      <c r="Q31" s="1505">
        <f t="shared" si="11"/>
        <v>111</v>
      </c>
      <c r="R31" s="714" t="s">
        <v>17</v>
      </c>
      <c r="S31" s="715">
        <f t="shared" si="12"/>
        <v>100</v>
      </c>
      <c r="T31" s="714" t="s">
        <v>17</v>
      </c>
      <c r="U31" s="715">
        <f t="shared" si="13"/>
        <v>100</v>
      </c>
      <c r="V31" s="714" t="s">
        <v>17</v>
      </c>
      <c r="W31" s="715">
        <f t="shared" si="14"/>
        <v>100</v>
      </c>
      <c r="X31" s="1508"/>
      <c r="Y31" s="3460"/>
      <c r="Z31" s="1509">
        <f t="shared" si="15"/>
        <v>111</v>
      </c>
      <c r="AA31" s="1506">
        <f t="shared" si="3"/>
        <v>1</v>
      </c>
      <c r="AB31" s="1506">
        <f t="shared" si="4"/>
        <v>1</v>
      </c>
      <c r="AC31" s="1506">
        <f t="shared" si="5"/>
        <v>1</v>
      </c>
    </row>
    <row r="32" spans="1:29" ht="15">
      <c r="A32" s="399" t="s">
        <v>2322</v>
      </c>
      <c r="B32" s="67" t="s">
        <v>2419</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61" t="s">
        <v>2324</v>
      </c>
      <c r="Q32" s="1505" t="str">
        <f t="shared" si="11"/>
        <v>商业类型</v>
      </c>
      <c r="R32" s="714" t="s">
        <v>17</v>
      </c>
      <c r="S32" s="715">
        <f t="shared" si="12"/>
        <v>100</v>
      </c>
      <c r="T32" s="714" t="s">
        <v>17</v>
      </c>
      <c r="U32" s="715">
        <f t="shared" si="13"/>
        <v>100</v>
      </c>
      <c r="V32" s="714" t="s">
        <v>17</v>
      </c>
      <c r="W32" s="715">
        <f t="shared" si="14"/>
        <v>100</v>
      </c>
      <c r="X32" s="1508"/>
      <c r="Y32" s="3464" t="s">
        <v>2324</v>
      </c>
      <c r="Z32" s="1509" t="str">
        <f t="shared" si="15"/>
        <v>商业类型</v>
      </c>
      <c r="AA32" s="1506">
        <f t="shared" si="3"/>
        <v>1</v>
      </c>
      <c r="AB32" s="1506">
        <f t="shared" si="4"/>
        <v>1</v>
      </c>
      <c r="AC32" s="1506">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62"/>
      <c r="Q33" s="716" t="str">
        <f t="shared" si="11"/>
        <v>项目建筑规模</v>
      </c>
      <c r="R33" s="717" t="s">
        <v>17</v>
      </c>
      <c r="S33" s="718" t="e">
        <f t="shared" si="12"/>
        <v>#N/A</v>
      </c>
      <c r="T33" s="717" t="s">
        <v>17</v>
      </c>
      <c r="U33" s="718" t="e">
        <f t="shared" si="13"/>
        <v>#N/A</v>
      </c>
      <c r="V33" s="717" t="s">
        <v>17</v>
      </c>
      <c r="W33" s="718" t="e">
        <f t="shared" si="14"/>
        <v>#N/A</v>
      </c>
      <c r="X33" s="719"/>
      <c r="Y33" s="3464"/>
      <c r="Z33" s="720" t="str">
        <f t="shared" si="15"/>
        <v>项目建筑规模</v>
      </c>
      <c r="AA33" s="1506" t="e">
        <f t="shared" si="3"/>
        <v>#N/A</v>
      </c>
      <c r="AB33" s="1506" t="e">
        <f t="shared" si="4"/>
        <v>#N/A</v>
      </c>
      <c r="AC33" s="1506" t="e">
        <f t="shared" si="5"/>
        <v>#N/A</v>
      </c>
    </row>
    <row r="34" spans="1:29" ht="15">
      <c r="A34" s="431"/>
      <c r="B34" s="381" t="s">
        <v>2326</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62"/>
      <c r="Q34" s="1505" t="str">
        <f t="shared" si="11"/>
        <v>建筑结构</v>
      </c>
      <c r="R34" s="714" t="s">
        <v>17</v>
      </c>
      <c r="S34" s="715">
        <f t="shared" si="12"/>
        <v>100</v>
      </c>
      <c r="T34" s="714" t="s">
        <v>17</v>
      </c>
      <c r="U34" s="715">
        <f t="shared" si="13"/>
        <v>100</v>
      </c>
      <c r="V34" s="714" t="s">
        <v>17</v>
      </c>
      <c r="W34" s="715">
        <f t="shared" si="14"/>
        <v>100</v>
      </c>
      <c r="X34" s="1508"/>
      <c r="Y34" s="3464"/>
      <c r="Z34" s="1509" t="str">
        <f t="shared" si="15"/>
        <v>建筑结构</v>
      </c>
      <c r="AA34" s="1506">
        <f t="shared" si="3"/>
        <v>1</v>
      </c>
      <c r="AB34" s="1506">
        <f t="shared" si="4"/>
        <v>1</v>
      </c>
      <c r="AC34" s="1506">
        <f t="shared" si="5"/>
        <v>1</v>
      </c>
    </row>
    <row r="35" spans="1:29" ht="15">
      <c r="A35" s="431"/>
      <c r="B35" s="381" t="s">
        <v>2420</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62"/>
      <c r="Q35" s="1505" t="str">
        <f t="shared" si="11"/>
        <v>公共部分装修</v>
      </c>
      <c r="R35" s="714" t="s">
        <v>17</v>
      </c>
      <c r="S35" s="715">
        <f t="shared" si="12"/>
        <v>100</v>
      </c>
      <c r="T35" s="714" t="s">
        <v>17</v>
      </c>
      <c r="U35" s="715">
        <f t="shared" si="13"/>
        <v>100</v>
      </c>
      <c r="V35" s="714" t="s">
        <v>17</v>
      </c>
      <c r="W35" s="715">
        <f t="shared" si="14"/>
        <v>100</v>
      </c>
      <c r="X35" s="1508"/>
      <c r="Y35" s="3464"/>
      <c r="Z35" s="1509" t="str">
        <f t="shared" si="15"/>
        <v>公共部分装修</v>
      </c>
      <c r="AA35" s="1506">
        <f t="shared" si="3"/>
        <v>1</v>
      </c>
      <c r="AB35" s="1506">
        <f t="shared" si="4"/>
        <v>1</v>
      </c>
      <c r="AC35" s="1506">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62"/>
      <c r="Q36" s="1505" t="str">
        <f t="shared" si="11"/>
        <v>成新度</v>
      </c>
      <c r="R36" s="714" t="s">
        <v>17</v>
      </c>
      <c r="S36" s="715" t="e">
        <f t="shared" si="12"/>
        <v>#N/A</v>
      </c>
      <c r="T36" s="714" t="s">
        <v>17</v>
      </c>
      <c r="U36" s="715" t="e">
        <f t="shared" si="13"/>
        <v>#N/A</v>
      </c>
      <c r="V36" s="714" t="s">
        <v>17</v>
      </c>
      <c r="W36" s="715" t="e">
        <f t="shared" si="14"/>
        <v>#N/A</v>
      </c>
      <c r="X36" s="1508"/>
      <c r="Y36" s="3464"/>
      <c r="Z36" s="1509" t="str">
        <f t="shared" si="15"/>
        <v>成新度</v>
      </c>
      <c r="AA36" s="1506" t="e">
        <f t="shared" si="3"/>
        <v>#N/A</v>
      </c>
      <c r="AB36" s="1506" t="e">
        <f t="shared" si="4"/>
        <v>#N/A</v>
      </c>
      <c r="AC36" s="1506" t="e">
        <f t="shared" si="5"/>
        <v>#N/A</v>
      </c>
    </row>
    <row r="37" spans="1:29" s="113" customFormat="1" ht="15">
      <c r="A37" s="432"/>
      <c r="B37" s="381" t="s">
        <v>2422</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62"/>
      <c r="Q37" s="1496" t="str">
        <f t="shared" si="11"/>
        <v>市政基础设施</v>
      </c>
      <c r="R37" s="710" t="s">
        <v>17</v>
      </c>
      <c r="S37" s="711">
        <f t="shared" si="12"/>
        <v>100</v>
      </c>
      <c r="T37" s="710" t="s">
        <v>17</v>
      </c>
      <c r="U37" s="711">
        <f t="shared" si="13"/>
        <v>100</v>
      </c>
      <c r="V37" s="710" t="s">
        <v>17</v>
      </c>
      <c r="W37" s="711">
        <f t="shared" si="14"/>
        <v>100</v>
      </c>
      <c r="X37" s="712"/>
      <c r="Y37" s="3464"/>
      <c r="Z37" s="55" t="str">
        <f t="shared" si="15"/>
        <v>市政基础设施</v>
      </c>
      <c r="AA37" s="713">
        <f t="shared" si="3"/>
        <v>1</v>
      </c>
      <c r="AB37" s="713">
        <f t="shared" si="4"/>
        <v>1</v>
      </c>
      <c r="AC37" s="713">
        <f t="shared" si="5"/>
        <v>1</v>
      </c>
    </row>
    <row r="38" spans="1:29" ht="15">
      <c r="A38" s="431"/>
      <c r="B38" s="381" t="s">
        <v>2423</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62" t="s">
        <v>2324</v>
      </c>
      <c r="Q38" s="1505" t="str">
        <f t="shared" si="11"/>
        <v>业态</v>
      </c>
      <c r="R38" s="714" t="s">
        <v>17</v>
      </c>
      <c r="S38" s="715">
        <f t="shared" si="12"/>
        <v>100</v>
      </c>
      <c r="T38" s="714" t="s">
        <v>17</v>
      </c>
      <c r="U38" s="715">
        <f t="shared" si="13"/>
        <v>100</v>
      </c>
      <c r="V38" s="714" t="s">
        <v>17</v>
      </c>
      <c r="W38" s="715">
        <f t="shared" si="14"/>
        <v>100</v>
      </c>
      <c r="X38" s="1508"/>
      <c r="Y38" s="3464" t="s">
        <v>2324</v>
      </c>
      <c r="Z38" s="1509" t="str">
        <f t="shared" si="15"/>
        <v>业态</v>
      </c>
      <c r="AA38" s="1506">
        <f t="shared" si="3"/>
        <v>1</v>
      </c>
      <c r="AB38" s="1506">
        <f t="shared" si="4"/>
        <v>1</v>
      </c>
      <c r="AC38" s="1506">
        <f t="shared" si="5"/>
        <v>1</v>
      </c>
    </row>
    <row r="39" spans="1:29" ht="15">
      <c r="A39" s="431"/>
      <c r="B39" s="381" t="s">
        <v>2424</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62"/>
      <c r="Q39" s="1505" t="str">
        <f t="shared" si="11"/>
        <v>层高</v>
      </c>
      <c r="R39" s="714" t="s">
        <v>17</v>
      </c>
      <c r="S39" s="715">
        <f t="shared" si="12"/>
        <v>100</v>
      </c>
      <c r="T39" s="714" t="s">
        <v>17</v>
      </c>
      <c r="U39" s="715">
        <f t="shared" si="13"/>
        <v>100</v>
      </c>
      <c r="V39" s="714" t="s">
        <v>17</v>
      </c>
      <c r="W39" s="715">
        <f t="shared" si="14"/>
        <v>100</v>
      </c>
      <c r="X39" s="1508"/>
      <c r="Y39" s="3464"/>
      <c r="Z39" s="1509" t="str">
        <f t="shared" si="15"/>
        <v>层高</v>
      </c>
      <c r="AA39" s="1506">
        <f t="shared" si="3"/>
        <v>1</v>
      </c>
      <c r="AB39" s="1506">
        <f t="shared" si="4"/>
        <v>1</v>
      </c>
      <c r="AC39" s="1506">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62"/>
      <c r="Q40" s="1505" t="str">
        <f t="shared" si="11"/>
        <v>单套建筑面积</v>
      </c>
      <c r="R40" s="714" t="s">
        <v>17</v>
      </c>
      <c r="S40" s="715">
        <f t="shared" si="12"/>
        <v>100</v>
      </c>
      <c r="T40" s="714" t="s">
        <v>17</v>
      </c>
      <c r="U40" s="715">
        <f t="shared" si="13"/>
        <v>100</v>
      </c>
      <c r="V40" s="714" t="s">
        <v>17</v>
      </c>
      <c r="W40" s="715">
        <f t="shared" si="14"/>
        <v>100</v>
      </c>
      <c r="X40" s="1508"/>
      <c r="Y40" s="3464"/>
      <c r="Z40" s="1509" t="str">
        <f t="shared" si="15"/>
        <v>单套建筑面积</v>
      </c>
      <c r="AA40" s="1506">
        <f t="shared" si="3"/>
        <v>1</v>
      </c>
      <c r="AB40" s="1506">
        <f t="shared" si="4"/>
        <v>1</v>
      </c>
      <c r="AC40" s="1506">
        <f t="shared" si="5"/>
        <v>1</v>
      </c>
    </row>
    <row r="41" spans="1:29" s="430" customFormat="1" ht="15">
      <c r="A41" s="427"/>
      <c r="B41" s="1507"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62"/>
      <c r="Q41" s="716" t="str">
        <f t="shared" si="11"/>
        <v>进深比</v>
      </c>
      <c r="R41" s="717" t="s">
        <v>17</v>
      </c>
      <c r="S41" s="718">
        <f t="shared" si="12"/>
        <v>100</v>
      </c>
      <c r="T41" s="717" t="s">
        <v>17</v>
      </c>
      <c r="U41" s="718">
        <f t="shared" si="13"/>
        <v>100</v>
      </c>
      <c r="V41" s="717" t="s">
        <v>17</v>
      </c>
      <c r="W41" s="718">
        <f t="shared" si="14"/>
        <v>100</v>
      </c>
      <c r="X41" s="719"/>
      <c r="Y41" s="3464"/>
      <c r="Z41" s="720" t="str">
        <f t="shared" si="15"/>
        <v>进深比</v>
      </c>
      <c r="AA41" s="1506">
        <f t="shared" si="3"/>
        <v>1</v>
      </c>
      <c r="AB41" s="1506">
        <f t="shared" si="4"/>
        <v>1</v>
      </c>
      <c r="AC41" s="1506">
        <f t="shared" si="5"/>
        <v>1</v>
      </c>
    </row>
    <row r="42" spans="1:29" ht="15">
      <c r="A42" s="431"/>
      <c r="B42" s="381" t="s">
        <v>2427</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62"/>
      <c r="Q42" s="1505" t="str">
        <f t="shared" si="11"/>
        <v>内部装修</v>
      </c>
      <c r="R42" s="714" t="s">
        <v>17</v>
      </c>
      <c r="S42" s="715">
        <f t="shared" si="12"/>
        <v>100</v>
      </c>
      <c r="T42" s="714" t="s">
        <v>17</v>
      </c>
      <c r="U42" s="715">
        <f t="shared" si="13"/>
        <v>100</v>
      </c>
      <c r="V42" s="714" t="s">
        <v>17</v>
      </c>
      <c r="W42" s="715">
        <f t="shared" si="14"/>
        <v>100</v>
      </c>
      <c r="X42" s="1508"/>
      <c r="Y42" s="3464"/>
      <c r="Z42" s="1509" t="str">
        <f t="shared" si="15"/>
        <v>内部装修</v>
      </c>
      <c r="AA42" s="1506">
        <f t="shared" si="3"/>
        <v>1</v>
      </c>
      <c r="AB42" s="1506">
        <f t="shared" si="4"/>
        <v>1</v>
      </c>
      <c r="AC42" s="1506">
        <f t="shared" si="5"/>
        <v>1</v>
      </c>
    </row>
    <row r="43" spans="1:29" ht="15">
      <c r="A43" s="431"/>
      <c r="B43" s="381" t="s">
        <v>2335</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62"/>
      <c r="Q43" s="1505" t="str">
        <f t="shared" si="11"/>
        <v>内部装修维护情况</v>
      </c>
      <c r="R43" s="714" t="s">
        <v>17</v>
      </c>
      <c r="S43" s="715">
        <f t="shared" si="12"/>
        <v>100</v>
      </c>
      <c r="T43" s="714" t="s">
        <v>17</v>
      </c>
      <c r="U43" s="715">
        <f t="shared" si="13"/>
        <v>100</v>
      </c>
      <c r="V43" s="714" t="s">
        <v>17</v>
      </c>
      <c r="W43" s="715">
        <f t="shared" si="14"/>
        <v>100</v>
      </c>
      <c r="X43" s="1508"/>
      <c r="Y43" s="3464"/>
      <c r="Z43" s="1509" t="str">
        <f t="shared" si="15"/>
        <v>内部装修维护情况</v>
      </c>
      <c r="AA43" s="1506">
        <f t="shared" si="3"/>
        <v>1</v>
      </c>
      <c r="AB43" s="1506">
        <f t="shared" si="4"/>
        <v>1</v>
      </c>
      <c r="AC43" s="1506">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62"/>
      <c r="Q44" s="1496">
        <f t="shared" si="11"/>
        <v>111</v>
      </c>
      <c r="R44" s="710" t="s">
        <v>17</v>
      </c>
      <c r="S44" s="711">
        <f t="shared" si="12"/>
        <v>100</v>
      </c>
      <c r="T44" s="710" t="s">
        <v>17</v>
      </c>
      <c r="U44" s="711">
        <f t="shared" si="13"/>
        <v>100</v>
      </c>
      <c r="V44" s="710" t="s">
        <v>17</v>
      </c>
      <c r="W44" s="711">
        <f t="shared" si="14"/>
        <v>100</v>
      </c>
      <c r="X44" s="712"/>
      <c r="Y44" s="3464"/>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62"/>
      <c r="Q45" s="1505">
        <f t="shared" si="11"/>
        <v>111</v>
      </c>
      <c r="R45" s="714" t="s">
        <v>17</v>
      </c>
      <c r="S45" s="715">
        <f t="shared" si="12"/>
        <v>100</v>
      </c>
      <c r="T45" s="714" t="s">
        <v>17</v>
      </c>
      <c r="U45" s="715">
        <f t="shared" si="13"/>
        <v>100</v>
      </c>
      <c r="V45" s="714" t="s">
        <v>17</v>
      </c>
      <c r="W45" s="715">
        <f t="shared" si="14"/>
        <v>100</v>
      </c>
      <c r="X45" s="1508"/>
      <c r="Y45" s="3464"/>
      <c r="Z45" s="1509">
        <f t="shared" si="15"/>
        <v>111</v>
      </c>
      <c r="AA45" s="1506">
        <f t="shared" si="3"/>
        <v>1</v>
      </c>
      <c r="AB45" s="1506">
        <f t="shared" si="4"/>
        <v>1</v>
      </c>
      <c r="AC45" s="1506">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63"/>
      <c r="Q46" s="1505">
        <f t="shared" si="11"/>
        <v>111</v>
      </c>
      <c r="R46" s="714" t="s">
        <v>17</v>
      </c>
      <c r="S46" s="715">
        <f t="shared" si="12"/>
        <v>100</v>
      </c>
      <c r="T46" s="714" t="s">
        <v>17</v>
      </c>
      <c r="U46" s="715">
        <f t="shared" si="13"/>
        <v>100</v>
      </c>
      <c r="V46" s="714" t="s">
        <v>17</v>
      </c>
      <c r="W46" s="715">
        <f t="shared" si="14"/>
        <v>100</v>
      </c>
      <c r="X46" s="1508"/>
      <c r="Y46" s="3465"/>
      <c r="Z46" s="1509">
        <f t="shared" si="15"/>
        <v>111</v>
      </c>
      <c r="AA46" s="1506">
        <f t="shared" si="3"/>
        <v>1</v>
      </c>
      <c r="AB46" s="1506">
        <f t="shared" si="4"/>
        <v>1</v>
      </c>
      <c r="AC46" s="1506">
        <f t="shared" si="5"/>
        <v>1</v>
      </c>
    </row>
    <row r="47" spans="1:29" ht="15">
      <c r="A47" s="438" t="s">
        <v>2336</v>
      </c>
      <c r="B47" s="439"/>
      <c r="C47" s="1288" t="s">
        <v>1</v>
      </c>
      <c r="D47" s="1289"/>
      <c r="E47" s="1290"/>
      <c r="F47" s="1291"/>
      <c r="G47" s="1292"/>
      <c r="H47" s="1293"/>
      <c r="I47" s="1290"/>
      <c r="J47" s="1293"/>
      <c r="K47" s="723"/>
      <c r="L47" s="2922"/>
      <c r="M47" s="2923"/>
      <c r="N47" s="2914"/>
      <c r="O47" s="2923"/>
      <c r="P47" s="3457" t="str">
        <f>A47</f>
        <v>成交单价（元/平方米）</v>
      </c>
      <c r="Q47" s="3457"/>
      <c r="R47" s="3488">
        <f>E47</f>
        <v>0</v>
      </c>
      <c r="S47" s="3488"/>
      <c r="T47" s="3488">
        <f>G47</f>
        <v>0</v>
      </c>
      <c r="U47" s="3488"/>
      <c r="V47" s="3488">
        <f>I47</f>
        <v>0</v>
      </c>
      <c r="W47" s="3488"/>
      <c r="X47" s="699"/>
      <c r="Y47" s="721"/>
      <c r="Z47" s="699"/>
      <c r="AA47" s="699"/>
      <c r="AB47" s="699"/>
      <c r="AC47" s="699"/>
    </row>
    <row r="48" spans="1:29" ht="15.75" thickBot="1">
      <c r="A48" s="445" t="s">
        <v>2428</v>
      </c>
      <c r="B48" s="446"/>
      <c r="C48" s="1294" t="e">
        <f>R49</f>
        <v>#DIV/0!</v>
      </c>
      <c r="D48" s="2507" t="s">
        <v>2816</v>
      </c>
      <c r="E48" s="1295" t="e">
        <f>R48</f>
        <v>#DIV/0!</v>
      </c>
      <c r="F48" s="2508"/>
      <c r="G48" s="1294" t="e">
        <f>T48</f>
        <v>#DIV/0!</v>
      </c>
      <c r="H48" s="2508"/>
      <c r="I48" s="1295" t="e">
        <f>V48</f>
        <v>#DIV/0!</v>
      </c>
      <c r="J48" s="2508"/>
      <c r="K48" s="2510">
        <f>F48+H48+J48</f>
        <v>0</v>
      </c>
      <c r="L48" s="2922"/>
      <c r="M48" s="2923"/>
      <c r="N48" s="2914"/>
      <c r="O48" s="292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2"/>
      <c r="M49" s="2923"/>
      <c r="N49" s="2914"/>
      <c r="O49" s="292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2433</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2307</v>
      </c>
      <c r="B58" s="463"/>
      <c r="C58" s="1317" t="str">
        <f>YEAR(C7)&amp;"-"&amp;MONTH(C7)</f>
        <v>2022-3</v>
      </c>
      <c r="D58" s="1318">
        <f>EDATE(C58,-1)</f>
        <v>44593</v>
      </c>
      <c r="E58" s="1318">
        <f t="shared" ref="E58:N58" si="16">EDATE(D58,-1)</f>
        <v>44562</v>
      </c>
      <c r="F58" s="1318">
        <f t="shared" si="16"/>
        <v>44531</v>
      </c>
      <c r="G58" s="1318">
        <f t="shared" si="16"/>
        <v>44501</v>
      </c>
      <c r="H58" s="1318">
        <f t="shared" si="16"/>
        <v>44470</v>
      </c>
      <c r="I58" s="1318">
        <f t="shared" si="16"/>
        <v>44440</v>
      </c>
      <c r="J58" s="1318">
        <f t="shared" si="16"/>
        <v>44409</v>
      </c>
      <c r="K58" s="1318">
        <f t="shared" si="16"/>
        <v>44378</v>
      </c>
      <c r="L58" s="1318">
        <f t="shared" si="16"/>
        <v>44348</v>
      </c>
      <c r="M58" s="1318">
        <f t="shared" si="16"/>
        <v>44317</v>
      </c>
      <c r="N58" s="1318">
        <f t="shared" si="16"/>
        <v>44287</v>
      </c>
      <c r="O58" s="1318">
        <f>EDATE(N58,-1)</f>
        <v>44256</v>
      </c>
      <c r="P58" s="2938"/>
      <c r="Q58" s="2939"/>
      <c r="R58" s="2939"/>
      <c r="S58" s="2939"/>
      <c r="T58" s="2939"/>
      <c r="U58" s="2939"/>
      <c r="V58" s="2939"/>
      <c r="W58" s="2939"/>
      <c r="X58" s="2939"/>
      <c r="Y58" s="2939"/>
      <c r="Z58" s="2939"/>
      <c r="AA58" s="2939"/>
      <c r="AB58" s="2939"/>
      <c r="AC58" s="2939"/>
    </row>
    <row r="59" spans="1:29" s="113" customFormat="1" ht="15">
      <c r="A59" s="466"/>
      <c r="B59" s="467"/>
      <c r="C59" s="1316">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2344</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2309</v>
      </c>
      <c r="B61" s="467"/>
      <c r="C61" s="479" t="s">
        <v>2411</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2347</v>
      </c>
      <c r="B63" s="485" t="s">
        <v>2313</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2318</v>
      </c>
      <c r="B76" s="485" t="s">
        <v>2355</v>
      </c>
      <c r="C76" s="530" t="s">
        <v>2356</v>
      </c>
      <c r="D76" s="530" t="s">
        <v>2357</v>
      </c>
      <c r="E76" s="530" t="s">
        <v>2358</v>
      </c>
      <c r="F76" s="530" t="s">
        <v>2359</v>
      </c>
      <c r="G76" s="530" t="s">
        <v>2360</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2361</v>
      </c>
      <c r="C78" s="535" t="s">
        <v>2356</v>
      </c>
      <c r="D78" s="535" t="s">
        <v>2357</v>
      </c>
      <c r="E78" s="535" t="s">
        <v>2358</v>
      </c>
      <c r="F78" s="535" t="s">
        <v>2359</v>
      </c>
      <c r="G78" s="535" t="s">
        <v>2360</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2362</v>
      </c>
      <c r="C80" s="535" t="s">
        <v>2356</v>
      </c>
      <c r="D80" s="535" t="s">
        <v>2357</v>
      </c>
      <c r="E80" s="535" t="s">
        <v>2358</v>
      </c>
      <c r="F80" s="535" t="s">
        <v>2359</v>
      </c>
      <c r="G80" s="535" t="s">
        <v>2360</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2414</v>
      </c>
      <c r="C82" s="616" t="s">
        <v>2434</v>
      </c>
      <c r="D82" s="616" t="s">
        <v>2435</v>
      </c>
      <c r="E82" s="616" t="s">
        <v>2436</v>
      </c>
      <c r="F82" s="616" t="s">
        <v>2437</v>
      </c>
      <c r="G82" s="616" t="s">
        <v>2438</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2368</v>
      </c>
      <c r="C84" s="535" t="s">
        <v>2356</v>
      </c>
      <c r="D84" s="535" t="s">
        <v>2357</v>
      </c>
      <c r="E84" s="535" t="s">
        <v>2358</v>
      </c>
      <c r="F84" s="535" t="s">
        <v>2359</v>
      </c>
      <c r="G84" s="535" t="s">
        <v>2360</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2439</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2322</v>
      </c>
      <c r="B100" s="485" t="s">
        <v>2440</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2373</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2375</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2377</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2441</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2442</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2443</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2444</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2379</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112" t="s">
        <v>2445</v>
      </c>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IF(C2="——",ROUND(C50*D3/10000,0),ROUND(C50*D3/10000,0)-D2)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IF(C2="——",C50,ROUND(B2*10000/D3,0))</f>
        <v>#DIV/0!</v>
      </c>
      <c r="C3" s="360" t="s">
        <v>2403</v>
      </c>
      <c r="D3" s="359">
        <f>IF(D1="",'数据-汇总表'!E3,SUMIF('数据-汇总表'!$C19:$C33,D1,'数据-汇总表'!$E19:$E33))</f>
        <v>18907.05</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2404</v>
      </c>
      <c r="B4" s="362"/>
      <c r="C4" s="3472" t="s">
        <v>2405</v>
      </c>
      <c r="D4" s="3473"/>
      <c r="E4" s="3474" t="s">
        <v>2406</v>
      </c>
      <c r="F4" s="3475"/>
      <c r="G4" s="3472" t="s">
        <v>2407</v>
      </c>
      <c r="H4" s="3473"/>
      <c r="I4" s="3472" t="s">
        <v>2408</v>
      </c>
      <c r="J4" s="3473"/>
      <c r="K4" s="567" t="s">
        <v>2409</v>
      </c>
      <c r="L4" s="2913"/>
      <c r="M4" s="2914"/>
      <c r="N4" s="2914"/>
      <c r="O4" s="2914"/>
      <c r="P4" s="3506" t="s">
        <v>2410</v>
      </c>
      <c r="Q4" s="3507"/>
      <c r="R4" s="3510" t="s">
        <v>2406</v>
      </c>
      <c r="S4" s="3511"/>
      <c r="T4" s="3510" t="s">
        <v>2407</v>
      </c>
      <c r="U4" s="3511"/>
      <c r="V4" s="3512" t="s">
        <v>2408</v>
      </c>
      <c r="W4" s="3512"/>
      <c r="X4" s="2113"/>
      <c r="Y4" s="3510" t="s">
        <v>2410</v>
      </c>
      <c r="Z4" s="3511"/>
      <c r="AA4" s="3514" t="s">
        <v>2406</v>
      </c>
      <c r="AB4" s="3514" t="s">
        <v>2407</v>
      </c>
      <c r="AC4" s="3503" t="s">
        <v>2408</v>
      </c>
    </row>
    <row r="5" spans="1:29" ht="15">
      <c r="A5" s="364"/>
      <c r="B5" s="365"/>
      <c r="C5" s="3491" t="s">
        <v>2301</v>
      </c>
      <c r="D5" s="3492"/>
      <c r="E5" s="3498" t="s">
        <v>2302</v>
      </c>
      <c r="F5" s="3499"/>
      <c r="G5" s="3491" t="s">
        <v>2303</v>
      </c>
      <c r="H5" s="3492"/>
      <c r="I5" s="3491" t="s">
        <v>2304</v>
      </c>
      <c r="J5" s="3492"/>
      <c r="K5" s="567"/>
      <c r="L5" s="2913"/>
      <c r="M5" s="2914"/>
      <c r="N5" s="2914"/>
      <c r="O5" s="2914"/>
      <c r="P5" s="3508"/>
      <c r="Q5" s="3479"/>
      <c r="R5" s="3484"/>
      <c r="S5" s="3485"/>
      <c r="T5" s="3484"/>
      <c r="U5" s="3485"/>
      <c r="V5" s="3488"/>
      <c r="W5" s="3488"/>
      <c r="X5" s="1508"/>
      <c r="Y5" s="3484"/>
      <c r="Z5" s="3485"/>
      <c r="AA5" s="3470"/>
      <c r="AB5" s="3470"/>
      <c r="AC5" s="3504"/>
    </row>
    <row r="6" spans="1:29" ht="15.75" thickBot="1">
      <c r="A6" s="366"/>
      <c r="B6" s="367"/>
      <c r="C6" s="3489" t="s">
        <v>2305</v>
      </c>
      <c r="D6" s="3490"/>
      <c r="E6" s="3496" t="s">
        <v>2305</v>
      </c>
      <c r="F6" s="3497"/>
      <c r="G6" s="3489" t="s">
        <v>2305</v>
      </c>
      <c r="H6" s="3490"/>
      <c r="I6" s="3489" t="s">
        <v>2305</v>
      </c>
      <c r="J6" s="3490"/>
      <c r="K6" s="567" t="s">
        <v>2306</v>
      </c>
      <c r="L6" s="2913"/>
      <c r="M6" s="2914"/>
      <c r="N6" s="2914"/>
      <c r="O6" s="2914"/>
      <c r="P6" s="3509"/>
      <c r="Q6" s="3481"/>
      <c r="R6" s="3484"/>
      <c r="S6" s="3485"/>
      <c r="T6" s="3486"/>
      <c r="U6" s="3487"/>
      <c r="V6" s="3488"/>
      <c r="W6" s="3488"/>
      <c r="X6" s="1508"/>
      <c r="Y6" s="3486"/>
      <c r="Z6" s="3487"/>
      <c r="AA6" s="3471"/>
      <c r="AB6" s="3471"/>
      <c r="AC6" s="3505"/>
    </row>
    <row r="7" spans="1:29" s="113" customFormat="1" ht="15.75" thickBot="1">
      <c r="A7" s="368" t="s">
        <v>2307</v>
      </c>
      <c r="B7" s="369"/>
      <c r="C7" s="370">
        <f>'数据-取费表'!B2</f>
        <v>44645</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13" t="s">
        <v>2308</v>
      </c>
      <c r="Q7" s="3495"/>
      <c r="R7" s="710" t="s">
        <v>17</v>
      </c>
      <c r="S7" s="711">
        <f t="shared" ref="S7:S15" si="0">F7</f>
        <v>0</v>
      </c>
      <c r="T7" s="710" t="s">
        <v>17</v>
      </c>
      <c r="U7" s="711">
        <f t="shared" ref="U7:U15" si="1">H7</f>
        <v>0</v>
      </c>
      <c r="V7" s="710" t="s">
        <v>17</v>
      </c>
      <c r="W7" s="711">
        <f t="shared" ref="W7:W15" si="2">J7</f>
        <v>0</v>
      </c>
      <c r="X7" s="712"/>
      <c r="Y7" s="3493" t="s">
        <v>2308</v>
      </c>
      <c r="Z7" s="3494"/>
      <c r="AA7" s="713" t="e">
        <f>D7/F7</f>
        <v>#DIV/0!</v>
      </c>
      <c r="AB7" s="713" t="e">
        <f>D7/H7</f>
        <v>#DIV/0!</v>
      </c>
      <c r="AC7" s="2114"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13" t="s">
        <v>2311</v>
      </c>
      <c r="Q8" s="3494"/>
      <c r="R8" s="710" t="s">
        <v>17</v>
      </c>
      <c r="S8" s="711">
        <f t="shared" si="0"/>
        <v>0</v>
      </c>
      <c r="T8" s="710" t="s">
        <v>17</v>
      </c>
      <c r="U8" s="711">
        <f t="shared" si="1"/>
        <v>0</v>
      </c>
      <c r="V8" s="710" t="s">
        <v>17</v>
      </c>
      <c r="W8" s="711">
        <f t="shared" si="2"/>
        <v>0</v>
      </c>
      <c r="X8" s="712"/>
      <c r="Y8" s="3493" t="s">
        <v>2311</v>
      </c>
      <c r="Z8" s="3494"/>
      <c r="AA8" s="713" t="e">
        <f t="shared" ref="AA8:AA47" si="3">D8/F8</f>
        <v>#DIV/0!</v>
      </c>
      <c r="AB8" s="713" t="e">
        <f t="shared" ref="AB8:AB47" si="4">D8/H8</f>
        <v>#DIV/0!</v>
      </c>
      <c r="AC8" s="2114"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68"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2114">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68"/>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2114">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68"/>
      <c r="Q11" s="1496"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68"/>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68"/>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68"/>
      <c r="Q14" s="1496">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2114">
        <f t="shared" si="5"/>
        <v>1</v>
      </c>
    </row>
    <row r="15" spans="1:29" ht="15">
      <c r="A15" s="399" t="s">
        <v>2318</v>
      </c>
      <c r="B15" s="585" t="s">
        <v>2446</v>
      </c>
      <c r="C15" s="2116">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466" t="s">
        <v>2319</v>
      </c>
      <c r="Q15" s="1505" t="str">
        <f t="shared" si="6"/>
        <v>办公集聚程度</v>
      </c>
      <c r="R15" s="714" t="s">
        <v>17</v>
      </c>
      <c r="S15" s="715">
        <f t="shared" si="0"/>
        <v>100</v>
      </c>
      <c r="T15" s="714" t="s">
        <v>17</v>
      </c>
      <c r="U15" s="715">
        <f t="shared" si="1"/>
        <v>100</v>
      </c>
      <c r="V15" s="714" t="s">
        <v>17</v>
      </c>
      <c r="W15" s="715">
        <f t="shared" si="2"/>
        <v>100</v>
      </c>
      <c r="X15" s="1508"/>
      <c r="Y15" s="3459" t="s">
        <v>2319</v>
      </c>
      <c r="Z15" s="1509" t="str">
        <f t="shared" si="7"/>
        <v>办公集聚程度</v>
      </c>
      <c r="AA15" s="1506">
        <f t="shared" si="3"/>
        <v>1</v>
      </c>
      <c r="AB15" s="1506">
        <f t="shared" si="4"/>
        <v>1</v>
      </c>
      <c r="AC15" s="2117">
        <f t="shared" si="5"/>
        <v>1</v>
      </c>
    </row>
    <row r="16" spans="1:29" ht="15">
      <c r="A16" s="387"/>
      <c r="B16" s="586"/>
      <c r="C16" s="2059"/>
      <c r="D16" s="407"/>
      <c r="E16" s="406"/>
      <c r="F16" s="407"/>
      <c r="G16" s="2059"/>
      <c r="H16" s="409"/>
      <c r="I16" s="406"/>
      <c r="J16" s="407"/>
      <c r="K16" s="572"/>
      <c r="L16" s="2920"/>
      <c r="M16" s="2914"/>
      <c r="N16" s="2914"/>
      <c r="O16" s="2914"/>
      <c r="P16" s="3467"/>
      <c r="Q16" s="1505"/>
      <c r="R16" s="714"/>
      <c r="S16" s="715"/>
      <c r="T16" s="714"/>
      <c r="U16" s="715"/>
      <c r="V16" s="714"/>
      <c r="W16" s="715"/>
      <c r="X16" s="1508"/>
      <c r="Y16" s="3460"/>
      <c r="Z16" s="1509"/>
      <c r="AA16" s="1506">
        <v>1</v>
      </c>
      <c r="AB16" s="1506">
        <v>1</v>
      </c>
      <c r="AC16" s="2117">
        <v>1</v>
      </c>
    </row>
    <row r="17" spans="1:29" ht="15">
      <c r="A17" s="387"/>
      <c r="B17" s="587" t="s">
        <v>1886</v>
      </c>
      <c r="C17" s="2118">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467"/>
      <c r="Q17" s="1505" t="str">
        <f>B17</f>
        <v>交通便捷度</v>
      </c>
      <c r="R17" s="714" t="s">
        <v>17</v>
      </c>
      <c r="S17" s="715">
        <f>F17</f>
        <v>100</v>
      </c>
      <c r="T17" s="714" t="s">
        <v>17</v>
      </c>
      <c r="U17" s="715">
        <f>H17</f>
        <v>100</v>
      </c>
      <c r="V17" s="714" t="s">
        <v>17</v>
      </c>
      <c r="W17" s="715">
        <f>J17</f>
        <v>100</v>
      </c>
      <c r="X17" s="1508"/>
      <c r="Y17" s="3460"/>
      <c r="Z17" s="1509" t="str">
        <f>Q17</f>
        <v>交通便捷度</v>
      </c>
      <c r="AA17" s="1506">
        <f t="shared" si="3"/>
        <v>1</v>
      </c>
      <c r="AB17" s="1506">
        <f t="shared" si="4"/>
        <v>1</v>
      </c>
      <c r="AC17" s="2117">
        <f t="shared" si="5"/>
        <v>1</v>
      </c>
    </row>
    <row r="18" spans="1:29" ht="15">
      <c r="A18" s="387"/>
      <c r="B18" s="588"/>
      <c r="C18" s="2119"/>
      <c r="D18" s="409"/>
      <c r="E18" s="2057"/>
      <c r="F18" s="409"/>
      <c r="G18" s="2058"/>
      <c r="H18" s="407"/>
      <c r="I18" s="2058"/>
      <c r="J18" s="407"/>
      <c r="K18" s="572"/>
      <c r="L18" s="2920"/>
      <c r="M18" s="2914"/>
      <c r="N18" s="2914"/>
      <c r="O18" s="2914"/>
      <c r="P18" s="3467"/>
      <c r="Q18" s="1505"/>
      <c r="R18" s="714"/>
      <c r="S18" s="715"/>
      <c r="T18" s="714"/>
      <c r="U18" s="715"/>
      <c r="V18" s="714"/>
      <c r="W18" s="715"/>
      <c r="X18" s="1508"/>
      <c r="Y18" s="3460"/>
      <c r="Z18" s="1509"/>
      <c r="AA18" s="1506">
        <v>1</v>
      </c>
      <c r="AB18" s="1506">
        <v>1</v>
      </c>
      <c r="AC18" s="2117">
        <v>1</v>
      </c>
    </row>
    <row r="19" spans="1:29" ht="15">
      <c r="A19" s="387"/>
      <c r="B19" s="587" t="s">
        <v>2447</v>
      </c>
      <c r="C19" s="2118">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467"/>
      <c r="Q19" s="1505" t="str">
        <f>B19</f>
        <v>公共配套设施</v>
      </c>
      <c r="R19" s="714" t="s">
        <v>17</v>
      </c>
      <c r="S19" s="715">
        <f>F19</f>
        <v>100</v>
      </c>
      <c r="T19" s="714" t="s">
        <v>17</v>
      </c>
      <c r="U19" s="715">
        <f>H19</f>
        <v>100</v>
      </c>
      <c r="V19" s="714" t="s">
        <v>17</v>
      </c>
      <c r="W19" s="715">
        <f>J19</f>
        <v>100</v>
      </c>
      <c r="X19" s="1508"/>
      <c r="Y19" s="3460"/>
      <c r="Z19" s="1509" t="str">
        <f>Q19</f>
        <v>公共配套设施</v>
      </c>
      <c r="AA19" s="1506">
        <f t="shared" si="3"/>
        <v>1</v>
      </c>
      <c r="AB19" s="1506">
        <f t="shared" si="4"/>
        <v>1</v>
      </c>
      <c r="AC19" s="2117">
        <f t="shared" si="5"/>
        <v>1</v>
      </c>
    </row>
    <row r="20" spans="1:29" ht="15">
      <c r="A20" s="387"/>
      <c r="B20" s="588"/>
      <c r="C20" s="2059"/>
      <c r="D20" s="407"/>
      <c r="E20" s="2052"/>
      <c r="F20" s="407"/>
      <c r="G20" s="2053"/>
      <c r="H20" s="407"/>
      <c r="I20" s="2053"/>
      <c r="J20" s="407"/>
      <c r="K20" s="572"/>
      <c r="L20" s="2920"/>
      <c r="M20" s="2914"/>
      <c r="N20" s="2914"/>
      <c r="O20" s="2914"/>
      <c r="P20" s="3467"/>
      <c r="Q20" s="1505"/>
      <c r="R20" s="714"/>
      <c r="S20" s="715"/>
      <c r="T20" s="714"/>
      <c r="U20" s="715"/>
      <c r="V20" s="714"/>
      <c r="W20" s="715"/>
      <c r="X20" s="1508"/>
      <c r="Y20" s="3460"/>
      <c r="Z20" s="1509"/>
      <c r="AA20" s="1506">
        <v>1</v>
      </c>
      <c r="AB20" s="1506">
        <v>1</v>
      </c>
      <c r="AC20" s="2117">
        <v>1</v>
      </c>
    </row>
    <row r="21" spans="1:29" ht="15">
      <c r="A21" s="387"/>
      <c r="B21" s="589" t="s">
        <v>2448</v>
      </c>
      <c r="C21" s="2118">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467"/>
      <c r="Q21" s="1505" t="str">
        <f>B21</f>
        <v>基础设施水平</v>
      </c>
      <c r="R21" s="714" t="s">
        <v>17</v>
      </c>
      <c r="S21" s="715">
        <f>F21</f>
        <v>100</v>
      </c>
      <c r="T21" s="714" t="s">
        <v>17</v>
      </c>
      <c r="U21" s="715">
        <f>H21</f>
        <v>100</v>
      </c>
      <c r="V21" s="714" t="s">
        <v>17</v>
      </c>
      <c r="W21" s="715">
        <f>J21</f>
        <v>100</v>
      </c>
      <c r="X21" s="1508"/>
      <c r="Y21" s="3460"/>
      <c r="Z21" s="1509" t="str">
        <f>Q21</f>
        <v>基础设施水平</v>
      </c>
      <c r="AA21" s="1506">
        <f t="shared" ref="AA21" si="8">D21/F21</f>
        <v>1</v>
      </c>
      <c r="AB21" s="1506">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467"/>
      <c r="Q22" s="1505"/>
      <c r="R22" s="714"/>
      <c r="S22" s="715"/>
      <c r="T22" s="714"/>
      <c r="U22" s="715"/>
      <c r="V22" s="714"/>
      <c r="W22" s="715"/>
      <c r="X22" s="1508"/>
      <c r="Y22" s="3460"/>
      <c r="Z22" s="1509"/>
      <c r="AA22" s="1506">
        <v>1</v>
      </c>
      <c r="AB22" s="1506">
        <v>1</v>
      </c>
      <c r="AC22" s="2117">
        <v>1</v>
      </c>
    </row>
    <row r="23" spans="1:29" ht="15">
      <c r="A23" s="387"/>
      <c r="B23" s="587" t="s">
        <v>2449</v>
      </c>
      <c r="C23" s="2118">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467"/>
      <c r="Q23" s="1505" t="str">
        <f>B23</f>
        <v>环境质量</v>
      </c>
      <c r="R23" s="714" t="s">
        <v>17</v>
      </c>
      <c r="S23" s="715">
        <f>F23</f>
        <v>100</v>
      </c>
      <c r="T23" s="714" t="s">
        <v>17</v>
      </c>
      <c r="U23" s="715">
        <f>H23</f>
        <v>100</v>
      </c>
      <c r="V23" s="714" t="s">
        <v>17</v>
      </c>
      <c r="W23" s="715">
        <f>J23</f>
        <v>100</v>
      </c>
      <c r="X23" s="1508"/>
      <c r="Y23" s="3460"/>
      <c r="Z23" s="1509" t="str">
        <f>Q23</f>
        <v>环境质量</v>
      </c>
      <c r="AA23" s="1506">
        <f t="shared" si="3"/>
        <v>1</v>
      </c>
      <c r="AB23" s="1506">
        <f t="shared" si="4"/>
        <v>1</v>
      </c>
      <c r="AC23" s="2117">
        <f t="shared" si="5"/>
        <v>1</v>
      </c>
    </row>
    <row r="24" spans="1:29" ht="15">
      <c r="A24" s="387"/>
      <c r="B24" s="589"/>
      <c r="C24" s="2059"/>
      <c r="D24" s="407"/>
      <c r="E24" s="2052"/>
      <c r="F24" s="407"/>
      <c r="G24" s="2053"/>
      <c r="H24" s="407"/>
      <c r="I24" s="2053"/>
      <c r="J24" s="407"/>
      <c r="K24" s="572"/>
      <c r="L24" s="2920"/>
      <c r="M24" s="2914"/>
      <c r="N24" s="2914"/>
      <c r="O24" s="2914"/>
      <c r="P24" s="3467"/>
      <c r="Q24" s="1505"/>
      <c r="R24" s="714"/>
      <c r="S24" s="715"/>
      <c r="T24" s="714"/>
      <c r="U24" s="715"/>
      <c r="V24" s="714"/>
      <c r="W24" s="715"/>
      <c r="X24" s="1508"/>
      <c r="Y24" s="3460"/>
      <c r="Z24" s="1509"/>
      <c r="AA24" s="1506">
        <v>1</v>
      </c>
      <c r="AB24" s="1506">
        <v>1</v>
      </c>
      <c r="AC24" s="2117">
        <v>1</v>
      </c>
    </row>
    <row r="25" spans="1:29" ht="27">
      <c r="A25" s="364"/>
      <c r="B25" s="587" t="s">
        <v>2450</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467"/>
      <c r="Q25" s="1505" t="str">
        <f>B25</f>
        <v>毗邻道路的类型与等级</v>
      </c>
      <c r="R25" s="714" t="s">
        <v>17</v>
      </c>
      <c r="S25" s="715">
        <f>F25</f>
        <v>100</v>
      </c>
      <c r="T25" s="714" t="s">
        <v>17</v>
      </c>
      <c r="U25" s="715">
        <f>H25</f>
        <v>100</v>
      </c>
      <c r="V25" s="714" t="s">
        <v>17</v>
      </c>
      <c r="W25" s="715">
        <f>J25</f>
        <v>100</v>
      </c>
      <c r="X25" s="1508"/>
      <c r="Y25" s="3460"/>
      <c r="Z25" s="1509" t="str">
        <f>Q25</f>
        <v>毗邻道路的类型与等级</v>
      </c>
      <c r="AA25" s="1506">
        <f t="shared" si="3"/>
        <v>1</v>
      </c>
      <c r="AB25" s="1506">
        <f t="shared" si="4"/>
        <v>1</v>
      </c>
      <c r="AC25" s="2117">
        <f t="shared" si="5"/>
        <v>1</v>
      </c>
    </row>
    <row r="26" spans="1:29" ht="15">
      <c r="A26" s="364"/>
      <c r="B26" s="588"/>
      <c r="C26" s="590"/>
      <c r="D26" s="394"/>
      <c r="E26" s="573"/>
      <c r="F26" s="394"/>
      <c r="G26" s="590"/>
      <c r="H26" s="394"/>
      <c r="I26" s="573"/>
      <c r="J26" s="394"/>
      <c r="K26" s="572"/>
      <c r="L26" s="2920"/>
      <c r="M26" s="2914"/>
      <c r="N26" s="2914"/>
      <c r="O26" s="2914"/>
      <c r="P26" s="3467"/>
      <c r="Q26" s="1505"/>
      <c r="R26" s="714"/>
      <c r="S26" s="715"/>
      <c r="T26" s="714"/>
      <c r="U26" s="715"/>
      <c r="V26" s="714"/>
      <c r="W26" s="715"/>
      <c r="X26" s="1508"/>
      <c r="Y26" s="3460"/>
      <c r="Z26" s="1509"/>
      <c r="AA26" s="1506">
        <v>1</v>
      </c>
      <c r="AB26" s="1506">
        <v>1</v>
      </c>
      <c r="AC26" s="2117">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467"/>
      <c r="Q27" s="1505" t="str">
        <f t="shared" ref="Q27:Q47" si="11">B27</f>
        <v>楼层</v>
      </c>
      <c r="R27" s="714" t="s">
        <v>17</v>
      </c>
      <c r="S27" s="715">
        <f>F27</f>
        <v>100</v>
      </c>
      <c r="T27" s="714" t="s">
        <v>17</v>
      </c>
      <c r="U27" s="715">
        <f>H27</f>
        <v>100</v>
      </c>
      <c r="V27" s="714" t="s">
        <v>17</v>
      </c>
      <c r="W27" s="715">
        <f>J27</f>
        <v>100</v>
      </c>
      <c r="X27" s="1508"/>
      <c r="Y27" s="3460"/>
      <c r="Z27" s="1509" t="str">
        <f>Q27</f>
        <v>楼层</v>
      </c>
      <c r="AA27" s="1506">
        <f t="shared" si="3"/>
        <v>1</v>
      </c>
      <c r="AB27" s="1506">
        <f t="shared" si="4"/>
        <v>1</v>
      </c>
      <c r="AC27" s="2117">
        <f t="shared" si="5"/>
        <v>1</v>
      </c>
    </row>
    <row r="28" spans="1:29" s="113" customFormat="1" ht="15">
      <c r="A28" s="390"/>
      <c r="B28" s="587" t="s">
        <v>2451</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467"/>
      <c r="Q28" s="1496" t="str">
        <f t="shared" si="11"/>
        <v>朝向</v>
      </c>
      <c r="R28" s="710" t="s">
        <v>17</v>
      </c>
      <c r="S28" s="711">
        <f>F28</f>
        <v>100</v>
      </c>
      <c r="T28" s="710" t="s">
        <v>17</v>
      </c>
      <c r="U28" s="711">
        <f>H28</f>
        <v>100</v>
      </c>
      <c r="V28" s="710" t="s">
        <v>17</v>
      </c>
      <c r="W28" s="711">
        <f>J28</f>
        <v>100</v>
      </c>
      <c r="X28" s="712"/>
      <c r="Y28" s="3460"/>
      <c r="Z28" s="55" t="str">
        <f>Q28</f>
        <v>朝向</v>
      </c>
      <c r="AA28" s="1506">
        <f>D28/F28</f>
        <v>1</v>
      </c>
      <c r="AB28" s="1506">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467"/>
      <c r="Q29" s="1505">
        <f t="shared" si="11"/>
        <v>111</v>
      </c>
      <c r="R29" s="714" t="s">
        <v>17</v>
      </c>
      <c r="S29" s="715">
        <f t="shared" ref="S29:S47" si="12">F29</f>
        <v>100</v>
      </c>
      <c r="T29" s="714" t="s">
        <v>17</v>
      </c>
      <c r="U29" s="715">
        <f t="shared" ref="U29:U47" si="13">H29</f>
        <v>100</v>
      </c>
      <c r="V29" s="714" t="s">
        <v>17</v>
      </c>
      <c r="W29" s="715">
        <f t="shared" ref="W29:W47" si="14">J29</f>
        <v>100</v>
      </c>
      <c r="X29" s="1508"/>
      <c r="Y29" s="3460"/>
      <c r="Z29" s="1509">
        <f t="shared" ref="Z29:Z47" si="15">Q29</f>
        <v>111</v>
      </c>
      <c r="AA29" s="1506">
        <f t="shared" si="3"/>
        <v>1</v>
      </c>
      <c r="AB29" s="1506">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467"/>
      <c r="Q30" s="1505">
        <f t="shared" si="11"/>
        <v>111</v>
      </c>
      <c r="R30" s="714" t="s">
        <v>17</v>
      </c>
      <c r="S30" s="715">
        <f t="shared" si="12"/>
        <v>100</v>
      </c>
      <c r="T30" s="714" t="s">
        <v>17</v>
      </c>
      <c r="U30" s="715">
        <f t="shared" si="13"/>
        <v>100</v>
      </c>
      <c r="V30" s="714" t="s">
        <v>17</v>
      </c>
      <c r="W30" s="715">
        <f t="shared" si="14"/>
        <v>100</v>
      </c>
      <c r="X30" s="1508"/>
      <c r="Y30" s="3460"/>
      <c r="Z30" s="1509">
        <f t="shared" si="15"/>
        <v>111</v>
      </c>
      <c r="AA30" s="1506">
        <f t="shared" si="3"/>
        <v>1</v>
      </c>
      <c r="AB30" s="1506">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467"/>
      <c r="Q31" s="1505">
        <f t="shared" si="11"/>
        <v>111</v>
      </c>
      <c r="R31" s="714" t="s">
        <v>17</v>
      </c>
      <c r="S31" s="715">
        <f t="shared" si="12"/>
        <v>100</v>
      </c>
      <c r="T31" s="714" t="s">
        <v>17</v>
      </c>
      <c r="U31" s="715">
        <f t="shared" si="13"/>
        <v>100</v>
      </c>
      <c r="V31" s="714" t="s">
        <v>17</v>
      </c>
      <c r="W31" s="715">
        <f t="shared" si="14"/>
        <v>100</v>
      </c>
      <c r="X31" s="1508"/>
      <c r="Y31" s="3460"/>
      <c r="Z31" s="1509">
        <f t="shared" si="15"/>
        <v>111</v>
      </c>
      <c r="AA31" s="1506">
        <f t="shared" si="3"/>
        <v>1</v>
      </c>
      <c r="AB31" s="1506">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467"/>
      <c r="Q32" s="1505">
        <f t="shared" si="11"/>
        <v>111</v>
      </c>
      <c r="R32" s="714" t="s">
        <v>17</v>
      </c>
      <c r="S32" s="715">
        <f t="shared" si="12"/>
        <v>100</v>
      </c>
      <c r="T32" s="714" t="s">
        <v>17</v>
      </c>
      <c r="U32" s="715">
        <f t="shared" si="13"/>
        <v>100</v>
      </c>
      <c r="V32" s="714" t="s">
        <v>17</v>
      </c>
      <c r="W32" s="715">
        <f t="shared" si="14"/>
        <v>100</v>
      </c>
      <c r="X32" s="1508"/>
      <c r="Y32" s="3460"/>
      <c r="Z32" s="1509">
        <f t="shared" si="15"/>
        <v>111</v>
      </c>
      <c r="AA32" s="1506">
        <f t="shared" si="3"/>
        <v>1</v>
      </c>
      <c r="AB32" s="1506">
        <f t="shared" si="4"/>
        <v>1</v>
      </c>
      <c r="AC32" s="2117">
        <f t="shared" si="5"/>
        <v>1</v>
      </c>
    </row>
    <row r="33" spans="1:29" ht="15">
      <c r="A33" s="399" t="s">
        <v>2322</v>
      </c>
      <c r="B33" s="67" t="s">
        <v>2452</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61" t="s">
        <v>2324</v>
      </c>
      <c r="Q33" s="1505" t="str">
        <f t="shared" si="11"/>
        <v>建筑类型</v>
      </c>
      <c r="R33" s="714" t="s">
        <v>17</v>
      </c>
      <c r="S33" s="715">
        <f t="shared" si="12"/>
        <v>100</v>
      </c>
      <c r="T33" s="714" t="s">
        <v>17</v>
      </c>
      <c r="U33" s="715">
        <f t="shared" si="13"/>
        <v>100</v>
      </c>
      <c r="V33" s="714" t="s">
        <v>17</v>
      </c>
      <c r="W33" s="715">
        <f t="shared" si="14"/>
        <v>100</v>
      </c>
      <c r="X33" s="1508"/>
      <c r="Y33" s="3464" t="s">
        <v>2324</v>
      </c>
      <c r="Z33" s="1509" t="str">
        <f t="shared" si="15"/>
        <v>建筑类型</v>
      </c>
      <c r="AA33" s="1506">
        <f t="shared" si="3"/>
        <v>1</v>
      </c>
      <c r="AB33" s="1506">
        <f t="shared" si="4"/>
        <v>1</v>
      </c>
      <c r="AC33" s="2117">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62"/>
      <c r="Q34" s="716" t="str">
        <f t="shared" si="11"/>
        <v>项目建筑规模</v>
      </c>
      <c r="R34" s="717" t="s">
        <v>17</v>
      </c>
      <c r="S34" s="718" t="e">
        <f t="shared" si="12"/>
        <v>#N/A</v>
      </c>
      <c r="T34" s="717" t="s">
        <v>17</v>
      </c>
      <c r="U34" s="718" t="e">
        <f t="shared" si="13"/>
        <v>#N/A</v>
      </c>
      <c r="V34" s="717" t="s">
        <v>17</v>
      </c>
      <c r="W34" s="718" t="e">
        <f t="shared" si="14"/>
        <v>#N/A</v>
      </c>
      <c r="X34" s="719"/>
      <c r="Y34" s="3464"/>
      <c r="Z34" s="720" t="str">
        <f t="shared" si="15"/>
        <v>项目建筑规模</v>
      </c>
      <c r="AA34" s="1506" t="e">
        <f t="shared" si="3"/>
        <v>#N/A</v>
      </c>
      <c r="AB34" s="1506" t="e">
        <f t="shared" si="4"/>
        <v>#N/A</v>
      </c>
      <c r="AC34" s="2117"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62"/>
      <c r="Q35" s="1505" t="str">
        <f t="shared" si="11"/>
        <v>建筑结构</v>
      </c>
      <c r="R35" s="714" t="s">
        <v>17</v>
      </c>
      <c r="S35" s="715">
        <f t="shared" si="12"/>
        <v>100</v>
      </c>
      <c r="T35" s="714" t="s">
        <v>17</v>
      </c>
      <c r="U35" s="715">
        <f t="shared" si="13"/>
        <v>100</v>
      </c>
      <c r="V35" s="714" t="s">
        <v>17</v>
      </c>
      <c r="W35" s="715">
        <f t="shared" si="14"/>
        <v>100</v>
      </c>
      <c r="X35" s="1508"/>
      <c r="Y35" s="3464"/>
      <c r="Z35" s="1509" t="str">
        <f t="shared" si="15"/>
        <v>建筑结构</v>
      </c>
      <c r="AA35" s="1506">
        <f t="shared" si="3"/>
        <v>1</v>
      </c>
      <c r="AB35" s="1506">
        <f t="shared" si="4"/>
        <v>1</v>
      </c>
      <c r="AC35" s="2117">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62"/>
      <c r="Q36" s="1505" t="str">
        <f t="shared" si="11"/>
        <v>公共部分装修</v>
      </c>
      <c r="R36" s="714" t="s">
        <v>17</v>
      </c>
      <c r="S36" s="715">
        <f t="shared" si="12"/>
        <v>100</v>
      </c>
      <c r="T36" s="714" t="s">
        <v>17</v>
      </c>
      <c r="U36" s="715">
        <f t="shared" si="13"/>
        <v>100</v>
      </c>
      <c r="V36" s="714" t="s">
        <v>17</v>
      </c>
      <c r="W36" s="715">
        <f t="shared" si="14"/>
        <v>100</v>
      </c>
      <c r="X36" s="1508"/>
      <c r="Y36" s="3464"/>
      <c r="Z36" s="1509" t="str">
        <f t="shared" si="15"/>
        <v>公共部分装修</v>
      </c>
      <c r="AA36" s="1506">
        <f t="shared" si="3"/>
        <v>1</v>
      </c>
      <c r="AB36" s="1506">
        <f t="shared" si="4"/>
        <v>1</v>
      </c>
      <c r="AC36" s="2117">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62"/>
      <c r="Q37" s="1505" t="str">
        <f t="shared" si="11"/>
        <v>成新度</v>
      </c>
      <c r="R37" s="714" t="s">
        <v>17</v>
      </c>
      <c r="S37" s="715" t="e">
        <f t="shared" si="12"/>
        <v>#N/A</v>
      </c>
      <c r="T37" s="714" t="s">
        <v>17</v>
      </c>
      <c r="U37" s="715" t="e">
        <f t="shared" si="13"/>
        <v>#N/A</v>
      </c>
      <c r="V37" s="714" t="s">
        <v>17</v>
      </c>
      <c r="W37" s="715" t="e">
        <f t="shared" si="14"/>
        <v>#N/A</v>
      </c>
      <c r="X37" s="1508"/>
      <c r="Y37" s="3464"/>
      <c r="Z37" s="1509" t="str">
        <f t="shared" si="15"/>
        <v>成新度</v>
      </c>
      <c r="AA37" s="1506" t="e">
        <f t="shared" si="3"/>
        <v>#N/A</v>
      </c>
      <c r="AB37" s="1506" t="e">
        <f t="shared" si="4"/>
        <v>#N/A</v>
      </c>
      <c r="AC37" s="2117"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62"/>
      <c r="Q38" s="1496" t="str">
        <f t="shared" si="11"/>
        <v>写字楼等级</v>
      </c>
      <c r="R38" s="710" t="s">
        <v>17</v>
      </c>
      <c r="S38" s="711">
        <f t="shared" si="12"/>
        <v>100</v>
      </c>
      <c r="T38" s="710" t="s">
        <v>17</v>
      </c>
      <c r="U38" s="711">
        <f t="shared" si="13"/>
        <v>100</v>
      </c>
      <c r="V38" s="710" t="s">
        <v>17</v>
      </c>
      <c r="W38" s="711">
        <f t="shared" si="14"/>
        <v>100</v>
      </c>
      <c r="X38" s="712"/>
      <c r="Y38" s="3464"/>
      <c r="Z38" s="55" t="str">
        <f t="shared" si="15"/>
        <v>写字楼等级</v>
      </c>
      <c r="AA38" s="713">
        <f t="shared" si="3"/>
        <v>1</v>
      </c>
      <c r="AB38" s="713">
        <f t="shared" si="4"/>
        <v>1</v>
      </c>
      <c r="AC38" s="2114">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62" t="s">
        <v>2324</v>
      </c>
      <c r="Q39" s="1505" t="str">
        <f t="shared" si="11"/>
        <v>物业管理</v>
      </c>
      <c r="R39" s="714" t="s">
        <v>17</v>
      </c>
      <c r="S39" s="715">
        <f t="shared" si="12"/>
        <v>100</v>
      </c>
      <c r="T39" s="714" t="s">
        <v>17</v>
      </c>
      <c r="U39" s="715">
        <f t="shared" si="13"/>
        <v>100</v>
      </c>
      <c r="V39" s="714" t="s">
        <v>17</v>
      </c>
      <c r="W39" s="715">
        <f t="shared" si="14"/>
        <v>100</v>
      </c>
      <c r="X39" s="1508"/>
      <c r="Y39" s="3464" t="s">
        <v>2324</v>
      </c>
      <c r="Z39" s="1509" t="str">
        <f t="shared" si="15"/>
        <v>物业管理</v>
      </c>
      <c r="AA39" s="1506">
        <f t="shared" si="3"/>
        <v>1</v>
      </c>
      <c r="AB39" s="1506">
        <f t="shared" si="4"/>
        <v>1</v>
      </c>
      <c r="AC39" s="2117">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62"/>
      <c r="Q40" s="1505" t="str">
        <f t="shared" si="11"/>
        <v>市政基础设施</v>
      </c>
      <c r="R40" s="714" t="s">
        <v>17</v>
      </c>
      <c r="S40" s="715">
        <f t="shared" si="12"/>
        <v>100</v>
      </c>
      <c r="T40" s="714" t="s">
        <v>17</v>
      </c>
      <c r="U40" s="715">
        <f t="shared" si="13"/>
        <v>100</v>
      </c>
      <c r="V40" s="714" t="s">
        <v>17</v>
      </c>
      <c r="W40" s="715">
        <f t="shared" si="14"/>
        <v>100</v>
      </c>
      <c r="X40" s="1508"/>
      <c r="Y40" s="3464"/>
      <c r="Z40" s="1509" t="str">
        <f t="shared" si="15"/>
        <v>市政基础设施</v>
      </c>
      <c r="AA40" s="1506">
        <f t="shared" si="3"/>
        <v>1</v>
      </c>
      <c r="AB40" s="1506">
        <f t="shared" si="4"/>
        <v>1</v>
      </c>
      <c r="AC40" s="2117">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62"/>
      <c r="Q41" s="1505" t="str">
        <f t="shared" si="11"/>
        <v>层高</v>
      </c>
      <c r="R41" s="714" t="s">
        <v>17</v>
      </c>
      <c r="S41" s="715">
        <f t="shared" si="12"/>
        <v>100</v>
      </c>
      <c r="T41" s="714" t="s">
        <v>17</v>
      </c>
      <c r="U41" s="715">
        <f t="shared" si="13"/>
        <v>100</v>
      </c>
      <c r="V41" s="714" t="s">
        <v>17</v>
      </c>
      <c r="W41" s="715">
        <f t="shared" si="14"/>
        <v>100</v>
      </c>
      <c r="X41" s="1508"/>
      <c r="Y41" s="3464"/>
      <c r="Z41" s="1509" t="str">
        <f t="shared" si="15"/>
        <v>层高</v>
      </c>
      <c r="AA41" s="1506">
        <f t="shared" si="3"/>
        <v>1</v>
      </c>
      <c r="AB41" s="1506">
        <f t="shared" si="4"/>
        <v>1</v>
      </c>
      <c r="AC41" s="2117">
        <f t="shared" si="5"/>
        <v>1</v>
      </c>
    </row>
    <row r="42" spans="1:29" s="430" customFormat="1" ht="15">
      <c r="A42" s="427"/>
      <c r="B42" s="1507"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62"/>
      <c r="Q42" s="716" t="str">
        <f t="shared" si="11"/>
        <v>单套建筑面积</v>
      </c>
      <c r="R42" s="717" t="s">
        <v>17</v>
      </c>
      <c r="S42" s="718">
        <f t="shared" si="12"/>
        <v>100</v>
      </c>
      <c r="T42" s="717" t="s">
        <v>17</v>
      </c>
      <c r="U42" s="718">
        <f t="shared" si="13"/>
        <v>100</v>
      </c>
      <c r="V42" s="717" t="s">
        <v>17</v>
      </c>
      <c r="W42" s="718">
        <f t="shared" si="14"/>
        <v>100</v>
      </c>
      <c r="X42" s="719"/>
      <c r="Y42" s="3464"/>
      <c r="Z42" s="720" t="str">
        <f t="shared" si="15"/>
        <v>单套建筑面积</v>
      </c>
      <c r="AA42" s="1506">
        <f t="shared" si="3"/>
        <v>1</v>
      </c>
      <c r="AB42" s="1506">
        <f t="shared" si="4"/>
        <v>1</v>
      </c>
      <c r="AC42" s="2117">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62"/>
      <c r="Q43" s="1505" t="str">
        <f t="shared" si="11"/>
        <v>内部装修</v>
      </c>
      <c r="R43" s="714" t="s">
        <v>17</v>
      </c>
      <c r="S43" s="715">
        <f t="shared" si="12"/>
        <v>100</v>
      </c>
      <c r="T43" s="714" t="s">
        <v>17</v>
      </c>
      <c r="U43" s="715">
        <f t="shared" si="13"/>
        <v>100</v>
      </c>
      <c r="V43" s="714" t="s">
        <v>17</v>
      </c>
      <c r="W43" s="715">
        <f t="shared" si="14"/>
        <v>100</v>
      </c>
      <c r="X43" s="1508"/>
      <c r="Y43" s="3464"/>
      <c r="Z43" s="1509" t="str">
        <f t="shared" si="15"/>
        <v>内部装修</v>
      </c>
      <c r="AA43" s="1506">
        <f t="shared" si="3"/>
        <v>1</v>
      </c>
      <c r="AB43" s="1506">
        <f t="shared" si="4"/>
        <v>1</v>
      </c>
      <c r="AC43" s="2117">
        <f t="shared" si="5"/>
        <v>1</v>
      </c>
    </row>
    <row r="44" spans="1:29" ht="15">
      <c r="A44" s="431"/>
      <c r="B44" s="381" t="s">
        <v>2335</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62"/>
      <c r="Q44" s="1505" t="str">
        <f t="shared" si="11"/>
        <v>内部装修维护情况</v>
      </c>
      <c r="R44" s="714" t="s">
        <v>17</v>
      </c>
      <c r="S44" s="715">
        <f t="shared" si="12"/>
        <v>100</v>
      </c>
      <c r="T44" s="714" t="s">
        <v>17</v>
      </c>
      <c r="U44" s="715">
        <f t="shared" si="13"/>
        <v>100</v>
      </c>
      <c r="V44" s="714" t="s">
        <v>17</v>
      </c>
      <c r="W44" s="715">
        <f t="shared" si="14"/>
        <v>100</v>
      </c>
      <c r="X44" s="1508"/>
      <c r="Y44" s="3464"/>
      <c r="Z44" s="1509" t="str">
        <f t="shared" si="15"/>
        <v>内部装修维护情况</v>
      </c>
      <c r="AA44" s="1506">
        <f t="shared" si="3"/>
        <v>1</v>
      </c>
      <c r="AB44" s="1506">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62"/>
      <c r="Q45" s="1496">
        <f t="shared" si="11"/>
        <v>111</v>
      </c>
      <c r="R45" s="710" t="s">
        <v>17</v>
      </c>
      <c r="S45" s="711">
        <f t="shared" si="12"/>
        <v>100</v>
      </c>
      <c r="T45" s="710" t="s">
        <v>17</v>
      </c>
      <c r="U45" s="711">
        <f t="shared" si="13"/>
        <v>100</v>
      </c>
      <c r="V45" s="710" t="s">
        <v>17</v>
      </c>
      <c r="W45" s="711">
        <f t="shared" si="14"/>
        <v>100</v>
      </c>
      <c r="X45" s="712"/>
      <c r="Y45" s="3464"/>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62"/>
      <c r="Q46" s="1505">
        <f t="shared" si="11"/>
        <v>111</v>
      </c>
      <c r="R46" s="714" t="s">
        <v>17</v>
      </c>
      <c r="S46" s="715">
        <f t="shared" si="12"/>
        <v>100</v>
      </c>
      <c r="T46" s="714" t="s">
        <v>17</v>
      </c>
      <c r="U46" s="715">
        <f t="shared" si="13"/>
        <v>100</v>
      </c>
      <c r="V46" s="714" t="s">
        <v>17</v>
      </c>
      <c r="W46" s="715">
        <f t="shared" si="14"/>
        <v>100</v>
      </c>
      <c r="X46" s="1508"/>
      <c r="Y46" s="3464"/>
      <c r="Z46" s="1509">
        <f t="shared" si="15"/>
        <v>111</v>
      </c>
      <c r="AA46" s="1506">
        <f t="shared" si="3"/>
        <v>1</v>
      </c>
      <c r="AB46" s="1506">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63"/>
      <c r="Q47" s="1505">
        <f t="shared" si="11"/>
        <v>111</v>
      </c>
      <c r="R47" s="714" t="s">
        <v>17</v>
      </c>
      <c r="S47" s="715">
        <f t="shared" si="12"/>
        <v>100</v>
      </c>
      <c r="T47" s="714" t="s">
        <v>17</v>
      </c>
      <c r="U47" s="715">
        <f t="shared" si="13"/>
        <v>100</v>
      </c>
      <c r="V47" s="714" t="s">
        <v>17</v>
      </c>
      <c r="W47" s="715">
        <f t="shared" si="14"/>
        <v>100</v>
      </c>
      <c r="X47" s="1508"/>
      <c r="Y47" s="3465"/>
      <c r="Z47" s="1509">
        <f t="shared" si="15"/>
        <v>111</v>
      </c>
      <c r="AA47" s="1506">
        <f t="shared" si="3"/>
        <v>1</v>
      </c>
      <c r="AB47" s="1506">
        <f t="shared" si="4"/>
        <v>1</v>
      </c>
      <c r="AC47" s="2117">
        <f t="shared" si="5"/>
        <v>1</v>
      </c>
    </row>
    <row r="48" spans="1:29" ht="15">
      <c r="A48" s="438" t="s">
        <v>2336</v>
      </c>
      <c r="B48" s="439"/>
      <c r="C48" s="1288" t="s">
        <v>1</v>
      </c>
      <c r="D48" s="1289"/>
      <c r="E48" s="1290"/>
      <c r="F48" s="1291"/>
      <c r="G48" s="1292"/>
      <c r="H48" s="1293"/>
      <c r="I48" s="1290"/>
      <c r="J48" s="444"/>
      <c r="K48" s="723"/>
      <c r="L48" s="2922"/>
      <c r="M48" s="2914"/>
      <c r="N48" s="2914"/>
      <c r="O48" s="2914"/>
      <c r="P48" s="3468" t="str">
        <f>A48</f>
        <v>成交单价（元/平方米）</v>
      </c>
      <c r="Q48" s="3457"/>
      <c r="R48" s="3458">
        <f>E48</f>
        <v>0</v>
      </c>
      <c r="S48" s="3458"/>
      <c r="T48" s="3458">
        <f>G48</f>
        <v>0</v>
      </c>
      <c r="U48" s="3458"/>
      <c r="V48" s="3458">
        <f>I48</f>
        <v>0</v>
      </c>
      <c r="W48" s="3458"/>
      <c r="X48" s="405"/>
      <c r="Y48" s="721"/>
      <c r="Z48" s="405"/>
      <c r="AA48" s="405"/>
      <c r="AB48" s="405"/>
      <c r="AC48" s="586"/>
    </row>
    <row r="49" spans="1:29" ht="15.75" thickBot="1">
      <c r="A49" s="445" t="s">
        <v>2428</v>
      </c>
      <c r="B49" s="446"/>
      <c r="C49" s="1294" t="e">
        <f>R50</f>
        <v>#DIV/0!</v>
      </c>
      <c r="D49" s="2507" t="s">
        <v>2816</v>
      </c>
      <c r="E49" s="1295" t="e">
        <f>R49</f>
        <v>#DIV/0!</v>
      </c>
      <c r="F49" s="2508"/>
      <c r="G49" s="1294" t="e">
        <f>T49</f>
        <v>#DIV/0!</v>
      </c>
      <c r="H49" s="2508"/>
      <c r="I49" s="1295" t="e">
        <f>V49</f>
        <v>#DIV/0!</v>
      </c>
      <c r="J49" s="2508"/>
      <c r="K49" s="2510">
        <f>F49+H49+J49</f>
        <v>0</v>
      </c>
      <c r="L49" s="2922"/>
      <c r="M49" s="2914"/>
      <c r="N49" s="2914"/>
      <c r="O49" s="2914"/>
      <c r="P49" s="3468" t="str">
        <f>A49</f>
        <v>比较价值（元/平方米）</v>
      </c>
      <c r="Q49" s="3457"/>
      <c r="R49" s="3458" t="e">
        <f>IF(F1="售价",ROUND(PRODUCT(R48,AA7:AA47),0),ROUND(PRODUCT(R48,AA7:AA47),1))</f>
        <v>#DIV/0!</v>
      </c>
      <c r="S49" s="3458"/>
      <c r="T49" s="3458" t="e">
        <f>IF(F1="售价",ROUND(PRODUCT(T48,AB7:AB47),0),ROUND(PRODUCT(T48,AB7:AB47),1))</f>
        <v>#DIV/0!</v>
      </c>
      <c r="U49" s="3458"/>
      <c r="V49" s="3458" t="e">
        <f>IF(F1="售价",ROUND(PRODUCT(V48,AC7:AC47),0),ROUND(PRODUCT(V48,AC7:AC47),1))</f>
        <v>#DIV/0!</v>
      </c>
      <c r="W49" s="3458"/>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2"/>
      <c r="M50" s="2914"/>
      <c r="N50" s="2914"/>
      <c r="O50" s="2914"/>
      <c r="P50" s="3500" t="str">
        <f>A50</f>
        <v>估价对象XX用房的比较价值（楼面单价，元/平方米）</v>
      </c>
      <c r="Q50" s="3501"/>
      <c r="R50" s="3502" t="e">
        <f>IF(F1="售价",ROUND(IF(D49="简单平均",AVERAGE(R49:V49),R49*F49+T49*H49+V49*J49),0),ROUND(IF(D49="简单平均",AVERAGE(R49:V49),R49*F49+T49*H49+V49*J49),1))</f>
        <v>#DIV/0!</v>
      </c>
      <c r="S50" s="3502"/>
      <c r="T50" s="3502"/>
      <c r="U50" s="3502"/>
      <c r="V50" s="3502"/>
      <c r="W50" s="3502"/>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2433</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2307</v>
      </c>
      <c r="B59" s="463"/>
      <c r="C59" s="1317" t="str">
        <f>YEAR(C7)&amp;"-"&amp;MONTH(C7)</f>
        <v>2022-3</v>
      </c>
      <c r="D59" s="1318">
        <f>EDATE(C59,-1)</f>
        <v>44593</v>
      </c>
      <c r="E59" s="1318">
        <f>EDATE(D59,-1)</f>
        <v>44562</v>
      </c>
      <c r="F59" s="1318">
        <f t="shared" ref="F59:O59" si="16">EDATE(E59,-1)</f>
        <v>44531</v>
      </c>
      <c r="G59" s="1318">
        <f t="shared" si="16"/>
        <v>44501</v>
      </c>
      <c r="H59" s="1318">
        <f t="shared" si="16"/>
        <v>44470</v>
      </c>
      <c r="I59" s="1318">
        <f t="shared" si="16"/>
        <v>44440</v>
      </c>
      <c r="J59" s="1318">
        <f t="shared" si="16"/>
        <v>44409</v>
      </c>
      <c r="K59" s="1318">
        <f t="shared" si="16"/>
        <v>44378</v>
      </c>
      <c r="L59" s="1318">
        <f t="shared" si="16"/>
        <v>44348</v>
      </c>
      <c r="M59" s="1318">
        <f t="shared" si="16"/>
        <v>44317</v>
      </c>
      <c r="N59" s="1318">
        <f t="shared" si="16"/>
        <v>44287</v>
      </c>
      <c r="O59" s="1318">
        <f t="shared" si="16"/>
        <v>44256</v>
      </c>
      <c r="P59" s="2957"/>
      <c r="Q59" s="2939"/>
      <c r="R59" s="2939"/>
      <c r="S59" s="2939"/>
      <c r="T59" s="2939"/>
      <c r="U59" s="2939"/>
      <c r="V59" s="2939"/>
      <c r="W59" s="2939"/>
      <c r="X59" s="2939"/>
      <c r="Y59" s="2939"/>
      <c r="Z59" s="2939"/>
      <c r="AA59" s="2939"/>
      <c r="AB59" s="2939"/>
      <c r="AC59" s="2939"/>
    </row>
    <row r="60" spans="1:29" s="113" customFormat="1" ht="15">
      <c r="A60" s="466"/>
      <c r="B60" s="467"/>
      <c r="C60" s="1316">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2344</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2309</v>
      </c>
      <c r="B62" s="467"/>
      <c r="C62" s="479" t="s">
        <v>2411</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2347</v>
      </c>
      <c r="B64" s="485" t="s">
        <v>2313</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2318</v>
      </c>
      <c r="B77" s="485" t="s">
        <v>2456</v>
      </c>
      <c r="C77" s="530" t="s">
        <v>2356</v>
      </c>
      <c r="D77" s="530" t="s">
        <v>2357</v>
      </c>
      <c r="E77" s="530" t="s">
        <v>2358</v>
      </c>
      <c r="F77" s="530" t="s">
        <v>2359</v>
      </c>
      <c r="G77" s="530" t="s">
        <v>2360</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2361</v>
      </c>
      <c r="C79" s="535" t="s">
        <v>2356</v>
      </c>
      <c r="D79" s="535" t="s">
        <v>2357</v>
      </c>
      <c r="E79" s="535" t="s">
        <v>2358</v>
      </c>
      <c r="F79" s="535" t="s">
        <v>2359</v>
      </c>
      <c r="G79" s="535" t="s">
        <v>2360</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2362</v>
      </c>
      <c r="C81" s="535" t="s">
        <v>2356</v>
      </c>
      <c r="D81" s="535" t="s">
        <v>2357</v>
      </c>
      <c r="E81" s="535" t="s">
        <v>2358</v>
      </c>
      <c r="F81" s="535" t="s">
        <v>2359</v>
      </c>
      <c r="G81" s="535" t="s">
        <v>2360</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2448</v>
      </c>
      <c r="C83" s="616" t="s">
        <v>2434</v>
      </c>
      <c r="D83" s="616" t="s">
        <v>2435</v>
      </c>
      <c r="E83" s="616" t="s">
        <v>2436</v>
      </c>
      <c r="F83" s="616" t="s">
        <v>2437</v>
      </c>
      <c r="G83" s="616" t="s">
        <v>2438</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2457</v>
      </c>
      <c r="C85" s="535" t="s">
        <v>2356</v>
      </c>
      <c r="D85" s="535" t="s">
        <v>2357</v>
      </c>
      <c r="E85" s="535" t="s">
        <v>2358</v>
      </c>
      <c r="F85" s="535" t="s">
        <v>2359</v>
      </c>
      <c r="G85" s="535" t="s">
        <v>2360</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2458</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2322</v>
      </c>
      <c r="B101" s="485" t="s">
        <v>2371</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2373</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2375</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2459</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2376</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2377</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2460</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2443</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2379</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112" t="s">
        <v>2461</v>
      </c>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IF(C2="——",ROUND(C43*D3/10000,0),ROUND(C43*D3/10000,0)-D2)</f>
        <v>#DIV/0!</v>
      </c>
      <c r="C2" s="2036"/>
      <c r="D2" s="1038" t="e">
        <f ca="1">SUMIF(INDIRECT("'"&amp;F2&amp;"'"&amp;"!A:A"),"承租人权益价值",INDIRECT("'"&amp;F2&amp;"'"&amp;"!c:c"))</f>
        <v>#REF!</v>
      </c>
      <c r="E2" s="2037" t="s">
        <v>2090</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2091</v>
      </c>
      <c r="B3" s="566" t="e">
        <f ca="1">IF(C2="——",C43,ROUND(B2*10000/D3,0))</f>
        <v>#DIV/0!</v>
      </c>
      <c r="C3" s="360" t="s">
        <v>2403</v>
      </c>
      <c r="D3" s="359">
        <f>IF(D1="",'数据-汇总表'!E3,SUMIF('数据-汇总表'!$C19:$C33,D1,'数据-汇总表'!$E19:$E33))</f>
        <v>18907.05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72" t="s">
        <v>2405</v>
      </c>
      <c r="D4" s="3473"/>
      <c r="E4" s="3474" t="s">
        <v>2406</v>
      </c>
      <c r="F4" s="3475"/>
      <c r="G4" s="3472" t="s">
        <v>2407</v>
      </c>
      <c r="H4" s="3473"/>
      <c r="I4" s="3472" t="s">
        <v>2408</v>
      </c>
      <c r="J4" s="3473"/>
      <c r="K4" s="567" t="s">
        <v>2409</v>
      </c>
      <c r="L4" s="1044"/>
      <c r="M4" s="1045"/>
      <c r="N4" s="1045"/>
      <c r="O4" s="1045"/>
      <c r="P4" s="3476" t="s">
        <v>2410</v>
      </c>
      <c r="Q4" s="3477"/>
      <c r="R4" s="3482" t="s">
        <v>2406</v>
      </c>
      <c r="S4" s="3483"/>
      <c r="T4" s="3482" t="s">
        <v>2407</v>
      </c>
      <c r="U4" s="3483"/>
      <c r="V4" s="3488" t="s">
        <v>2408</v>
      </c>
      <c r="W4" s="3488"/>
      <c r="X4" s="1508"/>
      <c r="Y4" s="3482" t="s">
        <v>2410</v>
      </c>
      <c r="Z4" s="3483"/>
      <c r="AA4" s="3469" t="s">
        <v>2406</v>
      </c>
      <c r="AB4" s="3470" t="s">
        <v>2407</v>
      </c>
      <c r="AC4" s="3469" t="s">
        <v>2408</v>
      </c>
    </row>
    <row r="5" spans="1:29" ht="15">
      <c r="A5" s="364"/>
      <c r="B5" s="365"/>
      <c r="C5" s="3491" t="s">
        <v>2301</v>
      </c>
      <c r="D5" s="3492"/>
      <c r="E5" s="3498" t="s">
        <v>2302</v>
      </c>
      <c r="F5" s="3499"/>
      <c r="G5" s="3491" t="s">
        <v>2303</v>
      </c>
      <c r="H5" s="3492"/>
      <c r="I5" s="3491" t="s">
        <v>2304</v>
      </c>
      <c r="J5" s="3492"/>
      <c r="K5" s="567"/>
      <c r="L5" s="1044"/>
      <c r="M5" s="1045"/>
      <c r="N5" s="1045"/>
      <c r="O5" s="1045"/>
      <c r="P5" s="3478"/>
      <c r="Q5" s="3479"/>
      <c r="R5" s="3484"/>
      <c r="S5" s="3485"/>
      <c r="T5" s="3484"/>
      <c r="U5" s="3485"/>
      <c r="V5" s="3488"/>
      <c r="W5" s="3488"/>
      <c r="X5" s="1508"/>
      <c r="Y5" s="3484"/>
      <c r="Z5" s="3485"/>
      <c r="AA5" s="3470"/>
      <c r="AB5" s="3470"/>
      <c r="AC5" s="3470"/>
    </row>
    <row r="6" spans="1:29" ht="15.75" thickBot="1">
      <c r="A6" s="366"/>
      <c r="B6" s="367"/>
      <c r="C6" s="3489" t="s">
        <v>2305</v>
      </c>
      <c r="D6" s="3490"/>
      <c r="E6" s="3496" t="s">
        <v>2305</v>
      </c>
      <c r="F6" s="3497"/>
      <c r="G6" s="3489" t="s">
        <v>2305</v>
      </c>
      <c r="H6" s="3490"/>
      <c r="I6" s="3489" t="s">
        <v>2305</v>
      </c>
      <c r="J6" s="3490"/>
      <c r="K6" s="567" t="s">
        <v>2306</v>
      </c>
      <c r="L6" s="1044"/>
      <c r="M6" s="1045"/>
      <c r="N6" s="1045"/>
      <c r="O6" s="1045"/>
      <c r="P6" s="3480"/>
      <c r="Q6" s="3481"/>
      <c r="R6" s="3484"/>
      <c r="S6" s="3485"/>
      <c r="T6" s="3486"/>
      <c r="U6" s="3487"/>
      <c r="V6" s="3488"/>
      <c r="W6" s="3488"/>
      <c r="X6" s="1508"/>
      <c r="Y6" s="3486"/>
      <c r="Z6" s="3487"/>
      <c r="AA6" s="3471"/>
      <c r="AB6" s="3471"/>
      <c r="AC6" s="3471"/>
    </row>
    <row r="7" spans="1:29" s="113" customFormat="1" ht="15.75" thickBot="1">
      <c r="A7" s="368" t="s">
        <v>2307</v>
      </c>
      <c r="B7" s="369"/>
      <c r="C7" s="370">
        <f>'数据-取费表'!B2</f>
        <v>44645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93" t="s">
        <v>2308</v>
      </c>
      <c r="Q7" s="3495"/>
      <c r="R7" s="710" t="s">
        <v>17</v>
      </c>
      <c r="S7" s="711">
        <f t="shared" ref="S7:S15" si="0">F7</f>
        <v>0</v>
      </c>
      <c r="T7" s="710" t="s">
        <v>17</v>
      </c>
      <c r="U7" s="711">
        <f t="shared" ref="U7:U15" si="1">H7</f>
        <v>0</v>
      </c>
      <c r="V7" s="710" t="s">
        <v>17</v>
      </c>
      <c r="W7" s="711">
        <f t="shared" ref="W7:W15" si="2">J7</f>
        <v>0</v>
      </c>
      <c r="X7" s="712"/>
      <c r="Y7" s="3493" t="s">
        <v>2308</v>
      </c>
      <c r="Z7" s="3494"/>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93" t="s">
        <v>2311</v>
      </c>
      <c r="Q8" s="3494"/>
      <c r="R8" s="710" t="s">
        <v>17</v>
      </c>
      <c r="S8" s="711">
        <f t="shared" si="0"/>
        <v>0</v>
      </c>
      <c r="T8" s="710" t="s">
        <v>17</v>
      </c>
      <c r="U8" s="711">
        <f t="shared" si="1"/>
        <v>0</v>
      </c>
      <c r="V8" s="710" t="s">
        <v>17</v>
      </c>
      <c r="W8" s="711">
        <f t="shared" si="2"/>
        <v>0</v>
      </c>
      <c r="X8" s="712"/>
      <c r="Y8" s="3493" t="s">
        <v>2311</v>
      </c>
      <c r="Z8" s="3494"/>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57"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57"/>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57"/>
      <c r="Q11" s="1496"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57"/>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57"/>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57"/>
      <c r="Q14" s="1496">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15">
      <c r="A15" s="399" t="s">
        <v>2318</v>
      </c>
      <c r="B15" s="65" t="s">
        <v>2462</v>
      </c>
      <c r="C15" s="2126">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59" t="s">
        <v>2319</v>
      </c>
      <c r="Q15" s="1505" t="str">
        <f t="shared" si="6"/>
        <v>产业集聚程度</v>
      </c>
      <c r="R15" s="714" t="s">
        <v>17</v>
      </c>
      <c r="S15" s="715">
        <f t="shared" si="0"/>
        <v>100</v>
      </c>
      <c r="T15" s="714" t="s">
        <v>17</v>
      </c>
      <c r="U15" s="715">
        <f t="shared" si="1"/>
        <v>100</v>
      </c>
      <c r="V15" s="714" t="s">
        <v>17</v>
      </c>
      <c r="W15" s="715">
        <f t="shared" si="2"/>
        <v>100</v>
      </c>
      <c r="X15" s="1508"/>
      <c r="Y15" s="3459" t="s">
        <v>2319</v>
      </c>
      <c r="Z15" s="1509" t="str">
        <f t="shared" si="7"/>
        <v>产业集聚程度</v>
      </c>
      <c r="AA15" s="1506">
        <f t="shared" si="3"/>
        <v>1</v>
      </c>
      <c r="AB15" s="1506">
        <f t="shared" si="4"/>
        <v>1</v>
      </c>
      <c r="AC15" s="1506">
        <f t="shared" si="5"/>
        <v>1</v>
      </c>
    </row>
    <row r="16" spans="1:29" ht="15">
      <c r="A16" s="387"/>
      <c r="B16" s="405"/>
      <c r="C16" s="406"/>
      <c r="D16" s="407"/>
      <c r="E16" s="406"/>
      <c r="F16" s="408"/>
      <c r="G16" s="406"/>
      <c r="H16" s="409"/>
      <c r="I16" s="406"/>
      <c r="J16" s="407"/>
      <c r="K16" s="572"/>
      <c r="L16" s="1054"/>
      <c r="M16" s="1045"/>
      <c r="N16" s="1045"/>
      <c r="O16" s="1053"/>
      <c r="P16" s="3460"/>
      <c r="Q16" s="1505"/>
      <c r="R16" s="714"/>
      <c r="S16" s="715"/>
      <c r="T16" s="714"/>
      <c r="U16" s="715"/>
      <c r="V16" s="714"/>
      <c r="W16" s="715"/>
      <c r="X16" s="1508"/>
      <c r="Y16" s="3460"/>
      <c r="Z16" s="1509"/>
      <c r="AA16" s="1506">
        <v>1</v>
      </c>
      <c r="AB16" s="1506">
        <v>1</v>
      </c>
      <c r="AC16" s="1506">
        <v>1</v>
      </c>
    </row>
    <row r="17" spans="1:29" ht="15">
      <c r="A17" s="387"/>
      <c r="B17" s="410" t="s">
        <v>1886</v>
      </c>
      <c r="C17" s="2055">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0"/>
      <c r="Q17" s="1505" t="str">
        <f>B17</f>
        <v>交通便捷度</v>
      </c>
      <c r="R17" s="714" t="s">
        <v>17</v>
      </c>
      <c r="S17" s="715">
        <f>F17</f>
        <v>100</v>
      </c>
      <c r="T17" s="714" t="s">
        <v>17</v>
      </c>
      <c r="U17" s="715">
        <f>H17</f>
        <v>100</v>
      </c>
      <c r="V17" s="714" t="s">
        <v>17</v>
      </c>
      <c r="W17" s="715">
        <f>J17</f>
        <v>100</v>
      </c>
      <c r="X17" s="1508"/>
      <c r="Y17" s="3460"/>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1054"/>
      <c r="M18" s="1045"/>
      <c r="N18" s="1045"/>
      <c r="O18" s="1053"/>
      <c r="P18" s="3460"/>
      <c r="Q18" s="1505"/>
      <c r="R18" s="714"/>
      <c r="S18" s="715"/>
      <c r="T18" s="714"/>
      <c r="U18" s="715"/>
      <c r="V18" s="714"/>
      <c r="W18" s="715"/>
      <c r="X18" s="1508"/>
      <c r="Y18" s="3460"/>
      <c r="Z18" s="1509"/>
      <c r="AA18" s="1506">
        <v>1</v>
      </c>
      <c r="AB18" s="1506">
        <v>1</v>
      </c>
      <c r="AC18" s="1506">
        <v>1</v>
      </c>
    </row>
    <row r="19" spans="1:29" ht="15">
      <c r="A19" s="387"/>
      <c r="B19" s="410" t="s">
        <v>2447</v>
      </c>
      <c r="C19" s="2055">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0"/>
      <c r="Q19" s="1505" t="str">
        <f>B19</f>
        <v>公共配套设施</v>
      </c>
      <c r="R19" s="714" t="s">
        <v>17</v>
      </c>
      <c r="S19" s="715">
        <f>F19</f>
        <v>100</v>
      </c>
      <c r="T19" s="714" t="s">
        <v>17</v>
      </c>
      <c r="U19" s="715">
        <f>H19</f>
        <v>100</v>
      </c>
      <c r="V19" s="714" t="s">
        <v>17</v>
      </c>
      <c r="W19" s="715">
        <f>J19</f>
        <v>100</v>
      </c>
      <c r="X19" s="1508"/>
      <c r="Y19" s="3460"/>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1054"/>
      <c r="M20" s="1045"/>
      <c r="N20" s="1045"/>
      <c r="O20" s="1053"/>
      <c r="P20" s="3460"/>
      <c r="Q20" s="1505"/>
      <c r="R20" s="714"/>
      <c r="S20" s="715"/>
      <c r="T20" s="714"/>
      <c r="U20" s="715"/>
      <c r="V20" s="714"/>
      <c r="W20" s="715"/>
      <c r="X20" s="1508"/>
      <c r="Y20" s="3460"/>
      <c r="Z20" s="1509"/>
      <c r="AA20" s="1506">
        <v>1</v>
      </c>
      <c r="AB20" s="1506">
        <v>1</v>
      </c>
      <c r="AC20" s="1506">
        <v>1</v>
      </c>
    </row>
    <row r="21" spans="1:29" ht="15">
      <c r="A21" s="387"/>
      <c r="B21" s="1265" t="s">
        <v>2448</v>
      </c>
      <c r="C21" s="2055">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0"/>
      <c r="Q21" s="1505" t="str">
        <f>B21</f>
        <v>基础设施水平</v>
      </c>
      <c r="R21" s="714" t="s">
        <v>17</v>
      </c>
      <c r="S21" s="715">
        <f>F21</f>
        <v>100</v>
      </c>
      <c r="T21" s="714" t="s">
        <v>17</v>
      </c>
      <c r="U21" s="715">
        <f>H21</f>
        <v>100</v>
      </c>
      <c r="V21" s="714" t="s">
        <v>17</v>
      </c>
      <c r="W21" s="715">
        <f>J21</f>
        <v>100</v>
      </c>
      <c r="X21" s="1508"/>
      <c r="Y21" s="3460"/>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1054"/>
      <c r="M22" s="1045"/>
      <c r="N22" s="1045"/>
      <c r="O22" s="1053"/>
      <c r="P22" s="3460"/>
      <c r="Q22" s="1505"/>
      <c r="R22" s="714"/>
      <c r="S22" s="715"/>
      <c r="T22" s="714"/>
      <c r="U22" s="715"/>
      <c r="V22" s="714"/>
      <c r="W22" s="715"/>
      <c r="X22" s="1508"/>
      <c r="Y22" s="3460"/>
      <c r="Z22" s="1509"/>
      <c r="AA22" s="1506">
        <v>1</v>
      </c>
      <c r="AB22" s="1506">
        <v>1</v>
      </c>
      <c r="AC22" s="1506">
        <v>1</v>
      </c>
    </row>
    <row r="23" spans="1:29" ht="15">
      <c r="A23" s="387"/>
      <c r="B23" s="410" t="s">
        <v>2449</v>
      </c>
      <c r="C23" s="2055">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0"/>
      <c r="Q23" s="1505" t="str">
        <f>B23</f>
        <v>环境质量</v>
      </c>
      <c r="R23" s="714" t="s">
        <v>17</v>
      </c>
      <c r="S23" s="715">
        <f>F23</f>
        <v>100</v>
      </c>
      <c r="T23" s="714" t="s">
        <v>17</v>
      </c>
      <c r="U23" s="715">
        <f>H23</f>
        <v>100</v>
      </c>
      <c r="V23" s="714" t="s">
        <v>17</v>
      </c>
      <c r="W23" s="715">
        <f>J23</f>
        <v>100</v>
      </c>
      <c r="X23" s="1508"/>
      <c r="Y23" s="3460"/>
      <c r="Z23" s="1509" t="str">
        <f>Q23</f>
        <v>环境质量</v>
      </c>
      <c r="AA23" s="1506">
        <f t="shared" si="3"/>
        <v>1</v>
      </c>
      <c r="AB23" s="1506">
        <f t="shared" si="4"/>
        <v>1</v>
      </c>
      <c r="AC23" s="1506">
        <f t="shared" si="5"/>
        <v>1</v>
      </c>
    </row>
    <row r="24" spans="1:29" ht="15">
      <c r="A24" s="387"/>
      <c r="B24" s="1265"/>
      <c r="C24" s="406"/>
      <c r="D24" s="407"/>
      <c r="E24" s="2053"/>
      <c r="F24" s="408"/>
      <c r="G24" s="2052"/>
      <c r="H24" s="407"/>
      <c r="I24" s="2053"/>
      <c r="J24" s="407"/>
      <c r="K24" s="572"/>
      <c r="L24" s="1054"/>
      <c r="M24" s="1045"/>
      <c r="N24" s="1045"/>
      <c r="O24" s="1053"/>
      <c r="P24" s="3460"/>
      <c r="Q24" s="1505"/>
      <c r="R24" s="714"/>
      <c r="S24" s="715"/>
      <c r="T24" s="714"/>
      <c r="U24" s="715"/>
      <c r="V24" s="714"/>
      <c r="W24" s="715"/>
      <c r="X24" s="1508"/>
      <c r="Y24" s="3460"/>
      <c r="Z24" s="1509"/>
      <c r="AA24" s="1506">
        <v>1</v>
      </c>
      <c r="AB24" s="1506">
        <v>1</v>
      </c>
      <c r="AC24" s="1506">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0"/>
      <c r="Q25" s="1505">
        <f>B25</f>
        <v>111</v>
      </c>
      <c r="R25" s="714" t="s">
        <v>17</v>
      </c>
      <c r="S25" s="715">
        <f>F25</f>
        <v>100</v>
      </c>
      <c r="T25" s="714" t="s">
        <v>17</v>
      </c>
      <c r="U25" s="715">
        <f>H25</f>
        <v>100</v>
      </c>
      <c r="V25" s="714" t="s">
        <v>17</v>
      </c>
      <c r="W25" s="715">
        <f>J25</f>
        <v>100</v>
      </c>
      <c r="X25" s="1508"/>
      <c r="Y25" s="3460"/>
      <c r="Z25" s="1509">
        <f>Q25</f>
        <v>111</v>
      </c>
      <c r="AA25" s="1506">
        <f t="shared" si="3"/>
        <v>1</v>
      </c>
      <c r="AB25" s="1506">
        <f t="shared" si="4"/>
        <v>1</v>
      </c>
      <c r="AC25" s="1506">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0"/>
      <c r="Q26" s="1505">
        <f t="shared" ref="Q26:Q40" si="11">B26</f>
        <v>111</v>
      </c>
      <c r="R26" s="714" t="s">
        <v>17</v>
      </c>
      <c r="S26" s="715">
        <f>F26</f>
        <v>100</v>
      </c>
      <c r="T26" s="714" t="s">
        <v>17</v>
      </c>
      <c r="U26" s="715">
        <f>H26</f>
        <v>100</v>
      </c>
      <c r="V26" s="714" t="s">
        <v>17</v>
      </c>
      <c r="W26" s="715">
        <f>J26</f>
        <v>100</v>
      </c>
      <c r="X26" s="1508"/>
      <c r="Y26" s="3460"/>
      <c r="Z26" s="1509">
        <f>Q26</f>
        <v>111</v>
      </c>
      <c r="AA26" s="1506">
        <f t="shared" si="3"/>
        <v>1</v>
      </c>
      <c r="AB26" s="1506">
        <f t="shared" si="4"/>
        <v>1</v>
      </c>
      <c r="AC26" s="1506">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0"/>
      <c r="Q27" s="1496">
        <f t="shared" si="11"/>
        <v>111</v>
      </c>
      <c r="R27" s="710" t="s">
        <v>17</v>
      </c>
      <c r="S27" s="711">
        <f>F27</f>
        <v>100</v>
      </c>
      <c r="T27" s="710" t="s">
        <v>17</v>
      </c>
      <c r="U27" s="711">
        <f>H27</f>
        <v>100</v>
      </c>
      <c r="V27" s="710" t="s">
        <v>17</v>
      </c>
      <c r="W27" s="711">
        <f>J27</f>
        <v>100</v>
      </c>
      <c r="X27" s="712"/>
      <c r="Y27" s="3460"/>
      <c r="Z27" s="55">
        <f>Q27</f>
        <v>111</v>
      </c>
      <c r="AA27" s="1506">
        <f>D27/F27</f>
        <v>1</v>
      </c>
      <c r="AB27" s="1506">
        <f>D27/H27</f>
        <v>1</v>
      </c>
      <c r="AC27" s="1506">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0"/>
      <c r="Q28" s="1505">
        <f t="shared" si="11"/>
        <v>111</v>
      </c>
      <c r="R28" s="714" t="s">
        <v>17</v>
      </c>
      <c r="S28" s="715">
        <f t="shared" ref="S28:S40" si="12">F28</f>
        <v>100</v>
      </c>
      <c r="T28" s="714" t="s">
        <v>17</v>
      </c>
      <c r="U28" s="715">
        <f t="shared" ref="U28:U40" si="13">H28</f>
        <v>100</v>
      </c>
      <c r="V28" s="714" t="s">
        <v>17</v>
      </c>
      <c r="W28" s="715">
        <f t="shared" ref="W28:W40" si="14">J28</f>
        <v>100</v>
      </c>
      <c r="X28" s="1508"/>
      <c r="Y28" s="3460"/>
      <c r="Z28" s="1509">
        <f t="shared" ref="Z28:Z40" si="15">Q28</f>
        <v>111</v>
      </c>
      <c r="AA28" s="1506">
        <f t="shared" si="3"/>
        <v>1</v>
      </c>
      <c r="AB28" s="1506">
        <f t="shared" si="4"/>
        <v>1</v>
      </c>
      <c r="AC28" s="1506">
        <f t="shared" si="5"/>
        <v>1</v>
      </c>
    </row>
    <row r="29" spans="1:29" ht="28.5">
      <c r="A29" s="425" t="s">
        <v>2322</v>
      </c>
      <c r="B29" s="67" t="s">
        <v>2452</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5" t="s">
        <v>2324</v>
      </c>
      <c r="Q29" s="1505" t="str">
        <f t="shared" si="11"/>
        <v>建筑类型</v>
      </c>
      <c r="R29" s="714" t="s">
        <v>17</v>
      </c>
      <c r="S29" s="715">
        <f t="shared" si="12"/>
        <v>100</v>
      </c>
      <c r="T29" s="714" t="s">
        <v>17</v>
      </c>
      <c r="U29" s="715">
        <f t="shared" si="13"/>
        <v>100</v>
      </c>
      <c r="V29" s="714" t="s">
        <v>17</v>
      </c>
      <c r="W29" s="715">
        <f t="shared" si="14"/>
        <v>100</v>
      </c>
      <c r="X29" s="1508"/>
      <c r="Y29" s="3464" t="s">
        <v>2324</v>
      </c>
      <c r="Z29" s="1509" t="str">
        <f t="shared" si="15"/>
        <v>建筑类型</v>
      </c>
      <c r="AA29" s="1506">
        <f t="shared" si="3"/>
        <v>1</v>
      </c>
      <c r="AB29" s="1506">
        <f t="shared" si="4"/>
        <v>1</v>
      </c>
      <c r="AC29" s="1506">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64"/>
      <c r="Q30" s="716" t="str">
        <f t="shared" si="11"/>
        <v>项目建筑规模</v>
      </c>
      <c r="R30" s="717" t="s">
        <v>17</v>
      </c>
      <c r="S30" s="718" t="e">
        <f t="shared" si="12"/>
        <v>#N/A</v>
      </c>
      <c r="T30" s="717" t="s">
        <v>17</v>
      </c>
      <c r="U30" s="718" t="e">
        <f t="shared" si="13"/>
        <v>#N/A</v>
      </c>
      <c r="V30" s="717" t="s">
        <v>17</v>
      </c>
      <c r="W30" s="718" t="e">
        <f t="shared" si="14"/>
        <v>#N/A</v>
      </c>
      <c r="X30" s="719"/>
      <c r="Y30" s="3464"/>
      <c r="Z30" s="720" t="str">
        <f t="shared" si="15"/>
        <v>项目建筑规模</v>
      </c>
      <c r="AA30" s="1506" t="e">
        <f t="shared" si="3"/>
        <v>#N/A</v>
      </c>
      <c r="AB30" s="1506" t="e">
        <f t="shared" si="4"/>
        <v>#N/A</v>
      </c>
      <c r="AC30" s="1506"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64"/>
      <c r="Q31" s="1505" t="str">
        <f t="shared" si="11"/>
        <v>建筑结构</v>
      </c>
      <c r="R31" s="714" t="s">
        <v>17</v>
      </c>
      <c r="S31" s="715">
        <f t="shared" si="12"/>
        <v>100</v>
      </c>
      <c r="T31" s="714" t="s">
        <v>17</v>
      </c>
      <c r="U31" s="715">
        <f t="shared" si="13"/>
        <v>100</v>
      </c>
      <c r="V31" s="714" t="s">
        <v>17</v>
      </c>
      <c r="W31" s="715">
        <f t="shared" si="14"/>
        <v>100</v>
      </c>
      <c r="X31" s="1508"/>
      <c r="Y31" s="3464"/>
      <c r="Z31" s="1509" t="str">
        <f t="shared" si="15"/>
        <v>建筑结构</v>
      </c>
      <c r="AA31" s="1506">
        <f t="shared" si="3"/>
        <v>1</v>
      </c>
      <c r="AB31" s="1506">
        <f t="shared" si="4"/>
        <v>1</v>
      </c>
      <c r="AC31" s="1506">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64"/>
      <c r="Q32" s="1505" t="str">
        <f t="shared" si="11"/>
        <v>公共部分装修</v>
      </c>
      <c r="R32" s="714" t="s">
        <v>17</v>
      </c>
      <c r="S32" s="715">
        <f t="shared" si="12"/>
        <v>100</v>
      </c>
      <c r="T32" s="714" t="s">
        <v>17</v>
      </c>
      <c r="U32" s="715">
        <f t="shared" si="13"/>
        <v>100</v>
      </c>
      <c r="V32" s="714" t="s">
        <v>17</v>
      </c>
      <c r="W32" s="715">
        <f t="shared" si="14"/>
        <v>100</v>
      </c>
      <c r="X32" s="1508"/>
      <c r="Y32" s="3464"/>
      <c r="Z32" s="1509" t="str">
        <f t="shared" si="15"/>
        <v>公共部分装修</v>
      </c>
      <c r="AA32" s="1506">
        <f t="shared" si="3"/>
        <v>1</v>
      </c>
      <c r="AB32" s="1506">
        <f t="shared" si="4"/>
        <v>1</v>
      </c>
      <c r="AC32" s="1506">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64"/>
      <c r="Q33" s="1505" t="str">
        <f t="shared" si="11"/>
        <v>成新度</v>
      </c>
      <c r="R33" s="714" t="s">
        <v>17</v>
      </c>
      <c r="S33" s="715" t="e">
        <f t="shared" si="12"/>
        <v>#N/A</v>
      </c>
      <c r="T33" s="714" t="s">
        <v>17</v>
      </c>
      <c r="U33" s="715" t="e">
        <f t="shared" si="13"/>
        <v>#N/A</v>
      </c>
      <c r="V33" s="714" t="s">
        <v>17</v>
      </c>
      <c r="W33" s="715" t="e">
        <f t="shared" si="14"/>
        <v>#N/A</v>
      </c>
      <c r="X33" s="1508"/>
      <c r="Y33" s="3464"/>
      <c r="Z33" s="1509" t="str">
        <f t="shared" si="15"/>
        <v>成新度</v>
      </c>
      <c r="AA33" s="1506" t="e">
        <f t="shared" si="3"/>
        <v>#N/A</v>
      </c>
      <c r="AB33" s="1506" t="e">
        <f t="shared" si="4"/>
        <v>#N/A</v>
      </c>
      <c r="AC33" s="1506"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64"/>
      <c r="Q34" s="1496" t="str">
        <f t="shared" si="11"/>
        <v>物业管理</v>
      </c>
      <c r="R34" s="710" t="s">
        <v>17</v>
      </c>
      <c r="S34" s="711">
        <f t="shared" si="12"/>
        <v>100</v>
      </c>
      <c r="T34" s="710" t="s">
        <v>17</v>
      </c>
      <c r="U34" s="711">
        <f t="shared" si="13"/>
        <v>100</v>
      </c>
      <c r="V34" s="710" t="s">
        <v>17</v>
      </c>
      <c r="W34" s="711">
        <f t="shared" si="14"/>
        <v>100</v>
      </c>
      <c r="X34" s="712"/>
      <c r="Y34" s="3464"/>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64" t="s">
        <v>2324</v>
      </c>
      <c r="Q35" s="1505" t="str">
        <f t="shared" si="11"/>
        <v>市政基础设施</v>
      </c>
      <c r="R35" s="714" t="s">
        <v>17</v>
      </c>
      <c r="S35" s="715">
        <f t="shared" si="12"/>
        <v>100</v>
      </c>
      <c r="T35" s="714" t="s">
        <v>17</v>
      </c>
      <c r="U35" s="715">
        <f t="shared" si="13"/>
        <v>100</v>
      </c>
      <c r="V35" s="714" t="s">
        <v>17</v>
      </c>
      <c r="W35" s="715">
        <f t="shared" si="14"/>
        <v>100</v>
      </c>
      <c r="X35" s="1508"/>
      <c r="Y35" s="3464" t="s">
        <v>2324</v>
      </c>
      <c r="Z35" s="1509" t="str">
        <f t="shared" si="15"/>
        <v>市政基础设施</v>
      </c>
      <c r="AA35" s="1506">
        <f t="shared" si="3"/>
        <v>1</v>
      </c>
      <c r="AB35" s="1506">
        <f t="shared" si="4"/>
        <v>1</v>
      </c>
      <c r="AC35" s="1506">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64"/>
      <c r="Q36" s="1505" t="str">
        <f t="shared" si="11"/>
        <v>内部装修</v>
      </c>
      <c r="R36" s="714" t="s">
        <v>17</v>
      </c>
      <c r="S36" s="715">
        <f t="shared" si="12"/>
        <v>100</v>
      </c>
      <c r="T36" s="714" t="s">
        <v>17</v>
      </c>
      <c r="U36" s="715">
        <f t="shared" si="13"/>
        <v>100</v>
      </c>
      <c r="V36" s="714" t="s">
        <v>17</v>
      </c>
      <c r="W36" s="715">
        <f t="shared" si="14"/>
        <v>100</v>
      </c>
      <c r="X36" s="1508"/>
      <c r="Y36" s="3464"/>
      <c r="Z36" s="1509" t="str">
        <f t="shared" si="15"/>
        <v>内部装修</v>
      </c>
      <c r="AA36" s="1506">
        <f t="shared" si="3"/>
        <v>1</v>
      </c>
      <c r="AB36" s="1506">
        <f t="shared" si="4"/>
        <v>1</v>
      </c>
      <c r="AC36" s="1506">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64"/>
      <c r="Q37" s="1505" t="str">
        <f t="shared" si="11"/>
        <v>内部装修状况</v>
      </c>
      <c r="R37" s="714" t="s">
        <v>17</v>
      </c>
      <c r="S37" s="715">
        <f t="shared" si="12"/>
        <v>100</v>
      </c>
      <c r="T37" s="714" t="s">
        <v>17</v>
      </c>
      <c r="U37" s="715">
        <f t="shared" si="13"/>
        <v>100</v>
      </c>
      <c r="V37" s="714" t="s">
        <v>17</v>
      </c>
      <c r="W37" s="715">
        <f t="shared" si="14"/>
        <v>100</v>
      </c>
      <c r="X37" s="1508"/>
      <c r="Y37" s="3464"/>
      <c r="Z37" s="1509" t="str">
        <f t="shared" si="15"/>
        <v>内部装修状况</v>
      </c>
      <c r="AA37" s="1506">
        <f t="shared" si="3"/>
        <v>1</v>
      </c>
      <c r="AB37" s="1506">
        <f t="shared" si="4"/>
        <v>1</v>
      </c>
      <c r="AC37" s="1506">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64"/>
      <c r="Q38" s="716">
        <f t="shared" si="11"/>
        <v>111</v>
      </c>
      <c r="R38" s="717" t="s">
        <v>17</v>
      </c>
      <c r="S38" s="718">
        <f t="shared" si="12"/>
        <v>100</v>
      </c>
      <c r="T38" s="717" t="s">
        <v>17</v>
      </c>
      <c r="U38" s="718">
        <f t="shared" si="13"/>
        <v>100</v>
      </c>
      <c r="V38" s="717" t="s">
        <v>17</v>
      </c>
      <c r="W38" s="718">
        <f t="shared" si="14"/>
        <v>100</v>
      </c>
      <c r="X38" s="719"/>
      <c r="Y38" s="3464"/>
      <c r="Z38" s="720">
        <f t="shared" si="15"/>
        <v>111</v>
      </c>
      <c r="AA38" s="1506">
        <f t="shared" si="3"/>
        <v>1</v>
      </c>
      <c r="AB38" s="1506">
        <f t="shared" si="4"/>
        <v>1</v>
      </c>
      <c r="AC38" s="1506">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64"/>
      <c r="Q39" s="1505">
        <f t="shared" si="11"/>
        <v>111</v>
      </c>
      <c r="R39" s="714" t="s">
        <v>17</v>
      </c>
      <c r="S39" s="715">
        <f t="shared" si="12"/>
        <v>100</v>
      </c>
      <c r="T39" s="714" t="s">
        <v>17</v>
      </c>
      <c r="U39" s="715">
        <f t="shared" si="13"/>
        <v>100</v>
      </c>
      <c r="V39" s="714" t="s">
        <v>17</v>
      </c>
      <c r="W39" s="715">
        <f t="shared" si="14"/>
        <v>100</v>
      </c>
      <c r="X39" s="1508"/>
      <c r="Y39" s="3464"/>
      <c r="Z39" s="1509">
        <f t="shared" si="15"/>
        <v>111</v>
      </c>
      <c r="AA39" s="1506">
        <f t="shared" si="3"/>
        <v>1</v>
      </c>
      <c r="AB39" s="1506">
        <f t="shared" si="4"/>
        <v>1</v>
      </c>
      <c r="AC39" s="1506">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65"/>
      <c r="Q40" s="1505">
        <f t="shared" si="11"/>
        <v>111</v>
      </c>
      <c r="R40" s="714" t="s">
        <v>17</v>
      </c>
      <c r="S40" s="715">
        <f t="shared" si="12"/>
        <v>100</v>
      </c>
      <c r="T40" s="714" t="s">
        <v>17</v>
      </c>
      <c r="U40" s="715">
        <f t="shared" si="13"/>
        <v>100</v>
      </c>
      <c r="V40" s="714" t="s">
        <v>17</v>
      </c>
      <c r="W40" s="715">
        <f t="shared" si="14"/>
        <v>100</v>
      </c>
      <c r="X40" s="1508"/>
      <c r="Y40" s="3465"/>
      <c r="Z40" s="1509">
        <f t="shared" si="15"/>
        <v>111</v>
      </c>
      <c r="AA40" s="1506">
        <f t="shared" si="3"/>
        <v>1</v>
      </c>
      <c r="AB40" s="1506">
        <f t="shared" si="4"/>
        <v>1</v>
      </c>
      <c r="AC40" s="1506">
        <f t="shared" si="5"/>
        <v>1</v>
      </c>
    </row>
    <row r="41" spans="1:29" ht="15">
      <c r="A41" s="438" t="s">
        <v>2336</v>
      </c>
      <c r="B41" s="439"/>
      <c r="C41" s="1288" t="s">
        <v>1</v>
      </c>
      <c r="D41" s="1289"/>
      <c r="E41" s="1290"/>
      <c r="F41" s="1291"/>
      <c r="G41" s="1292"/>
      <c r="H41" s="1293"/>
      <c r="I41" s="1290"/>
      <c r="J41" s="1293"/>
      <c r="K41" s="723"/>
      <c r="L41" s="1057"/>
      <c r="M41" s="1058"/>
      <c r="N41" s="1045"/>
      <c r="O41" s="1058"/>
      <c r="P41" s="3457" t="str">
        <f>A41</f>
        <v>成交单价（元/平方米）</v>
      </c>
      <c r="Q41" s="3457"/>
      <c r="R41" s="3458">
        <f>E41</f>
        <v>0</v>
      </c>
      <c r="S41" s="3458"/>
      <c r="T41" s="3458">
        <f>G41</f>
        <v>0</v>
      </c>
      <c r="U41" s="3458"/>
      <c r="V41" s="3458">
        <f>I41</f>
        <v>0</v>
      </c>
      <c r="W41" s="3458"/>
      <c r="X41" s="699"/>
      <c r="Y41" s="721"/>
      <c r="Z41" s="699"/>
      <c r="AA41" s="699"/>
      <c r="AB41" s="699"/>
      <c r="AC41" s="699"/>
    </row>
    <row r="42" spans="1:29" ht="15.75" thickBot="1">
      <c r="A42" s="445" t="s">
        <v>2428</v>
      </c>
      <c r="B42" s="446"/>
      <c r="C42" s="1294" t="e">
        <f>R43</f>
        <v>#DIV/0!</v>
      </c>
      <c r="D42" s="2507" t="s">
        <v>2816</v>
      </c>
      <c r="E42" s="1295" t="e">
        <f>R42</f>
        <v>#DIV/0!</v>
      </c>
      <c r="F42" s="2508"/>
      <c r="G42" s="1294" t="e">
        <f>T42</f>
        <v>#DIV/0!</v>
      </c>
      <c r="H42" s="2508"/>
      <c r="I42" s="1295" t="e">
        <f>V42</f>
        <v>#DIV/0!</v>
      </c>
      <c r="J42" s="2508"/>
      <c r="K42" s="2510">
        <f>F42+H42+J42</f>
        <v>0</v>
      </c>
      <c r="L42" s="1057"/>
      <c r="M42" s="1058"/>
      <c r="N42" s="1045"/>
      <c r="O42" s="1058"/>
      <c r="P42" s="3457" t="str">
        <f>A42</f>
        <v>比较价值（元/平方米）</v>
      </c>
      <c r="Q42" s="3457"/>
      <c r="R42" s="3458" t="e">
        <f>IF(F1="售价",ROUND(PRODUCT(R41,AA7:AA40),0),ROUND(PRODUCT(R41,AA7:AA40),1))</f>
        <v>#DIV/0!</v>
      </c>
      <c r="S42" s="3458"/>
      <c r="T42" s="3458" t="e">
        <f>IF(F1="售价",ROUND(PRODUCT(T41,AB7:AB40),0),ROUND(PRODUCT(T41,AB7:AB40),1))</f>
        <v>#DIV/0!</v>
      </c>
      <c r="U42" s="3458"/>
      <c r="V42" s="3458" t="e">
        <f>IF(F1="售价",ROUND(PRODUCT(V41,AC7:AC40),0),ROUND(PRODUCT(V41,AC7:AC40),1))</f>
        <v>#DIV/0!</v>
      </c>
      <c r="W42" s="3458"/>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54" t="str">
        <f>A43</f>
        <v>估价对象XX用房的比较价值（楼面单价，元/平方米）</v>
      </c>
      <c r="Q43" s="3455"/>
      <c r="R43" s="3456" t="e">
        <f>IF(F1="售价",ROUND(IF(D42="简单平均",AVERAGE(R42:V42),R42*F42+T42*H42+V42*J42),0),ROUND(IF(D42="简单平均",AVERAGE(R42:V42),R42*F42+T42*H42+V42*J42),1))</f>
        <v>#DIV/0!</v>
      </c>
      <c r="S43" s="3456"/>
      <c r="T43" s="3456"/>
      <c r="U43" s="3456"/>
      <c r="V43" s="3456"/>
      <c r="W43" s="3456"/>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7" t="str">
        <f>YEAR(C7)&amp;"-"&amp;MONTH(C7)</f>
        <v>2022-3</v>
      </c>
      <c r="D52" s="1318">
        <f>EDATE(C52,-1)</f>
        <v>44593</v>
      </c>
      <c r="E52" s="1318">
        <f t="shared" ref="E52:O52" si="16">EDATE(D52,-1)</f>
        <v>44562</v>
      </c>
      <c r="F52" s="1318">
        <f t="shared" si="16"/>
        <v>44531</v>
      </c>
      <c r="G52" s="1318">
        <f t="shared" si="16"/>
        <v>44501</v>
      </c>
      <c r="H52" s="1318">
        <f t="shared" si="16"/>
        <v>44470</v>
      </c>
      <c r="I52" s="1318">
        <f t="shared" si="16"/>
        <v>44440</v>
      </c>
      <c r="J52" s="1318">
        <f t="shared" si="16"/>
        <v>44409</v>
      </c>
      <c r="K52" s="1318">
        <f t="shared" si="16"/>
        <v>44378</v>
      </c>
      <c r="L52" s="1318">
        <f t="shared" si="16"/>
        <v>44348</v>
      </c>
      <c r="M52" s="1318">
        <f t="shared" si="16"/>
        <v>44317</v>
      </c>
      <c r="N52" s="1318">
        <f t="shared" si="16"/>
        <v>44287</v>
      </c>
      <c r="O52" s="1318">
        <f t="shared" si="16"/>
        <v>44256</v>
      </c>
      <c r="P52" s="464"/>
    </row>
    <row r="53" spans="1:17" s="113" customFormat="1" ht="15">
      <c r="A53" s="466"/>
      <c r="B53" s="467"/>
      <c r="C53" s="1316">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8"/>
      <c r="O54" s="2969"/>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2466</v>
      </c>
      <c r="B1" s="1362"/>
      <c r="C1" s="1363" t="s">
        <v>2289</v>
      </c>
      <c r="D1" s="1364"/>
      <c r="E1" s="1365"/>
      <c r="F1" s="2034"/>
      <c r="G1" s="1366" t="s">
        <v>2402</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8" customFormat="1" ht="28.5" customHeight="1" thickTop="1">
      <c r="A2" s="1360" t="s">
        <v>2089</v>
      </c>
      <c r="B2" s="1298" t="e">
        <f ca="1">IF(C2="——",IF(B37="元/平方米",ROUND(C39*D3/10000,0),ROUND(F3*C39/10000,0)),IF(B37="元/平方米",ROUND(C39*D3/10000,0),ROUND(F3*C39/10000,0))-D2)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2091</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2404</v>
      </c>
      <c r="B4" s="362"/>
      <c r="C4" s="3472" t="s">
        <v>2405</v>
      </c>
      <c r="D4" s="3473"/>
      <c r="E4" s="3474" t="s">
        <v>2406</v>
      </c>
      <c r="F4" s="3475"/>
      <c r="G4" s="3472" t="s">
        <v>2407</v>
      </c>
      <c r="H4" s="3473"/>
      <c r="I4" s="3472" t="s">
        <v>2408</v>
      </c>
      <c r="J4" s="3473"/>
      <c r="K4" s="567" t="s">
        <v>2409</v>
      </c>
      <c r="L4" s="2913"/>
      <c r="M4" s="2914"/>
      <c r="N4" s="2914"/>
      <c r="O4" s="2914"/>
      <c r="P4" s="3476" t="s">
        <v>2410</v>
      </c>
      <c r="Q4" s="3477"/>
      <c r="R4" s="3482" t="s">
        <v>2406</v>
      </c>
      <c r="S4" s="3483"/>
      <c r="T4" s="3482" t="s">
        <v>2407</v>
      </c>
      <c r="U4" s="3483"/>
      <c r="V4" s="3488" t="s">
        <v>2408</v>
      </c>
      <c r="W4" s="3488"/>
      <c r="X4" s="1508"/>
      <c r="Y4" s="3482" t="s">
        <v>2410</v>
      </c>
      <c r="Z4" s="3483"/>
      <c r="AA4" s="3469" t="s">
        <v>2406</v>
      </c>
      <c r="AB4" s="3470" t="s">
        <v>2407</v>
      </c>
      <c r="AC4" s="3469" t="s">
        <v>2408</v>
      </c>
    </row>
    <row r="5" spans="1:29" ht="15">
      <c r="A5" s="364"/>
      <c r="B5" s="365"/>
      <c r="C5" s="3491" t="s">
        <v>2301</v>
      </c>
      <c r="D5" s="3492"/>
      <c r="E5" s="3498" t="s">
        <v>2302</v>
      </c>
      <c r="F5" s="3499"/>
      <c r="G5" s="3491" t="s">
        <v>2303</v>
      </c>
      <c r="H5" s="3492"/>
      <c r="I5" s="3491" t="s">
        <v>2304</v>
      </c>
      <c r="J5" s="3492"/>
      <c r="K5" s="567"/>
      <c r="L5" s="2913"/>
      <c r="M5" s="2914"/>
      <c r="N5" s="2914"/>
      <c r="O5" s="2914"/>
      <c r="P5" s="3478"/>
      <c r="Q5" s="3479"/>
      <c r="R5" s="3484"/>
      <c r="S5" s="3485"/>
      <c r="T5" s="3484"/>
      <c r="U5" s="3485"/>
      <c r="V5" s="3488"/>
      <c r="W5" s="3488"/>
      <c r="X5" s="1508"/>
      <c r="Y5" s="3484"/>
      <c r="Z5" s="3485"/>
      <c r="AA5" s="3470"/>
      <c r="AB5" s="3470"/>
      <c r="AC5" s="3470"/>
    </row>
    <row r="6" spans="1:29" ht="15.75" thickBot="1">
      <c r="A6" s="366"/>
      <c r="B6" s="367"/>
      <c r="C6" s="3489" t="s">
        <v>2305</v>
      </c>
      <c r="D6" s="3490"/>
      <c r="E6" s="3496" t="s">
        <v>2305</v>
      </c>
      <c r="F6" s="3497"/>
      <c r="G6" s="3489" t="s">
        <v>2305</v>
      </c>
      <c r="H6" s="3490"/>
      <c r="I6" s="3489" t="s">
        <v>2305</v>
      </c>
      <c r="J6" s="3490"/>
      <c r="K6" s="567" t="s">
        <v>2306</v>
      </c>
      <c r="L6" s="2913"/>
      <c r="M6" s="2914"/>
      <c r="N6" s="2914"/>
      <c r="O6" s="2914"/>
      <c r="P6" s="3480"/>
      <c r="Q6" s="3481"/>
      <c r="R6" s="3484"/>
      <c r="S6" s="3485"/>
      <c r="T6" s="3486"/>
      <c r="U6" s="3487"/>
      <c r="V6" s="3488"/>
      <c r="W6" s="3488"/>
      <c r="X6" s="1508"/>
      <c r="Y6" s="3486"/>
      <c r="Z6" s="3487"/>
      <c r="AA6" s="3471"/>
      <c r="AB6" s="3471"/>
      <c r="AC6" s="3471"/>
    </row>
    <row r="7" spans="1:29" s="113" customFormat="1" ht="15.75" thickBot="1">
      <c r="A7" s="368" t="s">
        <v>2307</v>
      </c>
      <c r="B7" s="369"/>
      <c r="C7" s="370">
        <f>'数据-取费表'!B2</f>
        <v>44645</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93" t="s">
        <v>2308</v>
      </c>
      <c r="Q7" s="3495"/>
      <c r="R7" s="710" t="s">
        <v>17</v>
      </c>
      <c r="S7" s="711">
        <f t="shared" ref="S7:S14" si="0">F7</f>
        <v>0</v>
      </c>
      <c r="T7" s="710" t="s">
        <v>17</v>
      </c>
      <c r="U7" s="711">
        <f t="shared" ref="U7:U14" si="1">H7</f>
        <v>0</v>
      </c>
      <c r="V7" s="710" t="s">
        <v>17</v>
      </c>
      <c r="W7" s="711">
        <f t="shared" ref="W7:W14" si="2">J7</f>
        <v>0</v>
      </c>
      <c r="X7" s="712"/>
      <c r="Y7" s="3493" t="s">
        <v>2308</v>
      </c>
      <c r="Z7" s="3494"/>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93" t="s">
        <v>2311</v>
      </c>
      <c r="Q8" s="3494"/>
      <c r="R8" s="710" t="s">
        <v>17</v>
      </c>
      <c r="S8" s="711">
        <f t="shared" si="0"/>
        <v>0</v>
      </c>
      <c r="T8" s="710" t="s">
        <v>17</v>
      </c>
      <c r="U8" s="711">
        <f t="shared" si="1"/>
        <v>0</v>
      </c>
      <c r="V8" s="710" t="s">
        <v>17</v>
      </c>
      <c r="W8" s="711">
        <f t="shared" si="2"/>
        <v>0</v>
      </c>
      <c r="X8" s="712"/>
      <c r="Y8" s="3493" t="s">
        <v>2311</v>
      </c>
      <c r="Z8" s="3494"/>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57" t="s">
        <v>2314</v>
      </c>
      <c r="Q9" s="1496" t="str">
        <f t="shared" ref="Q9:Q14" si="6">B9</f>
        <v>用途</v>
      </c>
      <c r="R9" s="710" t="s">
        <v>17</v>
      </c>
      <c r="S9" s="711">
        <f t="shared" si="0"/>
        <v>100</v>
      </c>
      <c r="T9" s="710" t="s">
        <v>17</v>
      </c>
      <c r="U9" s="711">
        <f t="shared" si="1"/>
        <v>100</v>
      </c>
      <c r="V9" s="710" t="s">
        <v>17</v>
      </c>
      <c r="W9" s="711">
        <f t="shared" si="2"/>
        <v>100</v>
      </c>
      <c r="X9" s="712"/>
      <c r="Y9" s="3329"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57"/>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57"/>
      <c r="Q11" s="1496">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57"/>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57"/>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
      <c r="A14" s="361" t="s">
        <v>2318</v>
      </c>
      <c r="B14" s="585" t="s">
        <v>2468</v>
      </c>
      <c r="C14" s="2126">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59" t="s">
        <v>2319</v>
      </c>
      <c r="Q14" s="1505" t="str">
        <f t="shared" si="6"/>
        <v>交通便捷度</v>
      </c>
      <c r="R14" s="714" t="s">
        <v>17</v>
      </c>
      <c r="S14" s="715">
        <f t="shared" si="0"/>
        <v>100</v>
      </c>
      <c r="T14" s="714" t="s">
        <v>17</v>
      </c>
      <c r="U14" s="715">
        <f t="shared" si="1"/>
        <v>100</v>
      </c>
      <c r="V14" s="714" t="s">
        <v>17</v>
      </c>
      <c r="W14" s="715">
        <f t="shared" si="2"/>
        <v>100</v>
      </c>
      <c r="X14" s="1508"/>
      <c r="Y14" s="3459" t="s">
        <v>2319</v>
      </c>
      <c r="Z14" s="1509" t="str">
        <f t="shared" si="7"/>
        <v>交通便捷度</v>
      </c>
      <c r="AA14" s="1506">
        <f t="shared" si="3"/>
        <v>1</v>
      </c>
      <c r="AB14" s="1506">
        <f t="shared" si="4"/>
        <v>1</v>
      </c>
      <c r="AC14" s="1506">
        <f t="shared" si="5"/>
        <v>1</v>
      </c>
    </row>
    <row r="15" spans="1:29" ht="15">
      <c r="A15" s="364"/>
      <c r="B15" s="603"/>
      <c r="C15" s="406"/>
      <c r="D15" s="407"/>
      <c r="E15" s="406"/>
      <c r="F15" s="408"/>
      <c r="G15" s="406"/>
      <c r="H15" s="409"/>
      <c r="I15" s="406"/>
      <c r="J15" s="407"/>
      <c r="K15" s="572"/>
      <c r="L15" s="2920"/>
      <c r="M15" s="2914"/>
      <c r="N15" s="2914"/>
      <c r="O15" s="2914"/>
      <c r="P15" s="3460"/>
      <c r="Q15" s="1505"/>
      <c r="R15" s="714"/>
      <c r="S15" s="715"/>
      <c r="T15" s="714"/>
      <c r="U15" s="715"/>
      <c r="V15" s="714"/>
      <c r="W15" s="715"/>
      <c r="X15" s="1508"/>
      <c r="Y15" s="3460"/>
      <c r="Z15" s="1509"/>
      <c r="AA15" s="1506">
        <v>1</v>
      </c>
      <c r="AB15" s="1506">
        <v>1</v>
      </c>
      <c r="AC15" s="1506">
        <v>1</v>
      </c>
    </row>
    <row r="16" spans="1:29" ht="15">
      <c r="A16" s="364"/>
      <c r="B16" s="587" t="s">
        <v>2447</v>
      </c>
      <c r="C16" s="2055">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60"/>
      <c r="Q16" s="1505" t="str">
        <f>B16</f>
        <v>公共配套设施</v>
      </c>
      <c r="R16" s="714" t="s">
        <v>17</v>
      </c>
      <c r="S16" s="715">
        <f>F16</f>
        <v>100</v>
      </c>
      <c r="T16" s="714" t="s">
        <v>17</v>
      </c>
      <c r="U16" s="715">
        <f>H16</f>
        <v>100</v>
      </c>
      <c r="V16" s="714" t="s">
        <v>17</v>
      </c>
      <c r="W16" s="715">
        <f>J16</f>
        <v>100</v>
      </c>
      <c r="X16" s="1508"/>
      <c r="Y16" s="3460"/>
      <c r="Z16" s="1509" t="str">
        <f>Q16</f>
        <v>公共配套设施</v>
      </c>
      <c r="AA16" s="1506">
        <f t="shared" si="3"/>
        <v>1</v>
      </c>
      <c r="AB16" s="1506">
        <f t="shared" si="4"/>
        <v>1</v>
      </c>
      <c r="AC16" s="1506">
        <f t="shared" si="5"/>
        <v>1</v>
      </c>
    </row>
    <row r="17" spans="1:29" ht="15">
      <c r="A17" s="364"/>
      <c r="B17" s="588"/>
      <c r="C17" s="2056"/>
      <c r="D17" s="407"/>
      <c r="E17" s="406"/>
      <c r="F17" s="408"/>
      <c r="G17" s="406"/>
      <c r="H17" s="407"/>
      <c r="I17" s="406"/>
      <c r="J17" s="407"/>
      <c r="K17" s="572"/>
      <c r="L17" s="2920"/>
      <c r="M17" s="2914"/>
      <c r="N17" s="2914"/>
      <c r="O17" s="2914"/>
      <c r="P17" s="3460"/>
      <c r="Q17" s="1505"/>
      <c r="R17" s="714"/>
      <c r="S17" s="715"/>
      <c r="T17" s="714"/>
      <c r="U17" s="715"/>
      <c r="V17" s="714"/>
      <c r="W17" s="715"/>
      <c r="X17" s="1508"/>
      <c r="Y17" s="3460"/>
      <c r="Z17" s="1509"/>
      <c r="AA17" s="1506">
        <v>1</v>
      </c>
      <c r="AB17" s="1506">
        <v>1</v>
      </c>
      <c r="AC17" s="1506">
        <v>1</v>
      </c>
    </row>
    <row r="18" spans="1:29" ht="15">
      <c r="A18" s="364"/>
      <c r="B18" s="589" t="s">
        <v>2448</v>
      </c>
      <c r="C18" s="2055">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60"/>
      <c r="Q18" s="1505" t="str">
        <f>B18</f>
        <v>基础设施水平</v>
      </c>
      <c r="R18" s="714" t="s">
        <v>17</v>
      </c>
      <c r="S18" s="715">
        <f>F18</f>
        <v>100</v>
      </c>
      <c r="T18" s="714" t="s">
        <v>17</v>
      </c>
      <c r="U18" s="715">
        <f>H18</f>
        <v>100</v>
      </c>
      <c r="V18" s="714" t="s">
        <v>17</v>
      </c>
      <c r="W18" s="715">
        <f>J18</f>
        <v>100</v>
      </c>
      <c r="X18" s="1508"/>
      <c r="Y18" s="3460"/>
      <c r="Z18" s="1509" t="str">
        <f>Q18</f>
        <v>基础设施水平</v>
      </c>
      <c r="AA18" s="1506">
        <f t="shared" ref="AA18" si="8">D18/F18</f>
        <v>1</v>
      </c>
      <c r="AB18" s="1506">
        <f t="shared" ref="AB18" si="9">D18/H18</f>
        <v>1</v>
      </c>
      <c r="AC18" s="1506">
        <f t="shared" ref="AC18" si="10">D18/J18</f>
        <v>1</v>
      </c>
    </row>
    <row r="19" spans="1:29" ht="15">
      <c r="A19" s="364"/>
      <c r="B19" s="589"/>
      <c r="C19" s="2056"/>
      <c r="D19" s="409"/>
      <c r="E19" s="2056"/>
      <c r="F19" s="412"/>
      <c r="G19" s="2056"/>
      <c r="H19" s="407"/>
      <c r="I19" s="406"/>
      <c r="J19" s="407"/>
      <c r="K19" s="1264"/>
      <c r="L19" s="2920"/>
      <c r="M19" s="2914"/>
      <c r="N19" s="2914"/>
      <c r="O19" s="2914"/>
      <c r="P19" s="3460"/>
      <c r="Q19" s="1505"/>
      <c r="R19" s="714"/>
      <c r="S19" s="715"/>
      <c r="T19" s="714"/>
      <c r="U19" s="715"/>
      <c r="V19" s="714"/>
      <c r="W19" s="715"/>
      <c r="X19" s="1508"/>
      <c r="Y19" s="3460"/>
      <c r="Z19" s="1509"/>
      <c r="AA19" s="1506">
        <v>1</v>
      </c>
      <c r="AB19" s="1506">
        <v>1</v>
      </c>
      <c r="AC19" s="1506">
        <v>1</v>
      </c>
    </row>
    <row r="20" spans="1:29" ht="15">
      <c r="A20" s="364"/>
      <c r="B20" s="587" t="s">
        <v>2469</v>
      </c>
      <c r="C20" s="2055">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60"/>
      <c r="Q20" s="1505" t="str">
        <f>B20</f>
        <v>自然及人文环境</v>
      </c>
      <c r="R20" s="714" t="s">
        <v>17</v>
      </c>
      <c r="S20" s="715">
        <f>F20</f>
        <v>100</v>
      </c>
      <c r="T20" s="714" t="s">
        <v>17</v>
      </c>
      <c r="U20" s="715">
        <f>H20</f>
        <v>100</v>
      </c>
      <c r="V20" s="714" t="s">
        <v>17</v>
      </c>
      <c r="W20" s="715">
        <f>J20</f>
        <v>100</v>
      </c>
      <c r="X20" s="1508"/>
      <c r="Y20" s="3460"/>
      <c r="Z20" s="1509" t="str">
        <f>Q20</f>
        <v>自然及人文环境</v>
      </c>
      <c r="AA20" s="1506">
        <f t="shared" si="3"/>
        <v>1</v>
      </c>
      <c r="AB20" s="1506">
        <f t="shared" si="4"/>
        <v>1</v>
      </c>
      <c r="AC20" s="1506">
        <f t="shared" si="5"/>
        <v>1</v>
      </c>
    </row>
    <row r="21" spans="1:29" ht="15">
      <c r="A21" s="364"/>
      <c r="B21" s="588"/>
      <c r="C21" s="406"/>
      <c r="D21" s="407"/>
      <c r="E21" s="406"/>
      <c r="F21" s="408"/>
      <c r="G21" s="406"/>
      <c r="H21" s="407"/>
      <c r="I21" s="406"/>
      <c r="J21" s="407"/>
      <c r="K21" s="572"/>
      <c r="L21" s="2920"/>
      <c r="M21" s="2914"/>
      <c r="N21" s="2914"/>
      <c r="O21" s="2914"/>
      <c r="P21" s="3460"/>
      <c r="Q21" s="1505"/>
      <c r="R21" s="714"/>
      <c r="S21" s="715"/>
      <c r="T21" s="714"/>
      <c r="U21" s="715"/>
      <c r="V21" s="714"/>
      <c r="W21" s="715"/>
      <c r="X21" s="1508"/>
      <c r="Y21" s="3460"/>
      <c r="Z21" s="1509"/>
      <c r="AA21" s="1506">
        <v>1</v>
      </c>
      <c r="AB21" s="1506">
        <v>1</v>
      </c>
      <c r="AC21" s="1506">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60"/>
      <c r="Q22" s="1505" t="str">
        <f>B22</f>
        <v>楼层</v>
      </c>
      <c r="R22" s="714" t="s">
        <v>17</v>
      </c>
      <c r="S22" s="715">
        <f>F22</f>
        <v>100</v>
      </c>
      <c r="T22" s="714" t="s">
        <v>17</v>
      </c>
      <c r="U22" s="715">
        <f>H22</f>
        <v>100</v>
      </c>
      <c r="V22" s="714" t="s">
        <v>17</v>
      </c>
      <c r="W22" s="715">
        <f>J22</f>
        <v>100</v>
      </c>
      <c r="X22" s="1508"/>
      <c r="Y22" s="3460"/>
      <c r="Z22" s="1509" t="str">
        <f>Q22</f>
        <v>楼层</v>
      </c>
      <c r="AA22" s="1506">
        <f t="shared" si="3"/>
        <v>1</v>
      </c>
      <c r="AB22" s="1506">
        <f t="shared" si="4"/>
        <v>1</v>
      </c>
      <c r="AC22" s="150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60"/>
      <c r="Q23" s="1505">
        <f>B23</f>
        <v>111</v>
      </c>
      <c r="R23" s="714" t="s">
        <v>17</v>
      </c>
      <c r="S23" s="715">
        <f>F23</f>
        <v>100</v>
      </c>
      <c r="T23" s="714" t="s">
        <v>17</v>
      </c>
      <c r="U23" s="715">
        <f>H23</f>
        <v>100</v>
      </c>
      <c r="V23" s="714" t="s">
        <v>17</v>
      </c>
      <c r="W23" s="715">
        <f>J23</f>
        <v>100</v>
      </c>
      <c r="X23" s="1508"/>
      <c r="Y23" s="3460"/>
      <c r="Z23" s="1509">
        <f>Q23</f>
        <v>111</v>
      </c>
      <c r="AA23" s="1506">
        <f t="shared" si="3"/>
        <v>1</v>
      </c>
      <c r="AB23" s="1506">
        <f t="shared" si="4"/>
        <v>1</v>
      </c>
      <c r="AC23" s="150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60"/>
      <c r="Q24" s="1505">
        <f t="shared" ref="Q24:Q36" si="11">B24</f>
        <v>111</v>
      </c>
      <c r="R24" s="714" t="s">
        <v>17</v>
      </c>
      <c r="S24" s="715">
        <f>F24</f>
        <v>100</v>
      </c>
      <c r="T24" s="714" t="s">
        <v>17</v>
      </c>
      <c r="U24" s="715">
        <f>H24</f>
        <v>100</v>
      </c>
      <c r="V24" s="714" t="s">
        <v>17</v>
      </c>
      <c r="W24" s="715">
        <f>J24</f>
        <v>100</v>
      </c>
      <c r="X24" s="1508"/>
      <c r="Y24" s="3460"/>
      <c r="Z24" s="1509">
        <f>Q24</f>
        <v>111</v>
      </c>
      <c r="AA24" s="1506">
        <f t="shared" si="3"/>
        <v>1</v>
      </c>
      <c r="AB24" s="1506">
        <f t="shared" si="4"/>
        <v>1</v>
      </c>
      <c r="AC24" s="150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60"/>
      <c r="Q25" s="1496">
        <f t="shared" si="11"/>
        <v>111</v>
      </c>
      <c r="R25" s="710" t="s">
        <v>17</v>
      </c>
      <c r="S25" s="711">
        <f>F25</f>
        <v>100</v>
      </c>
      <c r="T25" s="710" t="s">
        <v>17</v>
      </c>
      <c r="U25" s="711">
        <f>H25</f>
        <v>100</v>
      </c>
      <c r="V25" s="710" t="s">
        <v>17</v>
      </c>
      <c r="W25" s="711">
        <f>J25</f>
        <v>100</v>
      </c>
      <c r="X25" s="712"/>
      <c r="Y25" s="3460"/>
      <c r="Z25" s="55">
        <f>Q25</f>
        <v>111</v>
      </c>
      <c r="AA25" s="1506">
        <f>D25/F25</f>
        <v>1</v>
      </c>
      <c r="AB25" s="1506">
        <f>D25/H25</f>
        <v>1</v>
      </c>
      <c r="AC25" s="1506">
        <f>D25/J25</f>
        <v>1</v>
      </c>
    </row>
    <row r="26" spans="1:29" ht="28.5">
      <c r="A26" s="608" t="s">
        <v>2322</v>
      </c>
      <c r="B26" s="66" t="s">
        <v>2471</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15" t="s">
        <v>2324</v>
      </c>
      <c r="Q26" s="1505" t="str">
        <f t="shared" si="11"/>
        <v>配套类型</v>
      </c>
      <c r="R26" s="714" t="s">
        <v>17</v>
      </c>
      <c r="S26" s="715">
        <f t="shared" ref="S26:S36" si="12">F26</f>
        <v>100</v>
      </c>
      <c r="T26" s="714" t="s">
        <v>17</v>
      </c>
      <c r="U26" s="715">
        <f t="shared" ref="U26:U36" si="13">H26</f>
        <v>100</v>
      </c>
      <c r="V26" s="714" t="s">
        <v>17</v>
      </c>
      <c r="W26" s="715">
        <f t="shared" ref="W26:W36" si="14">J26</f>
        <v>100</v>
      </c>
      <c r="X26" s="1508"/>
      <c r="Y26" s="3464" t="s">
        <v>2324</v>
      </c>
      <c r="Z26" s="1509" t="str">
        <f t="shared" ref="Z26:Z36" si="15">Q26</f>
        <v>配套类型</v>
      </c>
      <c r="AA26" s="1506">
        <f t="shared" si="3"/>
        <v>1</v>
      </c>
      <c r="AB26" s="1506">
        <f t="shared" si="4"/>
        <v>1</v>
      </c>
      <c r="AC26" s="1506">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64"/>
      <c r="Q27" s="716" t="str">
        <f t="shared" si="11"/>
        <v>项目停车位配比</v>
      </c>
      <c r="R27" s="717" t="s">
        <v>17</v>
      </c>
      <c r="S27" s="718">
        <f t="shared" si="12"/>
        <v>100</v>
      </c>
      <c r="T27" s="717" t="s">
        <v>17</v>
      </c>
      <c r="U27" s="718">
        <f t="shared" si="13"/>
        <v>100</v>
      </c>
      <c r="V27" s="717" t="s">
        <v>17</v>
      </c>
      <c r="W27" s="718">
        <f t="shared" si="14"/>
        <v>100</v>
      </c>
      <c r="X27" s="719"/>
      <c r="Y27" s="3464"/>
      <c r="Z27" s="720" t="str">
        <f t="shared" si="15"/>
        <v>项目停车位配比</v>
      </c>
      <c r="AA27" s="1506">
        <f t="shared" si="3"/>
        <v>1</v>
      </c>
      <c r="AB27" s="1506">
        <f t="shared" si="4"/>
        <v>1</v>
      </c>
      <c r="AC27" s="1506">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64"/>
      <c r="Q28" s="1505" t="str">
        <f t="shared" si="11"/>
        <v>公共部分装修</v>
      </c>
      <c r="R28" s="714" t="s">
        <v>17</v>
      </c>
      <c r="S28" s="715">
        <f t="shared" si="12"/>
        <v>100</v>
      </c>
      <c r="T28" s="714" t="s">
        <v>17</v>
      </c>
      <c r="U28" s="715">
        <f t="shared" si="13"/>
        <v>100</v>
      </c>
      <c r="V28" s="714" t="s">
        <v>17</v>
      </c>
      <c r="W28" s="715">
        <f t="shared" si="14"/>
        <v>100</v>
      </c>
      <c r="X28" s="1508"/>
      <c r="Y28" s="3464"/>
      <c r="Z28" s="1509" t="str">
        <f t="shared" si="15"/>
        <v>公共部分装修</v>
      </c>
      <c r="AA28" s="1506">
        <f t="shared" si="3"/>
        <v>1</v>
      </c>
      <c r="AB28" s="1506">
        <f t="shared" si="4"/>
        <v>1</v>
      </c>
      <c r="AC28" s="1506">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64"/>
      <c r="Q29" s="1505" t="str">
        <f t="shared" si="11"/>
        <v>成新率</v>
      </c>
      <c r="R29" s="714" t="s">
        <v>17</v>
      </c>
      <c r="S29" s="715" t="e">
        <f t="shared" si="12"/>
        <v>#N/A</v>
      </c>
      <c r="T29" s="714" t="s">
        <v>17</v>
      </c>
      <c r="U29" s="715" t="e">
        <f t="shared" si="13"/>
        <v>#N/A</v>
      </c>
      <c r="V29" s="714" t="s">
        <v>17</v>
      </c>
      <c r="W29" s="715" t="e">
        <f t="shared" si="14"/>
        <v>#N/A</v>
      </c>
      <c r="X29" s="1508"/>
      <c r="Y29" s="3464"/>
      <c r="Z29" s="1509" t="str">
        <f t="shared" si="15"/>
        <v>成新率</v>
      </c>
      <c r="AA29" s="1506" t="e">
        <f t="shared" si="3"/>
        <v>#N/A</v>
      </c>
      <c r="AB29" s="1506" t="e">
        <f t="shared" si="4"/>
        <v>#N/A</v>
      </c>
      <c r="AC29" s="1506"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64"/>
      <c r="Q30" s="1505" t="str">
        <f t="shared" si="11"/>
        <v>物业等级</v>
      </c>
      <c r="R30" s="714" t="s">
        <v>17</v>
      </c>
      <c r="S30" s="715">
        <f t="shared" si="12"/>
        <v>100</v>
      </c>
      <c r="T30" s="714" t="s">
        <v>17</v>
      </c>
      <c r="U30" s="715">
        <f t="shared" si="13"/>
        <v>100</v>
      </c>
      <c r="V30" s="714" t="s">
        <v>17</v>
      </c>
      <c r="W30" s="715">
        <f t="shared" si="14"/>
        <v>100</v>
      </c>
      <c r="X30" s="1508"/>
      <c r="Y30" s="3464"/>
      <c r="Z30" s="1509" t="str">
        <f t="shared" si="15"/>
        <v>物业等级</v>
      </c>
      <c r="AA30" s="1506">
        <f t="shared" si="3"/>
        <v>1</v>
      </c>
      <c r="AB30" s="1506">
        <f t="shared" si="4"/>
        <v>1</v>
      </c>
      <c r="AC30" s="1506">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64"/>
      <c r="Q31" s="1496" t="str">
        <f t="shared" si="11"/>
        <v>停车位面积</v>
      </c>
      <c r="R31" s="710" t="s">
        <v>17</v>
      </c>
      <c r="S31" s="711" t="e">
        <f t="shared" si="12"/>
        <v>#N/A</v>
      </c>
      <c r="T31" s="710" t="s">
        <v>17</v>
      </c>
      <c r="U31" s="711" t="e">
        <f t="shared" si="13"/>
        <v>#N/A</v>
      </c>
      <c r="V31" s="710" t="s">
        <v>17</v>
      </c>
      <c r="W31" s="711" t="e">
        <f t="shared" si="14"/>
        <v>#N/A</v>
      </c>
      <c r="X31" s="712"/>
      <c r="Y31" s="3464"/>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64" t="s">
        <v>2324</v>
      </c>
      <c r="Q32" s="1505" t="str">
        <f t="shared" si="11"/>
        <v>车位类型</v>
      </c>
      <c r="R32" s="714" t="s">
        <v>17</v>
      </c>
      <c r="S32" s="715">
        <f t="shared" si="12"/>
        <v>100</v>
      </c>
      <c r="T32" s="714" t="s">
        <v>17</v>
      </c>
      <c r="U32" s="715">
        <f t="shared" si="13"/>
        <v>100</v>
      </c>
      <c r="V32" s="714" t="s">
        <v>17</v>
      </c>
      <c r="W32" s="715">
        <f t="shared" si="14"/>
        <v>100</v>
      </c>
      <c r="X32" s="1508"/>
      <c r="Y32" s="3464" t="s">
        <v>2324</v>
      </c>
      <c r="Z32" s="1509" t="str">
        <f t="shared" si="15"/>
        <v>车位类型</v>
      </c>
      <c r="AA32" s="1506">
        <f t="shared" si="3"/>
        <v>1</v>
      </c>
      <c r="AB32" s="1506">
        <f t="shared" si="4"/>
        <v>1</v>
      </c>
      <c r="AC32" s="1506">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64"/>
      <c r="Q33" s="1505" t="str">
        <f t="shared" si="11"/>
        <v>是否直接入户</v>
      </c>
      <c r="R33" s="714" t="s">
        <v>17</v>
      </c>
      <c r="S33" s="715">
        <f t="shared" si="12"/>
        <v>100</v>
      </c>
      <c r="T33" s="714" t="s">
        <v>17</v>
      </c>
      <c r="U33" s="715">
        <f t="shared" si="13"/>
        <v>100</v>
      </c>
      <c r="V33" s="714" t="s">
        <v>17</v>
      </c>
      <c r="W33" s="715">
        <f t="shared" si="14"/>
        <v>100</v>
      </c>
      <c r="X33" s="1508"/>
      <c r="Y33" s="3464"/>
      <c r="Z33" s="1509" t="str">
        <f t="shared" si="15"/>
        <v>是否直接入户</v>
      </c>
      <c r="AA33" s="1506">
        <f t="shared" si="3"/>
        <v>1</v>
      </c>
      <c r="AB33" s="1506">
        <f t="shared" si="4"/>
        <v>1</v>
      </c>
      <c r="AC33" s="150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64"/>
      <c r="Q34" s="1505">
        <f t="shared" si="11"/>
        <v>111</v>
      </c>
      <c r="R34" s="714" t="s">
        <v>17</v>
      </c>
      <c r="S34" s="715">
        <f t="shared" si="12"/>
        <v>100</v>
      </c>
      <c r="T34" s="714" t="s">
        <v>17</v>
      </c>
      <c r="U34" s="715">
        <f t="shared" si="13"/>
        <v>100</v>
      </c>
      <c r="V34" s="714" t="s">
        <v>17</v>
      </c>
      <c r="W34" s="715">
        <f t="shared" si="14"/>
        <v>100</v>
      </c>
      <c r="X34" s="1508"/>
      <c r="Y34" s="3464"/>
      <c r="Z34" s="1509">
        <f t="shared" si="15"/>
        <v>111</v>
      </c>
      <c r="AA34" s="1506">
        <f t="shared" si="3"/>
        <v>1</v>
      </c>
      <c r="AB34" s="1506">
        <f t="shared" si="4"/>
        <v>1</v>
      </c>
      <c r="AC34" s="150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64"/>
      <c r="Q35" s="716">
        <f t="shared" si="11"/>
        <v>111</v>
      </c>
      <c r="R35" s="717" t="s">
        <v>17</v>
      </c>
      <c r="S35" s="718">
        <f t="shared" si="12"/>
        <v>100</v>
      </c>
      <c r="T35" s="717" t="s">
        <v>17</v>
      </c>
      <c r="U35" s="718">
        <f t="shared" si="13"/>
        <v>100</v>
      </c>
      <c r="V35" s="717" t="s">
        <v>17</v>
      </c>
      <c r="W35" s="718">
        <f t="shared" si="14"/>
        <v>100</v>
      </c>
      <c r="X35" s="719"/>
      <c r="Y35" s="3464"/>
      <c r="Z35" s="720">
        <f t="shared" si="15"/>
        <v>111</v>
      </c>
      <c r="AA35" s="1506">
        <f t="shared" si="3"/>
        <v>1</v>
      </c>
      <c r="AB35" s="1506">
        <f t="shared" si="4"/>
        <v>1</v>
      </c>
      <c r="AC35" s="150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64"/>
      <c r="Q36" s="1505">
        <f t="shared" si="11"/>
        <v>111</v>
      </c>
      <c r="R36" s="714" t="s">
        <v>17</v>
      </c>
      <c r="S36" s="715">
        <f t="shared" si="12"/>
        <v>100</v>
      </c>
      <c r="T36" s="714" t="s">
        <v>17</v>
      </c>
      <c r="U36" s="715">
        <f t="shared" si="13"/>
        <v>100</v>
      </c>
      <c r="V36" s="714" t="s">
        <v>17</v>
      </c>
      <c r="W36" s="715">
        <f t="shared" si="14"/>
        <v>100</v>
      </c>
      <c r="X36" s="1508"/>
      <c r="Y36" s="3464"/>
      <c r="Z36" s="1509">
        <f t="shared" si="15"/>
        <v>111</v>
      </c>
      <c r="AA36" s="1506">
        <f t="shared" si="3"/>
        <v>1</v>
      </c>
      <c r="AB36" s="1506">
        <f t="shared" si="4"/>
        <v>1</v>
      </c>
      <c r="AC36" s="1506">
        <f t="shared" si="5"/>
        <v>1</v>
      </c>
    </row>
    <row r="37" spans="1:29" ht="15">
      <c r="A37" s="438" t="s">
        <v>2479</v>
      </c>
      <c r="B37" s="2128" t="s">
        <v>2480</v>
      </c>
      <c r="C37" s="1288" t="s">
        <v>1</v>
      </c>
      <c r="D37" s="1289"/>
      <c r="E37" s="1290"/>
      <c r="F37" s="1291"/>
      <c r="G37" s="1292"/>
      <c r="H37" s="1293"/>
      <c r="I37" s="1290"/>
      <c r="J37" s="1293"/>
      <c r="K37" s="576"/>
      <c r="L37" s="2922"/>
      <c r="M37" s="2923"/>
      <c r="N37" s="2914"/>
      <c r="O37" s="2923"/>
      <c r="P37" s="3457" t="str">
        <f>A37</f>
        <v>成交单价</v>
      </c>
      <c r="Q37" s="3457"/>
      <c r="R37" s="3458">
        <f>E37</f>
        <v>0</v>
      </c>
      <c r="S37" s="3458"/>
      <c r="T37" s="3458">
        <f>G37</f>
        <v>0</v>
      </c>
      <c r="U37" s="3458"/>
      <c r="V37" s="3458">
        <f>I37</f>
        <v>0</v>
      </c>
      <c r="W37" s="3458"/>
      <c r="X37" s="699"/>
      <c r="Y37" s="721"/>
      <c r="Z37" s="699"/>
      <c r="AA37" s="699"/>
      <c r="AB37" s="699"/>
      <c r="AC37" s="699"/>
    </row>
    <row r="38" spans="1:29" ht="15.75" thickBot="1">
      <c r="A38" s="445" t="s">
        <v>2481</v>
      </c>
      <c r="B38" s="446" t="str">
        <f>B37</f>
        <v>元/车位</v>
      </c>
      <c r="C38" s="1294" t="e">
        <f>R39</f>
        <v>#DIV/0!</v>
      </c>
      <c r="D38" s="2507" t="s">
        <v>2816</v>
      </c>
      <c r="E38" s="1295" t="e">
        <f>R38</f>
        <v>#DIV/0!</v>
      </c>
      <c r="F38" s="2508"/>
      <c r="G38" s="1294" t="e">
        <f>T38</f>
        <v>#DIV/0!</v>
      </c>
      <c r="H38" s="2508"/>
      <c r="I38" s="1295" t="e">
        <f>V38</f>
        <v>#DIV/0!</v>
      </c>
      <c r="J38" s="2508"/>
      <c r="K38" s="2510">
        <f>F38+H38+J38</f>
        <v>0</v>
      </c>
      <c r="L38" s="2922"/>
      <c r="M38" s="2923"/>
      <c r="N38" s="2923"/>
      <c r="O38" s="2923"/>
      <c r="P38" s="3457" t="str">
        <f>A38</f>
        <v>比较价值（元/平方米）</v>
      </c>
      <c r="Q38" s="3457"/>
      <c r="R38" s="3458" t="e">
        <f>IF(F1="售价",ROUND(PRODUCT(R37,AA7:AA36),0),ROUND(PRODUCT(R37,AA7:AA36),1))</f>
        <v>#DIV/0!</v>
      </c>
      <c r="S38" s="3458"/>
      <c r="T38" s="3458" t="e">
        <f>IF(F1="售价",ROUND(PRODUCT(T37,AB7:AB36),0),ROUND(PRODUCT(T37,AB7:AB36),1))</f>
        <v>#DIV/0!</v>
      </c>
      <c r="U38" s="3458"/>
      <c r="V38" s="3458" t="e">
        <f>IF(F1="售价",ROUND(PRODUCT(V37,AC7:AC36),0),ROUND(PRODUCT(V37,AC7:AC36),1))</f>
        <v>#DIV/0!</v>
      </c>
      <c r="W38" s="3458"/>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2"/>
      <c r="M39" s="2923"/>
      <c r="N39" s="2923"/>
      <c r="O39" s="2923"/>
      <c r="P39" s="3454" t="str">
        <f>A39</f>
        <v>估价对象XX用房的比较价值（楼面单价，元/平方米）</v>
      </c>
      <c r="Q39" s="3455"/>
      <c r="R39" s="3516" t="e">
        <f>IF(F1="售价",ROUND(IF(D38="简单平均",AVERAGE(R38:W38),R38*F38+T38*H38+V38*J38),0),ROUND(IF(D38="简单平均",AVERAGE(R38:V38),R38*F38+T38*H38+V38*J38),1))</f>
        <v>#DIV/0!</v>
      </c>
      <c r="S39" s="3516"/>
      <c r="T39" s="3516"/>
      <c r="U39" s="3516"/>
      <c r="V39" s="3516"/>
      <c r="W39" s="3516"/>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2486</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2487</v>
      </c>
      <c r="B48" s="463"/>
      <c r="C48" s="1317" t="str">
        <f>YEAR(C7)&amp;"-"&amp;MONTH(C7)</f>
        <v>2022-3</v>
      </c>
      <c r="D48" s="1318">
        <f>EDATE(C48,-1)</f>
        <v>44593</v>
      </c>
      <c r="E48" s="1318">
        <f t="shared" ref="E48:O48" si="16">EDATE(D48,-1)</f>
        <v>44562</v>
      </c>
      <c r="F48" s="1318">
        <f t="shared" si="16"/>
        <v>44531</v>
      </c>
      <c r="G48" s="1318">
        <f t="shared" si="16"/>
        <v>44501</v>
      </c>
      <c r="H48" s="1318">
        <f t="shared" si="16"/>
        <v>44470</v>
      </c>
      <c r="I48" s="1318">
        <f t="shared" si="16"/>
        <v>44440</v>
      </c>
      <c r="J48" s="1318">
        <f t="shared" si="16"/>
        <v>44409</v>
      </c>
      <c r="K48" s="1318">
        <f t="shared" si="16"/>
        <v>44378</v>
      </c>
      <c r="L48" s="1318">
        <f t="shared" si="16"/>
        <v>44348</v>
      </c>
      <c r="M48" s="1318">
        <f t="shared" si="16"/>
        <v>44317</v>
      </c>
      <c r="N48" s="1318">
        <f t="shared" si="16"/>
        <v>44287</v>
      </c>
      <c r="O48" s="1318">
        <f t="shared" si="16"/>
        <v>44256</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2344</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2309</v>
      </c>
      <c r="B51" s="467"/>
      <c r="C51" s="479" t="s">
        <v>2411</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2347</v>
      </c>
      <c r="B53" s="485" t="s">
        <v>2313</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2362</v>
      </c>
      <c r="C65" s="535" t="s">
        <v>2356</v>
      </c>
      <c r="D65" s="535" t="s">
        <v>2357</v>
      </c>
      <c r="E65" s="535" t="s">
        <v>2358</v>
      </c>
      <c r="F65" s="535" t="s">
        <v>2359</v>
      </c>
      <c r="G65" s="535" t="s">
        <v>2360</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2448</v>
      </c>
      <c r="C67" s="616" t="s">
        <v>2434</v>
      </c>
      <c r="D67" s="616" t="s">
        <v>2435</v>
      </c>
      <c r="E67" s="616" t="s">
        <v>2436</v>
      </c>
      <c r="F67" s="616" t="s">
        <v>2437</v>
      </c>
      <c r="G67" s="616" t="s">
        <v>2438</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2368</v>
      </c>
      <c r="C69" s="535" t="s">
        <v>2356</v>
      </c>
      <c r="D69" s="535" t="s">
        <v>2357</v>
      </c>
      <c r="E69" s="535" t="s">
        <v>2358</v>
      </c>
      <c r="F69" s="535" t="s">
        <v>2359</v>
      </c>
      <c r="G69" s="535" t="s">
        <v>2360</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2488</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2322</v>
      </c>
      <c r="B79" s="485" t="s">
        <v>2489</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2490</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2375</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2492</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2494</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2495</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2466</v>
      </c>
      <c r="B1" s="1362"/>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IF(C2="——",ROUND(C37*D3/10000,0),ROUND(C37*D3/10000,0)-D2)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IF(C2="——",C37,ROUND(B2*10000/D3,0))</f>
        <v>#DIV/0!</v>
      </c>
      <c r="C3" s="360" t="s">
        <v>2403</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72" t="s">
        <v>2405</v>
      </c>
      <c r="D4" s="3473"/>
      <c r="E4" s="3474" t="s">
        <v>2406</v>
      </c>
      <c r="F4" s="3475"/>
      <c r="G4" s="3472" t="s">
        <v>2407</v>
      </c>
      <c r="H4" s="3473"/>
      <c r="I4" s="3472" t="s">
        <v>2408</v>
      </c>
      <c r="J4" s="3473"/>
      <c r="K4" s="567" t="s">
        <v>2409</v>
      </c>
      <c r="L4" s="2913"/>
      <c r="M4" s="2914"/>
      <c r="N4" s="2914"/>
      <c r="O4" s="2914"/>
      <c r="P4" s="3476" t="s">
        <v>2410</v>
      </c>
      <c r="Q4" s="3477"/>
      <c r="R4" s="3482" t="s">
        <v>2406</v>
      </c>
      <c r="S4" s="3483"/>
      <c r="T4" s="3482" t="s">
        <v>2407</v>
      </c>
      <c r="U4" s="3483"/>
      <c r="V4" s="3488" t="s">
        <v>2408</v>
      </c>
      <c r="W4" s="3488"/>
      <c r="X4" s="1508"/>
      <c r="Y4" s="3482" t="s">
        <v>2410</v>
      </c>
      <c r="Z4" s="3483"/>
      <c r="AA4" s="3469" t="s">
        <v>2406</v>
      </c>
      <c r="AB4" s="3470" t="s">
        <v>2407</v>
      </c>
      <c r="AC4" s="3469" t="s">
        <v>2408</v>
      </c>
    </row>
    <row r="5" spans="1:29" ht="15">
      <c r="A5" s="364"/>
      <c r="B5" s="365"/>
      <c r="C5" s="3491" t="s">
        <v>2301</v>
      </c>
      <c r="D5" s="3492"/>
      <c r="E5" s="3498" t="s">
        <v>2302</v>
      </c>
      <c r="F5" s="3499"/>
      <c r="G5" s="3491" t="s">
        <v>2303</v>
      </c>
      <c r="H5" s="3492"/>
      <c r="I5" s="3491" t="s">
        <v>2304</v>
      </c>
      <c r="J5" s="3492"/>
      <c r="K5" s="567"/>
      <c r="L5" s="2913"/>
      <c r="M5" s="2914"/>
      <c r="N5" s="2914"/>
      <c r="O5" s="2914"/>
      <c r="P5" s="3478"/>
      <c r="Q5" s="3479"/>
      <c r="R5" s="3484"/>
      <c r="S5" s="3485"/>
      <c r="T5" s="3484"/>
      <c r="U5" s="3485"/>
      <c r="V5" s="3488"/>
      <c r="W5" s="3488"/>
      <c r="X5" s="1508"/>
      <c r="Y5" s="3484"/>
      <c r="Z5" s="3485"/>
      <c r="AA5" s="3470"/>
      <c r="AB5" s="3470"/>
      <c r="AC5" s="3470"/>
    </row>
    <row r="6" spans="1:29" ht="15.75" thickBot="1">
      <c r="A6" s="366"/>
      <c r="B6" s="367"/>
      <c r="C6" s="3489" t="s">
        <v>2305</v>
      </c>
      <c r="D6" s="3490"/>
      <c r="E6" s="3496" t="s">
        <v>2305</v>
      </c>
      <c r="F6" s="3497"/>
      <c r="G6" s="3489" t="s">
        <v>2305</v>
      </c>
      <c r="H6" s="3490"/>
      <c r="I6" s="3489" t="s">
        <v>2305</v>
      </c>
      <c r="J6" s="3490"/>
      <c r="K6" s="567" t="s">
        <v>2306</v>
      </c>
      <c r="L6" s="2913"/>
      <c r="M6" s="2914"/>
      <c r="N6" s="2914"/>
      <c r="O6" s="2914"/>
      <c r="P6" s="3480"/>
      <c r="Q6" s="3481"/>
      <c r="R6" s="3484"/>
      <c r="S6" s="3485"/>
      <c r="T6" s="3486"/>
      <c r="U6" s="3487"/>
      <c r="V6" s="3488"/>
      <c r="W6" s="3488"/>
      <c r="X6" s="1508"/>
      <c r="Y6" s="3486"/>
      <c r="Z6" s="3487"/>
      <c r="AA6" s="3471"/>
      <c r="AB6" s="3471"/>
      <c r="AC6" s="3471"/>
    </row>
    <row r="7" spans="1:29" s="113" customFormat="1" ht="15.75" thickBot="1">
      <c r="A7" s="368" t="s">
        <v>2307</v>
      </c>
      <c r="B7" s="369"/>
      <c r="C7" s="370">
        <f>'数据-取费表'!B2</f>
        <v>44645</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93" t="s">
        <v>2308</v>
      </c>
      <c r="Q7" s="3495"/>
      <c r="R7" s="710" t="s">
        <v>17</v>
      </c>
      <c r="S7" s="711">
        <f t="shared" ref="S7:S14" si="0">F7</f>
        <v>0</v>
      </c>
      <c r="T7" s="710" t="s">
        <v>17</v>
      </c>
      <c r="U7" s="711">
        <f t="shared" ref="U7:U14" si="1">H7</f>
        <v>0</v>
      </c>
      <c r="V7" s="710" t="s">
        <v>17</v>
      </c>
      <c r="W7" s="711">
        <f t="shared" ref="W7:W14" si="2">J7</f>
        <v>0</v>
      </c>
      <c r="X7" s="712"/>
      <c r="Y7" s="3493" t="s">
        <v>2308</v>
      </c>
      <c r="Z7" s="3494"/>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93" t="s">
        <v>2311</v>
      </c>
      <c r="Q8" s="3494"/>
      <c r="R8" s="710" t="s">
        <v>17</v>
      </c>
      <c r="S8" s="711">
        <f t="shared" si="0"/>
        <v>0</v>
      </c>
      <c r="T8" s="710" t="s">
        <v>17</v>
      </c>
      <c r="U8" s="711">
        <f t="shared" si="1"/>
        <v>0</v>
      </c>
      <c r="V8" s="710" t="s">
        <v>17</v>
      </c>
      <c r="W8" s="711">
        <f t="shared" si="2"/>
        <v>0</v>
      </c>
      <c r="X8" s="712"/>
      <c r="Y8" s="3493" t="s">
        <v>2311</v>
      </c>
      <c r="Z8" s="3494"/>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57" t="s">
        <v>2314</v>
      </c>
      <c r="Q9" s="1496" t="str">
        <f t="shared" ref="Q9:Q14" si="6">B9</f>
        <v>用途</v>
      </c>
      <c r="R9" s="710" t="s">
        <v>17</v>
      </c>
      <c r="S9" s="711">
        <f t="shared" si="0"/>
        <v>100</v>
      </c>
      <c r="T9" s="710" t="s">
        <v>17</v>
      </c>
      <c r="U9" s="711">
        <f t="shared" si="1"/>
        <v>100</v>
      </c>
      <c r="V9" s="710" t="s">
        <v>17</v>
      </c>
      <c r="W9" s="711">
        <f t="shared" si="2"/>
        <v>100</v>
      </c>
      <c r="X9" s="712"/>
      <c r="Y9" s="3329"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57"/>
      <c r="Q10" s="1496"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57"/>
      <c r="Q11" s="1496">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57"/>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57"/>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
      <c r="A14" s="399" t="s">
        <v>2318</v>
      </c>
      <c r="B14" s="65" t="s">
        <v>2468</v>
      </c>
      <c r="C14" s="2126">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59" t="s">
        <v>2319</v>
      </c>
      <c r="Q14" s="1505" t="str">
        <f t="shared" si="6"/>
        <v>交通便捷度</v>
      </c>
      <c r="R14" s="714" t="s">
        <v>17</v>
      </c>
      <c r="S14" s="715">
        <f t="shared" si="0"/>
        <v>100</v>
      </c>
      <c r="T14" s="714" t="s">
        <v>17</v>
      </c>
      <c r="U14" s="715">
        <f t="shared" si="1"/>
        <v>100</v>
      </c>
      <c r="V14" s="714" t="s">
        <v>17</v>
      </c>
      <c r="W14" s="715">
        <f t="shared" si="2"/>
        <v>100</v>
      </c>
      <c r="X14" s="1508"/>
      <c r="Y14" s="3459" t="s">
        <v>2319</v>
      </c>
      <c r="Z14" s="1509" t="str">
        <f t="shared" si="7"/>
        <v>交通便捷度</v>
      </c>
      <c r="AA14" s="1506">
        <f t="shared" si="3"/>
        <v>1</v>
      </c>
      <c r="AB14" s="1506">
        <f t="shared" si="4"/>
        <v>1</v>
      </c>
      <c r="AC14" s="1506">
        <f t="shared" si="5"/>
        <v>1</v>
      </c>
    </row>
    <row r="15" spans="1:29" ht="15">
      <c r="A15" s="387"/>
      <c r="B15" s="405"/>
      <c r="C15" s="406"/>
      <c r="D15" s="407"/>
      <c r="E15" s="406"/>
      <c r="F15" s="408"/>
      <c r="G15" s="406"/>
      <c r="H15" s="409"/>
      <c r="I15" s="406"/>
      <c r="J15" s="407"/>
      <c r="K15" s="572"/>
      <c r="L15" s="2920"/>
      <c r="M15" s="2914"/>
      <c r="N15" s="2914"/>
      <c r="O15" s="2972"/>
      <c r="P15" s="3460"/>
      <c r="Q15" s="1505"/>
      <c r="R15" s="714"/>
      <c r="S15" s="715"/>
      <c r="T15" s="714"/>
      <c r="U15" s="715"/>
      <c r="V15" s="714"/>
      <c r="W15" s="715"/>
      <c r="X15" s="1508"/>
      <c r="Y15" s="3460"/>
      <c r="Z15" s="1509"/>
      <c r="AA15" s="1506">
        <v>1</v>
      </c>
      <c r="AB15" s="1506">
        <v>1</v>
      </c>
      <c r="AC15" s="1506">
        <v>1</v>
      </c>
    </row>
    <row r="16" spans="1:29" ht="15">
      <c r="A16" s="387"/>
      <c r="B16" s="410" t="s">
        <v>2447</v>
      </c>
      <c r="C16" s="2055">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60"/>
      <c r="Q16" s="1505" t="str">
        <f>B16</f>
        <v>公共配套设施</v>
      </c>
      <c r="R16" s="714" t="s">
        <v>17</v>
      </c>
      <c r="S16" s="715">
        <f>F16</f>
        <v>100</v>
      </c>
      <c r="T16" s="714" t="s">
        <v>17</v>
      </c>
      <c r="U16" s="715">
        <f>H16</f>
        <v>100</v>
      </c>
      <c r="V16" s="714" t="s">
        <v>17</v>
      </c>
      <c r="W16" s="715">
        <f>J16</f>
        <v>100</v>
      </c>
      <c r="X16" s="1508"/>
      <c r="Y16" s="3460"/>
      <c r="Z16" s="1509" t="str">
        <f>Q16</f>
        <v>公共配套设施</v>
      </c>
      <c r="AA16" s="1506">
        <f t="shared" si="3"/>
        <v>1</v>
      </c>
      <c r="AB16" s="1506">
        <f t="shared" si="4"/>
        <v>1</v>
      </c>
      <c r="AC16" s="1506">
        <f t="shared" si="5"/>
        <v>1</v>
      </c>
    </row>
    <row r="17" spans="1:29" ht="15">
      <c r="A17" s="387"/>
      <c r="B17" s="415"/>
      <c r="C17" s="2056"/>
      <c r="D17" s="407"/>
      <c r="E17" s="406"/>
      <c r="F17" s="408"/>
      <c r="G17" s="406"/>
      <c r="H17" s="407"/>
      <c r="I17" s="406"/>
      <c r="J17" s="407"/>
      <c r="K17" s="572"/>
      <c r="L17" s="2920"/>
      <c r="M17" s="2914"/>
      <c r="N17" s="2914"/>
      <c r="O17" s="2972"/>
      <c r="P17" s="3460"/>
      <c r="Q17" s="1505"/>
      <c r="R17" s="714"/>
      <c r="S17" s="715"/>
      <c r="T17" s="714"/>
      <c r="U17" s="715"/>
      <c r="V17" s="714"/>
      <c r="W17" s="715"/>
      <c r="X17" s="1508"/>
      <c r="Y17" s="3460"/>
      <c r="Z17" s="1509"/>
      <c r="AA17" s="1506">
        <v>1</v>
      </c>
      <c r="AB17" s="1506">
        <v>1</v>
      </c>
      <c r="AC17" s="1506">
        <v>1</v>
      </c>
    </row>
    <row r="18" spans="1:29" ht="15">
      <c r="A18" s="387"/>
      <c r="B18" s="1265" t="s">
        <v>2448</v>
      </c>
      <c r="C18" s="2055">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60"/>
      <c r="Q18" s="1505" t="str">
        <f>B18</f>
        <v>基础设施水平</v>
      </c>
      <c r="R18" s="714" t="s">
        <v>17</v>
      </c>
      <c r="S18" s="715">
        <f>F18</f>
        <v>100</v>
      </c>
      <c r="T18" s="714" t="s">
        <v>17</v>
      </c>
      <c r="U18" s="715">
        <f>H18</f>
        <v>100</v>
      </c>
      <c r="V18" s="714" t="s">
        <v>17</v>
      </c>
      <c r="W18" s="715">
        <f>J18</f>
        <v>100</v>
      </c>
      <c r="X18" s="1508"/>
      <c r="Y18" s="3460"/>
      <c r="Z18" s="1509" t="str">
        <f>Q18</f>
        <v>基础设施水平</v>
      </c>
      <c r="AA18" s="1506">
        <f t="shared" ref="AA18" si="8">D18/F18</f>
        <v>1</v>
      </c>
      <c r="AB18" s="1506">
        <f t="shared" ref="AB18" si="9">D18/H18</f>
        <v>1</v>
      </c>
      <c r="AC18" s="1506">
        <f t="shared" ref="AC18" si="10">D18/J18</f>
        <v>1</v>
      </c>
    </row>
    <row r="19" spans="1:29" ht="15">
      <c r="A19" s="387"/>
      <c r="B19" s="1265"/>
      <c r="C19" s="2056"/>
      <c r="D19" s="409"/>
      <c r="E19" s="2056"/>
      <c r="F19" s="412"/>
      <c r="G19" s="2056"/>
      <c r="H19" s="407"/>
      <c r="I19" s="406"/>
      <c r="J19" s="407"/>
      <c r="K19" s="1264"/>
      <c r="L19" s="2920"/>
      <c r="M19" s="2914"/>
      <c r="N19" s="2914"/>
      <c r="O19" s="2972"/>
      <c r="P19" s="3460"/>
      <c r="Q19" s="1505"/>
      <c r="R19" s="714"/>
      <c r="S19" s="715"/>
      <c r="T19" s="714"/>
      <c r="U19" s="715"/>
      <c r="V19" s="714"/>
      <c r="W19" s="715"/>
      <c r="X19" s="1508"/>
      <c r="Y19" s="3460"/>
      <c r="Z19" s="1509"/>
      <c r="AA19" s="1506">
        <v>1</v>
      </c>
      <c r="AB19" s="1506">
        <v>1</v>
      </c>
      <c r="AC19" s="1506">
        <v>1</v>
      </c>
    </row>
    <row r="20" spans="1:29" ht="15">
      <c r="A20" s="387"/>
      <c r="B20" s="410" t="s">
        <v>2469</v>
      </c>
      <c r="C20" s="2055">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60"/>
      <c r="Q20" s="1505" t="str">
        <f>B20</f>
        <v>自然及人文环境</v>
      </c>
      <c r="R20" s="714" t="s">
        <v>17</v>
      </c>
      <c r="S20" s="715">
        <f>F20</f>
        <v>100</v>
      </c>
      <c r="T20" s="714" t="s">
        <v>17</v>
      </c>
      <c r="U20" s="715">
        <f>H20</f>
        <v>100</v>
      </c>
      <c r="V20" s="714" t="s">
        <v>17</v>
      </c>
      <c r="W20" s="715">
        <f>J20</f>
        <v>100</v>
      </c>
      <c r="X20" s="1508"/>
      <c r="Y20" s="3460"/>
      <c r="Z20" s="1509" t="str">
        <f>Q20</f>
        <v>自然及人文环境</v>
      </c>
      <c r="AA20" s="1506">
        <f t="shared" si="3"/>
        <v>1</v>
      </c>
      <c r="AB20" s="1506">
        <f t="shared" si="4"/>
        <v>1</v>
      </c>
      <c r="AC20" s="1506">
        <f t="shared" si="5"/>
        <v>1</v>
      </c>
    </row>
    <row r="21" spans="1:29" ht="15">
      <c r="A21" s="387"/>
      <c r="B21" s="415"/>
      <c r="C21" s="406"/>
      <c r="D21" s="407"/>
      <c r="E21" s="406"/>
      <c r="F21" s="408"/>
      <c r="G21" s="406"/>
      <c r="H21" s="407"/>
      <c r="I21" s="406"/>
      <c r="J21" s="407"/>
      <c r="K21" s="572"/>
      <c r="L21" s="2920"/>
      <c r="M21" s="2914"/>
      <c r="N21" s="2914"/>
      <c r="O21" s="2972"/>
      <c r="P21" s="3460"/>
      <c r="Q21" s="1505"/>
      <c r="R21" s="714"/>
      <c r="S21" s="715"/>
      <c r="T21" s="714"/>
      <c r="U21" s="715"/>
      <c r="V21" s="714"/>
      <c r="W21" s="715"/>
      <c r="X21" s="1508"/>
      <c r="Y21" s="3460"/>
      <c r="Z21" s="1509"/>
      <c r="AA21" s="1506">
        <v>1</v>
      </c>
      <c r="AB21" s="1506">
        <v>1</v>
      </c>
      <c r="AC21" s="1506">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60"/>
      <c r="Q22" s="1505" t="str">
        <f>B22</f>
        <v>楼层</v>
      </c>
      <c r="R22" s="714" t="s">
        <v>17</v>
      </c>
      <c r="S22" s="715">
        <f>F22</f>
        <v>100</v>
      </c>
      <c r="T22" s="714" t="s">
        <v>17</v>
      </c>
      <c r="U22" s="715">
        <f>H22</f>
        <v>100</v>
      </c>
      <c r="V22" s="714" t="s">
        <v>17</v>
      </c>
      <c r="W22" s="715">
        <f>J22</f>
        <v>100</v>
      </c>
      <c r="X22" s="1508"/>
      <c r="Y22" s="3460"/>
      <c r="Z22" s="1509" t="str">
        <f>Q22</f>
        <v>楼层</v>
      </c>
      <c r="AA22" s="1506">
        <f t="shared" si="3"/>
        <v>1</v>
      </c>
      <c r="AB22" s="1506">
        <f t="shared" si="4"/>
        <v>1</v>
      </c>
      <c r="AC22" s="1506">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60"/>
      <c r="Q23" s="1505">
        <f>B23</f>
        <v>111</v>
      </c>
      <c r="R23" s="714" t="s">
        <v>17</v>
      </c>
      <c r="S23" s="715">
        <f>F23</f>
        <v>100</v>
      </c>
      <c r="T23" s="714" t="s">
        <v>17</v>
      </c>
      <c r="U23" s="715">
        <f>H23</f>
        <v>100</v>
      </c>
      <c r="V23" s="714" t="s">
        <v>17</v>
      </c>
      <c r="W23" s="715">
        <f>J23</f>
        <v>100</v>
      </c>
      <c r="X23" s="1508"/>
      <c r="Y23" s="3460"/>
      <c r="Z23" s="1509">
        <f>Q23</f>
        <v>111</v>
      </c>
      <c r="AA23" s="1506">
        <f t="shared" si="3"/>
        <v>1</v>
      </c>
      <c r="AB23" s="1506">
        <f t="shared" si="4"/>
        <v>1</v>
      </c>
      <c r="AC23" s="1506">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60"/>
      <c r="Q24" s="1505">
        <f t="shared" ref="Q24:Q34" si="11">B24</f>
        <v>111</v>
      </c>
      <c r="R24" s="714" t="s">
        <v>17</v>
      </c>
      <c r="S24" s="715">
        <f>F24</f>
        <v>100</v>
      </c>
      <c r="T24" s="714" t="s">
        <v>17</v>
      </c>
      <c r="U24" s="715">
        <f>H24</f>
        <v>100</v>
      </c>
      <c r="V24" s="714" t="s">
        <v>17</v>
      </c>
      <c r="W24" s="715">
        <f>J24</f>
        <v>100</v>
      </c>
      <c r="X24" s="1508"/>
      <c r="Y24" s="3460"/>
      <c r="Z24" s="1509">
        <f>Q24</f>
        <v>111</v>
      </c>
      <c r="AA24" s="1506">
        <f t="shared" si="3"/>
        <v>1</v>
      </c>
      <c r="AB24" s="1506">
        <f t="shared" si="4"/>
        <v>1</v>
      </c>
      <c r="AC24" s="1506">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60"/>
      <c r="Q25" s="1496">
        <f t="shared" si="11"/>
        <v>111</v>
      </c>
      <c r="R25" s="710" t="s">
        <v>17</v>
      </c>
      <c r="S25" s="711">
        <f>F25</f>
        <v>100</v>
      </c>
      <c r="T25" s="710" t="s">
        <v>17</v>
      </c>
      <c r="U25" s="711">
        <f>H25</f>
        <v>100</v>
      </c>
      <c r="V25" s="710" t="s">
        <v>17</v>
      </c>
      <c r="W25" s="711">
        <f>J25</f>
        <v>100</v>
      </c>
      <c r="X25" s="712"/>
      <c r="Y25" s="3460"/>
      <c r="Z25" s="55">
        <f>Q25</f>
        <v>111</v>
      </c>
      <c r="AA25" s="1506">
        <f>D25/F25</f>
        <v>1</v>
      </c>
      <c r="AB25" s="1506">
        <f>D25/H25</f>
        <v>1</v>
      </c>
      <c r="AC25" s="1506">
        <f>D25/J25</f>
        <v>1</v>
      </c>
    </row>
    <row r="26" spans="1:29" ht="28.5">
      <c r="A26" s="425" t="s">
        <v>2322</v>
      </c>
      <c r="B26" s="67" t="s">
        <v>2473</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15" t="s">
        <v>2324</v>
      </c>
      <c r="Q26" s="1505" t="str">
        <f t="shared" si="11"/>
        <v>公共部分装修</v>
      </c>
      <c r="R26" s="714" t="s">
        <v>17</v>
      </c>
      <c r="S26" s="715">
        <f t="shared" ref="S26:S34" si="12">F26</f>
        <v>100</v>
      </c>
      <c r="T26" s="714" t="s">
        <v>17</v>
      </c>
      <c r="U26" s="715">
        <f t="shared" ref="U26:U34" si="13">H26</f>
        <v>100</v>
      </c>
      <c r="V26" s="714" t="s">
        <v>17</v>
      </c>
      <c r="W26" s="715">
        <f t="shared" ref="W26:W34" si="14">J26</f>
        <v>100</v>
      </c>
      <c r="X26" s="1508"/>
      <c r="Y26" s="3464" t="s">
        <v>2324</v>
      </c>
      <c r="Z26" s="1509" t="str">
        <f t="shared" ref="Z26:Z34" si="15">Q26</f>
        <v>公共部分装修</v>
      </c>
      <c r="AA26" s="1506">
        <f t="shared" si="3"/>
        <v>1</v>
      </c>
      <c r="AB26" s="1506">
        <f t="shared" si="4"/>
        <v>1</v>
      </c>
      <c r="AC26" s="1506">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64"/>
      <c r="Q27" s="716" t="str">
        <f t="shared" si="11"/>
        <v>成新率</v>
      </c>
      <c r="R27" s="717" t="s">
        <v>17</v>
      </c>
      <c r="S27" s="718" t="e">
        <f t="shared" si="12"/>
        <v>#N/A</v>
      </c>
      <c r="T27" s="717" t="s">
        <v>17</v>
      </c>
      <c r="U27" s="718" t="e">
        <f t="shared" si="13"/>
        <v>#N/A</v>
      </c>
      <c r="V27" s="717" t="s">
        <v>17</v>
      </c>
      <c r="W27" s="718" t="e">
        <f t="shared" si="14"/>
        <v>#N/A</v>
      </c>
      <c r="X27" s="719"/>
      <c r="Y27" s="3464"/>
      <c r="Z27" s="720" t="str">
        <f t="shared" si="15"/>
        <v>成新率</v>
      </c>
      <c r="AA27" s="1506" t="e">
        <f t="shared" si="3"/>
        <v>#N/A</v>
      </c>
      <c r="AB27" s="1506" t="e">
        <f t="shared" si="4"/>
        <v>#N/A</v>
      </c>
      <c r="AC27" s="1506"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64"/>
      <c r="Q28" s="1505" t="str">
        <f t="shared" si="11"/>
        <v>物业等级</v>
      </c>
      <c r="R28" s="714" t="s">
        <v>17</v>
      </c>
      <c r="S28" s="715">
        <f t="shared" si="12"/>
        <v>100</v>
      </c>
      <c r="T28" s="714" t="s">
        <v>17</v>
      </c>
      <c r="U28" s="715">
        <f t="shared" si="13"/>
        <v>100</v>
      </c>
      <c r="V28" s="714" t="s">
        <v>17</v>
      </c>
      <c r="W28" s="715">
        <f t="shared" si="14"/>
        <v>100</v>
      </c>
      <c r="X28" s="1508"/>
      <c r="Y28" s="3464"/>
      <c r="Z28" s="1509" t="str">
        <f t="shared" si="15"/>
        <v>物业等级</v>
      </c>
      <c r="AA28" s="1506">
        <f t="shared" si="3"/>
        <v>1</v>
      </c>
      <c r="AB28" s="1506">
        <f t="shared" si="4"/>
        <v>1</v>
      </c>
      <c r="AC28" s="1506">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64"/>
      <c r="Q29" s="1505" t="str">
        <f t="shared" si="11"/>
        <v>有无电梯</v>
      </c>
      <c r="R29" s="714" t="s">
        <v>17</v>
      </c>
      <c r="S29" s="715">
        <f t="shared" si="12"/>
        <v>100</v>
      </c>
      <c r="T29" s="714" t="s">
        <v>17</v>
      </c>
      <c r="U29" s="715">
        <f t="shared" si="13"/>
        <v>100</v>
      </c>
      <c r="V29" s="714" t="s">
        <v>17</v>
      </c>
      <c r="W29" s="715">
        <f t="shared" si="14"/>
        <v>100</v>
      </c>
      <c r="X29" s="1508"/>
      <c r="Y29" s="3464"/>
      <c r="Z29" s="1509" t="str">
        <f t="shared" si="15"/>
        <v>有无电梯</v>
      </c>
      <c r="AA29" s="1506">
        <f t="shared" si="3"/>
        <v>1</v>
      </c>
      <c r="AB29" s="1506">
        <f t="shared" si="4"/>
        <v>1</v>
      </c>
      <c r="AC29" s="1506">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64"/>
      <c r="Q30" s="1505" t="str">
        <f t="shared" si="11"/>
        <v>建筑面积</v>
      </c>
      <c r="R30" s="714" t="s">
        <v>17</v>
      </c>
      <c r="S30" s="715" t="e">
        <f t="shared" si="12"/>
        <v>#N/A</v>
      </c>
      <c r="T30" s="714" t="s">
        <v>17</v>
      </c>
      <c r="U30" s="715" t="e">
        <f t="shared" si="13"/>
        <v>#N/A</v>
      </c>
      <c r="V30" s="714" t="s">
        <v>17</v>
      </c>
      <c r="W30" s="715" t="e">
        <f t="shared" si="14"/>
        <v>#N/A</v>
      </c>
      <c r="X30" s="1508"/>
      <c r="Y30" s="3464"/>
      <c r="Z30" s="1509" t="str">
        <f t="shared" si="15"/>
        <v>建筑面积</v>
      </c>
      <c r="AA30" s="1506" t="e">
        <f t="shared" si="3"/>
        <v>#N/A</v>
      </c>
      <c r="AB30" s="1506" t="e">
        <f t="shared" si="4"/>
        <v>#N/A</v>
      </c>
      <c r="AC30" s="1506"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64"/>
      <c r="Q31" s="1496" t="str">
        <f t="shared" si="11"/>
        <v>是否封闭</v>
      </c>
      <c r="R31" s="710" t="s">
        <v>17</v>
      </c>
      <c r="S31" s="711">
        <f t="shared" si="12"/>
        <v>100</v>
      </c>
      <c r="T31" s="710" t="s">
        <v>17</v>
      </c>
      <c r="U31" s="711">
        <f t="shared" si="13"/>
        <v>100</v>
      </c>
      <c r="V31" s="710" t="s">
        <v>17</v>
      </c>
      <c r="W31" s="711">
        <f t="shared" si="14"/>
        <v>100</v>
      </c>
      <c r="X31" s="712"/>
      <c r="Y31" s="3464"/>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64" t="s">
        <v>2324</v>
      </c>
      <c r="Q32" s="1505">
        <f t="shared" si="11"/>
        <v>111</v>
      </c>
      <c r="R32" s="714" t="s">
        <v>17</v>
      </c>
      <c r="S32" s="715">
        <f t="shared" si="12"/>
        <v>100</v>
      </c>
      <c r="T32" s="714" t="s">
        <v>17</v>
      </c>
      <c r="U32" s="715">
        <f t="shared" si="13"/>
        <v>100</v>
      </c>
      <c r="V32" s="714" t="s">
        <v>17</v>
      </c>
      <c r="W32" s="715">
        <f t="shared" si="14"/>
        <v>100</v>
      </c>
      <c r="X32" s="1508"/>
      <c r="Y32" s="3464" t="s">
        <v>2324</v>
      </c>
      <c r="Z32" s="1509">
        <f t="shared" si="15"/>
        <v>111</v>
      </c>
      <c r="AA32" s="1506">
        <f t="shared" si="3"/>
        <v>1</v>
      </c>
      <c r="AB32" s="1506">
        <f t="shared" si="4"/>
        <v>1</v>
      </c>
      <c r="AC32" s="1506">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64"/>
      <c r="Q33" s="1505">
        <f t="shared" si="11"/>
        <v>111</v>
      </c>
      <c r="R33" s="714" t="s">
        <v>17</v>
      </c>
      <c r="S33" s="715">
        <f t="shared" si="12"/>
        <v>100</v>
      </c>
      <c r="T33" s="714" t="s">
        <v>17</v>
      </c>
      <c r="U33" s="715">
        <f t="shared" si="13"/>
        <v>100</v>
      </c>
      <c r="V33" s="714" t="s">
        <v>17</v>
      </c>
      <c r="W33" s="715">
        <f t="shared" si="14"/>
        <v>100</v>
      </c>
      <c r="X33" s="1508"/>
      <c r="Y33" s="3464"/>
      <c r="Z33" s="1509">
        <f t="shared" si="15"/>
        <v>111</v>
      </c>
      <c r="AA33" s="1506">
        <f t="shared" si="3"/>
        <v>1</v>
      </c>
      <c r="AB33" s="1506">
        <f t="shared" si="4"/>
        <v>1</v>
      </c>
      <c r="AC33" s="1506">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64"/>
      <c r="Q34" s="1505">
        <f t="shared" si="11"/>
        <v>111</v>
      </c>
      <c r="R34" s="714" t="s">
        <v>17</v>
      </c>
      <c r="S34" s="715">
        <f t="shared" si="12"/>
        <v>100</v>
      </c>
      <c r="T34" s="714" t="s">
        <v>17</v>
      </c>
      <c r="U34" s="715">
        <f t="shared" si="13"/>
        <v>100</v>
      </c>
      <c r="V34" s="714" t="s">
        <v>17</v>
      </c>
      <c r="W34" s="715">
        <f t="shared" si="14"/>
        <v>100</v>
      </c>
      <c r="X34" s="1508"/>
      <c r="Y34" s="3464"/>
      <c r="Z34" s="1509">
        <f t="shared" si="15"/>
        <v>111</v>
      </c>
      <c r="AA34" s="1506">
        <f t="shared" si="3"/>
        <v>1</v>
      </c>
      <c r="AB34" s="1506">
        <f t="shared" si="4"/>
        <v>1</v>
      </c>
      <c r="AC34" s="1506">
        <f t="shared" si="5"/>
        <v>1</v>
      </c>
    </row>
    <row r="35" spans="1:30" ht="15">
      <c r="A35" s="438" t="s">
        <v>2336</v>
      </c>
      <c r="B35" s="439"/>
      <c r="C35" s="1288" t="s">
        <v>1</v>
      </c>
      <c r="D35" s="1289"/>
      <c r="E35" s="1290"/>
      <c r="F35" s="1291"/>
      <c r="G35" s="1292"/>
      <c r="H35" s="1293"/>
      <c r="I35" s="1290"/>
      <c r="J35" s="1293"/>
      <c r="K35" s="723"/>
      <c r="L35" s="2922"/>
      <c r="M35" s="2923"/>
      <c r="N35" s="2914"/>
      <c r="O35" s="2923"/>
      <c r="P35" s="3457" t="str">
        <f>A35</f>
        <v>成交单价（元/平方米）</v>
      </c>
      <c r="Q35" s="3457"/>
      <c r="R35" s="3458">
        <f>E35</f>
        <v>0</v>
      </c>
      <c r="S35" s="3458"/>
      <c r="T35" s="3458">
        <f>G35</f>
        <v>0</v>
      </c>
      <c r="U35" s="3458"/>
      <c r="V35" s="3458">
        <f>I35</f>
        <v>0</v>
      </c>
      <c r="W35" s="3458"/>
      <c r="X35" s="699"/>
      <c r="Y35" s="721"/>
      <c r="Z35" s="699"/>
      <c r="AA35" s="699"/>
      <c r="AB35" s="699"/>
      <c r="AC35" s="699"/>
    </row>
    <row r="36" spans="1:30" ht="15.75" thickBot="1">
      <c r="A36" s="445" t="s">
        <v>2428</v>
      </c>
      <c r="B36" s="446"/>
      <c r="C36" s="1294" t="e">
        <f>R37</f>
        <v>#DIV/0!</v>
      </c>
      <c r="D36" s="2507" t="s">
        <v>2816</v>
      </c>
      <c r="E36" s="1295" t="e">
        <f>R36</f>
        <v>#DIV/0!</v>
      </c>
      <c r="F36" s="2508"/>
      <c r="G36" s="1294" t="e">
        <f>T36</f>
        <v>#DIV/0!</v>
      </c>
      <c r="H36" s="2508"/>
      <c r="I36" s="1295" t="e">
        <f>V36</f>
        <v>#DIV/0!</v>
      </c>
      <c r="J36" s="2508"/>
      <c r="K36" s="2510">
        <f>F36+H36+J36</f>
        <v>0</v>
      </c>
      <c r="L36" s="2922"/>
      <c r="M36" s="2923"/>
      <c r="N36" s="2914"/>
      <c r="O36" s="2923"/>
      <c r="P36" s="3457" t="str">
        <f>A36</f>
        <v>比较价值（元/平方米）</v>
      </c>
      <c r="Q36" s="3457"/>
      <c r="R36" s="3458" t="e">
        <f>IF(F1="售价",ROUND(PRODUCT(R35,AA7:AA34),0),ROUND(PRODUCT(R35,AA7:AA34),1))</f>
        <v>#DIV/0!</v>
      </c>
      <c r="S36" s="3458"/>
      <c r="T36" s="3458" t="e">
        <f>IF(F1="售价",ROUND(PRODUCT(T35,AB7:AB34),0),ROUND(PRODUCT(T35,AB7:AB34),1))</f>
        <v>#DIV/0!</v>
      </c>
      <c r="U36" s="3458"/>
      <c r="V36" s="3458" t="e">
        <f>IF(F1="售价",ROUND(PRODUCT(V35,AC7:AC34),0),ROUND(PRODUCT(V35,AC7:AC34),1))</f>
        <v>#DIV/0!</v>
      </c>
      <c r="W36" s="3458"/>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2"/>
      <c r="M37" s="2923"/>
      <c r="N37" s="2923"/>
      <c r="O37" s="2923"/>
      <c r="P37" s="3454" t="str">
        <f>A37</f>
        <v>估价对象XX用房的比较价值（楼面单价，元/平方米）</v>
      </c>
      <c r="Q37" s="3455"/>
      <c r="R37" s="3516" t="e">
        <f>IF(F1="售价",ROUND(IF(D36="简单平均",AVERAGE(R36:W36),R36*F36+T36*H36+V36*J36),0),ROUND(IF(D36="简单平均",AVERAGE(R36:V36),R36*F36+T36*H36+V36*J36),1))</f>
        <v>#DIV/0!</v>
      </c>
      <c r="S37" s="3516"/>
      <c r="T37" s="3516"/>
      <c r="U37" s="3516"/>
      <c r="V37" s="3516"/>
      <c r="W37" s="3516"/>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2433</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2307</v>
      </c>
      <c r="B46" s="463"/>
      <c r="C46" s="1317" t="str">
        <f>YEAR(C7)&amp;"-"&amp;MONTH(C7)</f>
        <v>2022-3</v>
      </c>
      <c r="D46" s="1318">
        <f>EDATE(C46,-1)</f>
        <v>44593</v>
      </c>
      <c r="E46" s="1318">
        <f t="shared" ref="E46:O46" si="16">EDATE(D46,-1)</f>
        <v>44562</v>
      </c>
      <c r="F46" s="1318">
        <f t="shared" si="16"/>
        <v>44531</v>
      </c>
      <c r="G46" s="1318">
        <f t="shared" si="16"/>
        <v>44501</v>
      </c>
      <c r="H46" s="1318">
        <f t="shared" si="16"/>
        <v>44470</v>
      </c>
      <c r="I46" s="1318">
        <f t="shared" si="16"/>
        <v>44440</v>
      </c>
      <c r="J46" s="1318">
        <f t="shared" si="16"/>
        <v>44409</v>
      </c>
      <c r="K46" s="1318">
        <f t="shared" si="16"/>
        <v>44378</v>
      </c>
      <c r="L46" s="1318">
        <f t="shared" si="16"/>
        <v>44348</v>
      </c>
      <c r="M46" s="1318">
        <f t="shared" si="16"/>
        <v>44317</v>
      </c>
      <c r="N46" s="1318">
        <f t="shared" si="16"/>
        <v>44287</v>
      </c>
      <c r="O46" s="1318">
        <f t="shared" si="16"/>
        <v>44256</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6">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2344</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2309</v>
      </c>
      <c r="B49" s="467"/>
      <c r="C49" s="479" t="s">
        <v>2411</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2347</v>
      </c>
      <c r="B51" s="485" t="s">
        <v>2313</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2499</v>
      </c>
      <c r="C63" s="535" t="s">
        <v>2356</v>
      </c>
      <c r="D63" s="535" t="s">
        <v>2357</v>
      </c>
      <c r="E63" s="535" t="s">
        <v>2358</v>
      </c>
      <c r="F63" s="535" t="s">
        <v>2359</v>
      </c>
      <c r="G63" s="535" t="s">
        <v>2360</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2448</v>
      </c>
      <c r="C65" s="616" t="s">
        <v>2434</v>
      </c>
      <c r="D65" s="616" t="s">
        <v>2435</v>
      </c>
      <c r="E65" s="616" t="s">
        <v>2436</v>
      </c>
      <c r="F65" s="616" t="s">
        <v>2437</v>
      </c>
      <c r="G65" s="616" t="s">
        <v>2438</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2368</v>
      </c>
      <c r="C67" s="535" t="s">
        <v>2356</v>
      </c>
      <c r="D67" s="535" t="s">
        <v>2357</v>
      </c>
      <c r="E67" s="535" t="s">
        <v>2358</v>
      </c>
      <c r="F67" s="535" t="s">
        <v>2359</v>
      </c>
      <c r="G67" s="535" t="s">
        <v>2360</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2488</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2322</v>
      </c>
      <c r="B77" s="485" t="s">
        <v>2375</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2492</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2500</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2502</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G5" sqref="G5:H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2089</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2091</v>
      </c>
      <c r="B3" s="566" t="e">
        <f>ROUND(IF(D3="",B2*10000/'数据-汇总表'!E3,B2*10000/D3),0)</f>
        <v>#DIV/0!</v>
      </c>
      <c r="C3" s="209" t="s">
        <v>2505</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2404</v>
      </c>
      <c r="B4" s="362"/>
      <c r="C4" s="3472" t="s">
        <v>2405</v>
      </c>
      <c r="D4" s="3473"/>
      <c r="E4" s="3474" t="s">
        <v>2406</v>
      </c>
      <c r="F4" s="3475"/>
      <c r="G4" s="3472" t="s">
        <v>2407</v>
      </c>
      <c r="H4" s="3473"/>
      <c r="I4" s="3472" t="s">
        <v>2408</v>
      </c>
      <c r="J4" s="3473"/>
      <c r="K4" s="567" t="s">
        <v>2409</v>
      </c>
      <c r="L4" s="2913"/>
      <c r="M4" s="2914"/>
      <c r="N4" s="2914"/>
      <c r="O4" s="2914"/>
      <c r="P4" s="3476" t="s">
        <v>2410</v>
      </c>
      <c r="Q4" s="3477"/>
      <c r="R4" s="3482" t="s">
        <v>2406</v>
      </c>
      <c r="S4" s="3483"/>
      <c r="T4" s="3482" t="s">
        <v>2407</v>
      </c>
      <c r="U4" s="3483"/>
      <c r="V4" s="3488" t="s">
        <v>2408</v>
      </c>
      <c r="W4" s="3488"/>
      <c r="X4" s="1508"/>
      <c r="Y4" s="3482" t="s">
        <v>2410</v>
      </c>
      <c r="Z4" s="3483"/>
      <c r="AA4" s="3469" t="s">
        <v>2406</v>
      </c>
      <c r="AB4" s="3470" t="s">
        <v>2407</v>
      </c>
      <c r="AC4" s="3469" t="s">
        <v>2408</v>
      </c>
    </row>
    <row r="5" spans="1:30" ht="15">
      <c r="A5" s="364"/>
      <c r="B5" s="365"/>
      <c r="C5" s="3491" t="s">
        <v>2301</v>
      </c>
      <c r="D5" s="3492"/>
      <c r="E5" s="3498" t="s">
        <v>2302</v>
      </c>
      <c r="F5" s="3499"/>
      <c r="G5" s="3491" t="s">
        <v>2303</v>
      </c>
      <c r="H5" s="3492"/>
      <c r="I5" s="3491" t="s">
        <v>2304</v>
      </c>
      <c r="J5" s="3492"/>
      <c r="K5" s="567"/>
      <c r="L5" s="2913"/>
      <c r="M5" s="2914"/>
      <c r="N5" s="2914"/>
      <c r="O5" s="2914"/>
      <c r="P5" s="3478"/>
      <c r="Q5" s="3479"/>
      <c r="R5" s="3484"/>
      <c r="S5" s="3485"/>
      <c r="T5" s="3484"/>
      <c r="U5" s="3485"/>
      <c r="V5" s="3488"/>
      <c r="W5" s="3488"/>
      <c r="X5" s="1508"/>
      <c r="Y5" s="3484"/>
      <c r="Z5" s="3485"/>
      <c r="AA5" s="3470"/>
      <c r="AB5" s="3470"/>
      <c r="AC5" s="3470"/>
    </row>
    <row r="6" spans="1:30" ht="15.75" thickBot="1">
      <c r="A6" s="366"/>
      <c r="B6" s="367"/>
      <c r="C6" s="3489" t="s">
        <v>2305</v>
      </c>
      <c r="D6" s="3490"/>
      <c r="E6" s="3496" t="s">
        <v>2305</v>
      </c>
      <c r="F6" s="3497"/>
      <c r="G6" s="3489" t="s">
        <v>2305</v>
      </c>
      <c r="H6" s="3490"/>
      <c r="I6" s="3489" t="s">
        <v>2305</v>
      </c>
      <c r="J6" s="3490"/>
      <c r="K6" s="567" t="s">
        <v>2306</v>
      </c>
      <c r="L6" s="2913"/>
      <c r="M6" s="2914"/>
      <c r="N6" s="2914"/>
      <c r="O6" s="2914"/>
      <c r="P6" s="3480"/>
      <c r="Q6" s="3481"/>
      <c r="R6" s="3484"/>
      <c r="S6" s="3485"/>
      <c r="T6" s="3486"/>
      <c r="U6" s="3487"/>
      <c r="V6" s="3488"/>
      <c r="W6" s="3488"/>
      <c r="X6" s="1508"/>
      <c r="Y6" s="3486"/>
      <c r="Z6" s="3487"/>
      <c r="AA6" s="3471"/>
      <c r="AB6" s="3471"/>
      <c r="AC6" s="3471"/>
    </row>
    <row r="7" spans="1:30" s="113" customFormat="1" ht="15.75" thickBot="1">
      <c r="A7" s="368" t="s">
        <v>2307</v>
      </c>
      <c r="B7" s="369"/>
      <c r="C7" s="370">
        <f>'数据-取费表'!B2</f>
        <v>44645</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93" t="s">
        <v>2308</v>
      </c>
      <c r="Q7" s="3495"/>
      <c r="R7" s="710" t="s">
        <v>17</v>
      </c>
      <c r="S7" s="711">
        <f t="shared" ref="S7:S15" si="0">F7</f>
        <v>0</v>
      </c>
      <c r="T7" s="710" t="s">
        <v>17</v>
      </c>
      <c r="U7" s="711">
        <f t="shared" ref="U7:U15" si="1">H7</f>
        <v>0</v>
      </c>
      <c r="V7" s="710" t="s">
        <v>17</v>
      </c>
      <c r="W7" s="711">
        <f t="shared" ref="W7:W15" si="2">J7</f>
        <v>0</v>
      </c>
      <c r="X7" s="712"/>
      <c r="Y7" s="3493" t="s">
        <v>2308</v>
      </c>
      <c r="Z7" s="3494"/>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93" t="s">
        <v>2311</v>
      </c>
      <c r="Q8" s="3494"/>
      <c r="R8" s="710" t="s">
        <v>17</v>
      </c>
      <c r="S8" s="711">
        <f t="shared" si="0"/>
        <v>0</v>
      </c>
      <c r="T8" s="710" t="s">
        <v>17</v>
      </c>
      <c r="U8" s="711">
        <f t="shared" si="1"/>
        <v>0</v>
      </c>
      <c r="V8" s="710" t="s">
        <v>17</v>
      </c>
      <c r="W8" s="711">
        <f t="shared" si="2"/>
        <v>0</v>
      </c>
      <c r="X8" s="712"/>
      <c r="Y8" s="3493" t="s">
        <v>2311</v>
      </c>
      <c r="Z8" s="3494"/>
      <c r="AA8" s="713" t="e">
        <f t="shared" ref="AA8:AA45" si="3">D8/F8</f>
        <v>#DIV/0!</v>
      </c>
      <c r="AB8" s="713" t="e">
        <f t="shared" ref="AB8:AB45" si="4">D8/H8</f>
        <v>#DIV/0!</v>
      </c>
      <c r="AC8" s="713" t="e">
        <f t="shared" ref="AC8:AC45" si="5">D8/J8</f>
        <v>#DIV/0!</v>
      </c>
    </row>
    <row r="9" spans="1:30" s="113" customFormat="1">
      <c r="A9" s="375" t="s">
        <v>2312</v>
      </c>
      <c r="B9" s="67" t="s">
        <v>2313</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457"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112</v>
      </c>
      <c r="G10" s="422"/>
      <c r="H10" s="132">
        <f>ROUND(100/'数据-取费表'!G16,0)</f>
        <v>112</v>
      </c>
      <c r="I10" s="422"/>
      <c r="J10" s="132">
        <f>ROUND(100/'数据-取费表'!G16,0)</f>
        <v>112</v>
      </c>
      <c r="K10" s="628"/>
      <c r="L10" s="2917"/>
      <c r="M10" s="2918"/>
      <c r="N10" s="2918"/>
      <c r="O10" s="2971"/>
      <c r="P10" s="3457"/>
      <c r="Q10" s="1496" t="str">
        <f t="shared" si="6"/>
        <v>土地使用年限（年）</v>
      </c>
      <c r="R10" s="710" t="s">
        <v>17</v>
      </c>
      <c r="S10" s="711">
        <f t="shared" si="0"/>
        <v>112</v>
      </c>
      <c r="T10" s="710" t="s">
        <v>17</v>
      </c>
      <c r="U10" s="711">
        <f t="shared" si="1"/>
        <v>112</v>
      </c>
      <c r="V10" s="710" t="s">
        <v>17</v>
      </c>
      <c r="W10" s="711">
        <f t="shared" si="2"/>
        <v>112</v>
      </c>
      <c r="X10" s="712"/>
      <c r="Y10" s="3329"/>
      <c r="Z10" s="55" t="str">
        <f t="shared" si="7"/>
        <v>土地使用年限（年）</v>
      </c>
      <c r="AA10" s="713">
        <f t="shared" si="3"/>
        <v>0.8928571428571429</v>
      </c>
      <c r="AB10" s="713">
        <f t="shared" si="4"/>
        <v>0.8928571428571429</v>
      </c>
      <c r="AC10" s="713">
        <f t="shared" si="5"/>
        <v>0.8928571428571429</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457"/>
      <c r="Q11" s="1496"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30" s="113" customFormat="1" ht="15">
      <c r="A12" s="390"/>
      <c r="B12" s="2048" t="s">
        <v>2506</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457"/>
      <c r="Q12" s="1496" t="str">
        <f t="shared" si="6"/>
        <v>配建</v>
      </c>
      <c r="R12" s="710" t="s">
        <v>17</v>
      </c>
      <c r="S12" s="711">
        <f t="shared" si="0"/>
        <v>100</v>
      </c>
      <c r="T12" s="710" t="s">
        <v>17</v>
      </c>
      <c r="U12" s="711">
        <f t="shared" si="1"/>
        <v>100</v>
      </c>
      <c r="V12" s="710" t="s">
        <v>17</v>
      </c>
      <c r="W12" s="711">
        <f t="shared" si="2"/>
        <v>100</v>
      </c>
      <c r="X12" s="712"/>
      <c r="Y12" s="3329"/>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57"/>
      <c r="Q13" s="1496">
        <f t="shared" si="6"/>
        <v>111</v>
      </c>
      <c r="R13" s="710" t="s">
        <v>17</v>
      </c>
      <c r="S13" s="711">
        <f t="shared" si="0"/>
        <v>100</v>
      </c>
      <c r="T13" s="710" t="s">
        <v>17</v>
      </c>
      <c r="U13" s="711">
        <f t="shared" si="1"/>
        <v>100</v>
      </c>
      <c r="V13" s="710" t="s">
        <v>17</v>
      </c>
      <c r="W13" s="711">
        <f t="shared" si="2"/>
        <v>100</v>
      </c>
      <c r="X13" s="712"/>
      <c r="Y13" s="3329"/>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57"/>
      <c r="Q14" s="1496">
        <f t="shared" si="6"/>
        <v>111</v>
      </c>
      <c r="R14" s="710" t="s">
        <v>17</v>
      </c>
      <c r="S14" s="711">
        <f t="shared" si="0"/>
        <v>100</v>
      </c>
      <c r="T14" s="710" t="s">
        <v>17</v>
      </c>
      <c r="U14" s="711">
        <f t="shared" si="1"/>
        <v>100</v>
      </c>
      <c r="V14" s="710" t="s">
        <v>17</v>
      </c>
      <c r="W14" s="711">
        <f t="shared" si="2"/>
        <v>100</v>
      </c>
      <c r="X14" s="712"/>
      <c r="Y14" s="3329"/>
      <c r="Z14" s="55">
        <f t="shared" si="7"/>
        <v>111</v>
      </c>
      <c r="AA14" s="713">
        <f>D14/F14</f>
        <v>1</v>
      </c>
      <c r="AB14" s="713">
        <f>D14/H14</f>
        <v>1</v>
      </c>
      <c r="AC14" s="713">
        <f>D14/J14</f>
        <v>1</v>
      </c>
    </row>
    <row r="15" spans="1:30" ht="15">
      <c r="A15" s="399" t="s">
        <v>2318</v>
      </c>
      <c r="B15" s="65" t="s">
        <v>1884</v>
      </c>
      <c r="C15" s="2051">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459" t="s">
        <v>2319</v>
      </c>
      <c r="Q15" s="1505" t="str">
        <f t="shared" si="6"/>
        <v>居住社区成熟度</v>
      </c>
      <c r="R15" s="714" t="s">
        <v>17</v>
      </c>
      <c r="S15" s="715">
        <f t="shared" si="0"/>
        <v>100</v>
      </c>
      <c r="T15" s="714" t="s">
        <v>17</v>
      </c>
      <c r="U15" s="715">
        <f t="shared" si="1"/>
        <v>100</v>
      </c>
      <c r="V15" s="714" t="s">
        <v>17</v>
      </c>
      <c r="W15" s="715">
        <f t="shared" si="2"/>
        <v>100</v>
      </c>
      <c r="X15" s="1508"/>
      <c r="Y15" s="3459" t="s">
        <v>2319</v>
      </c>
      <c r="Z15" s="1509" t="str">
        <f t="shared" si="7"/>
        <v>居住社区成熟度</v>
      </c>
      <c r="AA15" s="1506">
        <f t="shared" si="3"/>
        <v>1</v>
      </c>
      <c r="AB15" s="1506">
        <f t="shared" si="4"/>
        <v>1</v>
      </c>
      <c r="AC15" s="1506">
        <f t="shared" si="5"/>
        <v>1</v>
      </c>
    </row>
    <row r="16" spans="1:30" ht="15">
      <c r="A16" s="387"/>
      <c r="B16" s="405"/>
      <c r="C16" s="406"/>
      <c r="D16" s="407"/>
      <c r="E16" s="2053"/>
      <c r="F16" s="407"/>
      <c r="G16" s="2053"/>
      <c r="H16" s="409"/>
      <c r="I16" s="2052"/>
      <c r="J16" s="407"/>
      <c r="K16" s="628"/>
      <c r="L16" s="2920"/>
      <c r="M16" s="2914"/>
      <c r="N16" s="2914"/>
      <c r="O16" s="2972"/>
      <c r="P16" s="3460"/>
      <c r="Q16" s="1505"/>
      <c r="R16" s="714"/>
      <c r="S16" s="715"/>
      <c r="T16" s="714"/>
      <c r="U16" s="715"/>
      <c r="V16" s="714"/>
      <c r="W16" s="715"/>
      <c r="X16" s="1508"/>
      <c r="Y16" s="3460"/>
      <c r="Z16" s="1509"/>
      <c r="AA16" s="1506">
        <v>1</v>
      </c>
      <c r="AB16" s="1506">
        <v>1</v>
      </c>
      <c r="AC16" s="1506">
        <v>1</v>
      </c>
    </row>
    <row r="17" spans="1:29" ht="15">
      <c r="A17" s="387"/>
      <c r="B17" s="410" t="s">
        <v>2412</v>
      </c>
      <c r="C17" s="2110">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460"/>
      <c r="Q17" s="1505" t="str">
        <f>B17</f>
        <v>商业繁华度</v>
      </c>
      <c r="R17" s="714" t="s">
        <v>17</v>
      </c>
      <c r="S17" s="715">
        <f>F17</f>
        <v>100</v>
      </c>
      <c r="T17" s="714" t="s">
        <v>17</v>
      </c>
      <c r="U17" s="715">
        <f>H17</f>
        <v>100</v>
      </c>
      <c r="V17" s="714" t="s">
        <v>17</v>
      </c>
      <c r="W17" s="715">
        <f>J17</f>
        <v>100</v>
      </c>
      <c r="X17" s="1508"/>
      <c r="Y17" s="3460"/>
      <c r="Z17" s="1509" t="str">
        <f>Q17</f>
        <v>商业繁华度</v>
      </c>
      <c r="AA17" s="1506">
        <f t="shared" si="3"/>
        <v>1</v>
      </c>
      <c r="AB17" s="1506">
        <f t="shared" si="4"/>
        <v>1</v>
      </c>
      <c r="AC17" s="1506">
        <f t="shared" si="5"/>
        <v>1</v>
      </c>
    </row>
    <row r="18" spans="1:29" ht="15">
      <c r="A18" s="387"/>
      <c r="B18" s="415"/>
      <c r="C18" s="2056"/>
      <c r="D18" s="409"/>
      <c r="E18" s="2058"/>
      <c r="F18" s="409"/>
      <c r="G18" s="2058"/>
      <c r="H18" s="407"/>
      <c r="I18" s="2057"/>
      <c r="J18" s="407"/>
      <c r="K18" s="628"/>
      <c r="L18" s="2920"/>
      <c r="M18" s="2914"/>
      <c r="N18" s="2914"/>
      <c r="O18" s="2972"/>
      <c r="P18" s="3460"/>
      <c r="Q18" s="1505"/>
      <c r="R18" s="714"/>
      <c r="S18" s="715"/>
      <c r="T18" s="714"/>
      <c r="U18" s="715"/>
      <c r="V18" s="714"/>
      <c r="W18" s="715"/>
      <c r="X18" s="1508"/>
      <c r="Y18" s="3460"/>
      <c r="Z18" s="1509"/>
      <c r="AA18" s="1506">
        <v>1</v>
      </c>
      <c r="AB18" s="1506">
        <v>1</v>
      </c>
      <c r="AC18" s="1506">
        <v>1</v>
      </c>
    </row>
    <row r="19" spans="1:29" ht="15">
      <c r="A19" s="387"/>
      <c r="B19" s="410" t="s">
        <v>2446</v>
      </c>
      <c r="C19" s="2110">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460"/>
      <c r="Q19" s="1505" t="str">
        <f>B19</f>
        <v>办公集聚程度</v>
      </c>
      <c r="R19" s="714" t="s">
        <v>17</v>
      </c>
      <c r="S19" s="715">
        <f>F19</f>
        <v>100</v>
      </c>
      <c r="T19" s="714" t="s">
        <v>17</v>
      </c>
      <c r="U19" s="715">
        <f>H19</f>
        <v>100</v>
      </c>
      <c r="V19" s="714" t="s">
        <v>17</v>
      </c>
      <c r="W19" s="715">
        <f>J19</f>
        <v>100</v>
      </c>
      <c r="X19" s="1508"/>
      <c r="Y19" s="3460"/>
      <c r="Z19" s="1509" t="str">
        <f>Q19</f>
        <v>办公集聚程度</v>
      </c>
      <c r="AA19" s="1506">
        <f t="shared" si="3"/>
        <v>1</v>
      </c>
      <c r="AB19" s="1506">
        <f t="shared" si="4"/>
        <v>1</v>
      </c>
      <c r="AC19" s="1506">
        <f t="shared" si="5"/>
        <v>1</v>
      </c>
    </row>
    <row r="20" spans="1:29" ht="15">
      <c r="A20" s="387"/>
      <c r="B20" s="415"/>
      <c r="C20" s="406"/>
      <c r="D20" s="407"/>
      <c r="E20" s="2053"/>
      <c r="F20" s="407"/>
      <c r="G20" s="2053"/>
      <c r="H20" s="407"/>
      <c r="I20" s="2052"/>
      <c r="J20" s="407"/>
      <c r="K20" s="628"/>
      <c r="L20" s="2920"/>
      <c r="M20" s="2914"/>
      <c r="N20" s="2914"/>
      <c r="O20" s="2972"/>
      <c r="P20" s="3460"/>
      <c r="Q20" s="1505"/>
      <c r="R20" s="714"/>
      <c r="S20" s="715"/>
      <c r="T20" s="714"/>
      <c r="U20" s="715"/>
      <c r="V20" s="714"/>
      <c r="W20" s="715"/>
      <c r="X20" s="1508"/>
      <c r="Y20" s="3460"/>
      <c r="Z20" s="1509"/>
      <c r="AA20" s="1506">
        <v>1</v>
      </c>
      <c r="AB20" s="1506">
        <v>1</v>
      </c>
      <c r="AC20" s="1506">
        <v>1</v>
      </c>
    </row>
    <row r="21" spans="1:29" ht="15">
      <c r="A21" s="387"/>
      <c r="B21" s="410" t="s">
        <v>2468</v>
      </c>
      <c r="C21" s="2055">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460"/>
      <c r="Q21" s="1505" t="str">
        <f>B21</f>
        <v>交通便捷度</v>
      </c>
      <c r="R21" s="714" t="s">
        <v>17</v>
      </c>
      <c r="S21" s="715">
        <f>F21</f>
        <v>100</v>
      </c>
      <c r="T21" s="714" t="s">
        <v>17</v>
      </c>
      <c r="U21" s="715">
        <f>H21</f>
        <v>100</v>
      </c>
      <c r="V21" s="714" t="s">
        <v>17</v>
      </c>
      <c r="W21" s="715">
        <f>J21</f>
        <v>100</v>
      </c>
      <c r="X21" s="1508"/>
      <c r="Y21" s="3460"/>
      <c r="Z21" s="1509" t="str">
        <f>Q21</f>
        <v>交通便捷度</v>
      </c>
      <c r="AA21" s="1506">
        <f t="shared" si="3"/>
        <v>1</v>
      </c>
      <c r="AB21" s="1506">
        <f t="shared" si="4"/>
        <v>1</v>
      </c>
      <c r="AC21" s="1506">
        <f t="shared" si="5"/>
        <v>1</v>
      </c>
    </row>
    <row r="22" spans="1:29" ht="15">
      <c r="A22" s="387"/>
      <c r="B22" s="1265"/>
      <c r="C22" s="406"/>
      <c r="D22" s="409"/>
      <c r="E22" s="2053"/>
      <c r="F22" s="407"/>
      <c r="G22" s="2053"/>
      <c r="H22" s="407"/>
      <c r="I22" s="2052"/>
      <c r="J22" s="407"/>
      <c r="K22" s="628"/>
      <c r="L22" s="2920"/>
      <c r="M22" s="2914"/>
      <c r="N22" s="2914"/>
      <c r="O22" s="2972"/>
      <c r="P22" s="3460"/>
      <c r="Q22" s="1505"/>
      <c r="R22" s="714"/>
      <c r="S22" s="715"/>
      <c r="T22" s="714"/>
      <c r="U22" s="715"/>
      <c r="V22" s="714"/>
      <c r="W22" s="715"/>
      <c r="X22" s="1508"/>
      <c r="Y22" s="3460"/>
      <c r="Z22" s="1509"/>
      <c r="AA22" s="1506">
        <v>1</v>
      </c>
      <c r="AB22" s="1506">
        <v>1</v>
      </c>
      <c r="AC22" s="1506">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460"/>
      <c r="Q23" s="1505" t="str">
        <f t="shared" ref="Q23:Q37" si="8">B23</f>
        <v>区域土地利用方向</v>
      </c>
      <c r="R23" s="714" t="s">
        <v>17</v>
      </c>
      <c r="S23" s="715">
        <f>F23</f>
        <v>100</v>
      </c>
      <c r="T23" s="714" t="s">
        <v>17</v>
      </c>
      <c r="U23" s="715">
        <f>H23</f>
        <v>100</v>
      </c>
      <c r="V23" s="714" t="s">
        <v>17</v>
      </c>
      <c r="W23" s="715">
        <f>J23</f>
        <v>100</v>
      </c>
      <c r="X23" s="1508"/>
      <c r="Y23" s="3460"/>
      <c r="Z23" s="1509" t="str">
        <f>Q23</f>
        <v>区域土地利用方向</v>
      </c>
      <c r="AA23" s="1506">
        <f t="shared" si="3"/>
        <v>1</v>
      </c>
      <c r="AB23" s="1506">
        <f t="shared" si="4"/>
        <v>1</v>
      </c>
      <c r="AC23" s="1506">
        <f t="shared" si="5"/>
        <v>1</v>
      </c>
    </row>
    <row r="24" spans="1:29" ht="15">
      <c r="A24" s="364"/>
      <c r="B24" s="415"/>
      <c r="C24" s="573"/>
      <c r="D24" s="407"/>
      <c r="E24" s="2053"/>
      <c r="F24" s="407"/>
      <c r="G24" s="2052"/>
      <c r="H24" s="407"/>
      <c r="I24" s="2052"/>
      <c r="J24" s="407"/>
      <c r="K24" s="751"/>
      <c r="L24" s="2920"/>
      <c r="M24" s="2914"/>
      <c r="N24" s="2914"/>
      <c r="O24" s="2972"/>
      <c r="P24" s="3460"/>
      <c r="Q24" s="1505"/>
      <c r="R24" s="714"/>
      <c r="S24" s="715"/>
      <c r="T24" s="714"/>
      <c r="U24" s="715"/>
      <c r="V24" s="714"/>
      <c r="W24" s="715"/>
      <c r="X24" s="1508"/>
      <c r="Y24" s="3460"/>
      <c r="Z24" s="1509"/>
      <c r="AA24" s="1506"/>
      <c r="AB24" s="1506"/>
      <c r="AC24" s="1506"/>
    </row>
    <row r="25" spans="1:29" ht="27">
      <c r="A25" s="364"/>
      <c r="B25" s="1265" t="s">
        <v>2508</v>
      </c>
      <c r="C25" s="2110">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460"/>
      <c r="Q25" s="1505" t="str">
        <f t="shared" si="8"/>
        <v>自然及人文环境状况</v>
      </c>
      <c r="R25" s="714" t="s">
        <v>17</v>
      </c>
      <c r="S25" s="715">
        <f>F25</f>
        <v>100</v>
      </c>
      <c r="T25" s="714" t="s">
        <v>17</v>
      </c>
      <c r="U25" s="715">
        <f>H25</f>
        <v>100</v>
      </c>
      <c r="V25" s="714" t="s">
        <v>17</v>
      </c>
      <c r="W25" s="715">
        <f>J25</f>
        <v>100</v>
      </c>
      <c r="X25" s="1508"/>
      <c r="Y25" s="3460"/>
      <c r="Z25" s="1509" t="str">
        <f>Q25</f>
        <v>自然及人文环境状况</v>
      </c>
      <c r="AA25" s="1506">
        <f t="shared" si="3"/>
        <v>1</v>
      </c>
      <c r="AB25" s="1506">
        <f t="shared" si="4"/>
        <v>1</v>
      </c>
      <c r="AC25" s="1506">
        <f t="shared" si="5"/>
        <v>1</v>
      </c>
    </row>
    <row r="26" spans="1:29" ht="15">
      <c r="A26" s="364"/>
      <c r="B26" s="415"/>
      <c r="C26" s="406"/>
      <c r="D26" s="407"/>
      <c r="E26" s="2059"/>
      <c r="F26" s="407"/>
      <c r="G26" s="2059"/>
      <c r="H26" s="407"/>
      <c r="I26" s="406"/>
      <c r="J26" s="407"/>
      <c r="K26" s="628"/>
      <c r="L26" s="2920"/>
      <c r="M26" s="2914"/>
      <c r="N26" s="2914"/>
      <c r="O26" s="2972"/>
      <c r="P26" s="3460"/>
      <c r="Q26" s="1505"/>
      <c r="R26" s="714"/>
      <c r="S26" s="715"/>
      <c r="T26" s="714"/>
      <c r="U26" s="715"/>
      <c r="V26" s="714"/>
      <c r="W26" s="715"/>
      <c r="X26" s="1508"/>
      <c r="Y26" s="3460"/>
      <c r="Z26" s="1509"/>
      <c r="AA26" s="1506">
        <v>1</v>
      </c>
      <c r="AB26" s="1506">
        <v>1</v>
      </c>
      <c r="AC26" s="1506">
        <v>1</v>
      </c>
    </row>
    <row r="27" spans="1:29" s="113" customFormat="1" ht="15">
      <c r="A27" s="605"/>
      <c r="B27" s="1265" t="s">
        <v>2413</v>
      </c>
      <c r="C27" s="2055">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460"/>
      <c r="Q27" s="1496" t="str">
        <f t="shared" si="8"/>
        <v>公共配套设施</v>
      </c>
      <c r="R27" s="710" t="s">
        <v>17</v>
      </c>
      <c r="S27" s="711">
        <f>F27</f>
        <v>100</v>
      </c>
      <c r="T27" s="710" t="s">
        <v>17</v>
      </c>
      <c r="U27" s="711">
        <f>H27</f>
        <v>100</v>
      </c>
      <c r="V27" s="710" t="s">
        <v>17</v>
      </c>
      <c r="W27" s="711">
        <f>J27</f>
        <v>100</v>
      </c>
      <c r="X27" s="712"/>
      <c r="Y27" s="3460"/>
      <c r="Z27" s="55" t="str">
        <f>Q27</f>
        <v>公共配套设施</v>
      </c>
      <c r="AA27" s="1506">
        <f>D27/F27</f>
        <v>1</v>
      </c>
      <c r="AB27" s="1506">
        <f>D27/H27</f>
        <v>1</v>
      </c>
      <c r="AC27" s="1506">
        <f>D27/J27</f>
        <v>1</v>
      </c>
    </row>
    <row r="28" spans="1:29" s="113" customFormat="1" ht="15">
      <c r="A28" s="605"/>
      <c r="B28" s="415"/>
      <c r="C28" s="2133"/>
      <c r="D28" s="407"/>
      <c r="E28" s="2059"/>
      <c r="F28" s="407"/>
      <c r="G28" s="2059"/>
      <c r="H28" s="407"/>
      <c r="I28" s="406"/>
      <c r="J28" s="407"/>
      <c r="K28" s="628"/>
      <c r="L28" s="2915"/>
      <c r="M28" s="2916"/>
      <c r="N28" s="2916"/>
      <c r="O28" s="2970"/>
      <c r="P28" s="3460"/>
      <c r="Q28" s="1496"/>
      <c r="R28" s="710"/>
      <c r="S28" s="711"/>
      <c r="T28" s="710"/>
      <c r="U28" s="711"/>
      <c r="V28" s="710"/>
      <c r="W28" s="711"/>
      <c r="X28" s="712"/>
      <c r="Y28" s="3460"/>
      <c r="Z28" s="55"/>
      <c r="AA28" s="1506">
        <v>1</v>
      </c>
      <c r="AB28" s="1506">
        <v>1</v>
      </c>
      <c r="AC28" s="1506">
        <v>1</v>
      </c>
    </row>
    <row r="29" spans="1:29" s="113" customFormat="1" ht="15">
      <c r="A29" s="605"/>
      <c r="B29" s="1265" t="s">
        <v>2414</v>
      </c>
      <c r="C29" s="2055">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460"/>
      <c r="Q29" s="1496" t="str">
        <f t="shared" ref="Q29" si="9">B29</f>
        <v>基础设施水平</v>
      </c>
      <c r="R29" s="710" t="s">
        <v>17</v>
      </c>
      <c r="S29" s="711">
        <f>F29</f>
        <v>100</v>
      </c>
      <c r="T29" s="710" t="s">
        <v>17</v>
      </c>
      <c r="U29" s="711">
        <f>H29</f>
        <v>100</v>
      </c>
      <c r="V29" s="710" t="s">
        <v>17</v>
      </c>
      <c r="W29" s="711">
        <f>J29</f>
        <v>100</v>
      </c>
      <c r="X29" s="712"/>
      <c r="Y29" s="3460"/>
      <c r="Z29" s="55" t="str">
        <f>Q29</f>
        <v>基础设施水平</v>
      </c>
      <c r="AA29" s="1506">
        <f>D29/F29</f>
        <v>1</v>
      </c>
      <c r="AB29" s="1506">
        <f>D29/H29</f>
        <v>1</v>
      </c>
      <c r="AC29" s="1506">
        <f>D29/J29</f>
        <v>1</v>
      </c>
    </row>
    <row r="30" spans="1:29" s="113" customFormat="1" ht="15">
      <c r="A30" s="605"/>
      <c r="B30" s="415"/>
      <c r="C30" s="2133"/>
      <c r="D30" s="407"/>
      <c r="E30" s="2134"/>
      <c r="F30" s="407"/>
      <c r="G30" s="2134"/>
      <c r="H30" s="407"/>
      <c r="I30" s="2134"/>
      <c r="J30" s="407"/>
      <c r="K30" s="628"/>
      <c r="L30" s="2915"/>
      <c r="M30" s="2916"/>
      <c r="N30" s="2916"/>
      <c r="O30" s="2970"/>
      <c r="P30" s="3460"/>
      <c r="Q30" s="1496"/>
      <c r="R30" s="710"/>
      <c r="S30" s="711"/>
      <c r="T30" s="710"/>
      <c r="U30" s="711"/>
      <c r="V30" s="710"/>
      <c r="W30" s="711"/>
      <c r="X30" s="712"/>
      <c r="Y30" s="3460"/>
      <c r="Z30" s="55"/>
      <c r="AA30" s="1506">
        <v>1</v>
      </c>
      <c r="AB30" s="1506">
        <v>1</v>
      </c>
      <c r="AC30" s="1506">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60"/>
      <c r="Q31" s="1505" t="str">
        <f t="shared" si="8"/>
        <v>临街状况</v>
      </c>
      <c r="R31" s="714" t="s">
        <v>17</v>
      </c>
      <c r="S31" s="715">
        <f t="shared" ref="S31:S45" si="10">F31</f>
        <v>100</v>
      </c>
      <c r="T31" s="714" t="s">
        <v>17</v>
      </c>
      <c r="U31" s="715">
        <f t="shared" ref="U31:U45" si="11">H31</f>
        <v>100</v>
      </c>
      <c r="V31" s="714" t="s">
        <v>17</v>
      </c>
      <c r="W31" s="715">
        <f t="shared" ref="W31:W45" si="12">J31</f>
        <v>100</v>
      </c>
      <c r="X31" s="1508"/>
      <c r="Y31" s="3460"/>
      <c r="Z31" s="1509" t="str">
        <f t="shared" ref="Z31:Z45" si="13">Q31</f>
        <v>临街状况</v>
      </c>
      <c r="AA31" s="1506">
        <f t="shared" si="3"/>
        <v>1</v>
      </c>
      <c r="AB31" s="1506">
        <f t="shared" si="4"/>
        <v>1</v>
      </c>
      <c r="AC31" s="1506">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60"/>
      <c r="Q32" s="1505" t="str">
        <f t="shared" si="8"/>
        <v>毗邻道路的类型与等级</v>
      </c>
      <c r="R32" s="714" t="s">
        <v>17</v>
      </c>
      <c r="S32" s="715">
        <f t="shared" si="10"/>
        <v>100</v>
      </c>
      <c r="T32" s="714" t="s">
        <v>17</v>
      </c>
      <c r="U32" s="715">
        <f t="shared" si="11"/>
        <v>100</v>
      </c>
      <c r="V32" s="714" t="s">
        <v>17</v>
      </c>
      <c r="W32" s="715">
        <f t="shared" si="12"/>
        <v>100</v>
      </c>
      <c r="X32" s="1508"/>
      <c r="Y32" s="3460"/>
      <c r="Z32" s="1509" t="str">
        <f t="shared" si="13"/>
        <v>毗邻道路的类型与等级</v>
      </c>
      <c r="AA32" s="1506">
        <f t="shared" si="3"/>
        <v>1</v>
      </c>
      <c r="AB32" s="1506">
        <f t="shared" si="4"/>
        <v>1</v>
      </c>
      <c r="AC32" s="1506">
        <f t="shared" si="5"/>
        <v>1</v>
      </c>
    </row>
    <row r="33" spans="1:29" ht="15">
      <c r="A33" s="387"/>
      <c r="B33" s="415"/>
      <c r="C33" s="406"/>
      <c r="D33" s="407"/>
      <c r="E33" s="2059"/>
      <c r="F33" s="407"/>
      <c r="G33" s="2059"/>
      <c r="H33" s="407"/>
      <c r="I33" s="406"/>
      <c r="J33" s="407"/>
      <c r="K33" s="570"/>
      <c r="L33" s="2920"/>
      <c r="M33" s="2914"/>
      <c r="N33" s="2914"/>
      <c r="O33" s="2972"/>
      <c r="P33" s="3460"/>
      <c r="Q33" s="1505"/>
      <c r="R33" s="714"/>
      <c r="S33" s="715"/>
      <c r="T33" s="714"/>
      <c r="U33" s="715"/>
      <c r="V33" s="714"/>
      <c r="W33" s="715"/>
      <c r="X33" s="1508"/>
      <c r="Y33" s="3460"/>
      <c r="Z33" s="1509"/>
      <c r="AA33" s="1506">
        <v>1</v>
      </c>
      <c r="AB33" s="1506">
        <v>1</v>
      </c>
      <c r="AC33" s="1506">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460"/>
      <c r="Q34" s="1505" t="str">
        <f t="shared" si="8"/>
        <v>土地级别</v>
      </c>
      <c r="R34" s="714" t="s">
        <v>17</v>
      </c>
      <c r="S34" s="715">
        <f t="shared" si="10"/>
        <v>100</v>
      </c>
      <c r="T34" s="714" t="s">
        <v>17</v>
      </c>
      <c r="U34" s="715">
        <f t="shared" si="11"/>
        <v>100</v>
      </c>
      <c r="V34" s="714" t="s">
        <v>17</v>
      </c>
      <c r="W34" s="715">
        <f t="shared" si="12"/>
        <v>100</v>
      </c>
      <c r="X34" s="1508"/>
      <c r="Y34" s="3460"/>
      <c r="Z34" s="1509" t="str">
        <f t="shared" si="13"/>
        <v>土地级别</v>
      </c>
      <c r="AA34" s="1506">
        <f t="shared" si="3"/>
        <v>1</v>
      </c>
      <c r="AB34" s="1506">
        <f t="shared" si="4"/>
        <v>1</v>
      </c>
      <c r="AC34" s="1506">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60"/>
      <c r="Q35" s="1505">
        <f t="shared" si="8"/>
        <v>111</v>
      </c>
      <c r="R35" s="714" t="s">
        <v>17</v>
      </c>
      <c r="S35" s="715">
        <f t="shared" si="10"/>
        <v>100</v>
      </c>
      <c r="T35" s="714" t="s">
        <v>17</v>
      </c>
      <c r="U35" s="715">
        <f t="shared" si="11"/>
        <v>100</v>
      </c>
      <c r="V35" s="714" t="s">
        <v>17</v>
      </c>
      <c r="W35" s="715">
        <f t="shared" si="12"/>
        <v>100</v>
      </c>
      <c r="X35" s="1508"/>
      <c r="Y35" s="3460"/>
      <c r="Z35" s="1509">
        <f t="shared" si="13"/>
        <v>111</v>
      </c>
      <c r="AA35" s="1506">
        <f t="shared" si="3"/>
        <v>1</v>
      </c>
      <c r="AB35" s="1506">
        <f t="shared" si="4"/>
        <v>1</v>
      </c>
      <c r="AC35" s="1506">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15" t="s">
        <v>2324</v>
      </c>
      <c r="Q36" s="1505">
        <f t="shared" si="8"/>
        <v>111</v>
      </c>
      <c r="R36" s="714" t="s">
        <v>17</v>
      </c>
      <c r="S36" s="715">
        <f t="shared" si="10"/>
        <v>100</v>
      </c>
      <c r="T36" s="714" t="s">
        <v>17</v>
      </c>
      <c r="U36" s="715">
        <f t="shared" si="11"/>
        <v>100</v>
      </c>
      <c r="V36" s="714" t="s">
        <v>17</v>
      </c>
      <c r="W36" s="715">
        <f t="shared" si="12"/>
        <v>100</v>
      </c>
      <c r="X36" s="1508"/>
      <c r="Y36" s="3464" t="s">
        <v>2324</v>
      </c>
      <c r="Z36" s="1509">
        <f t="shared" si="13"/>
        <v>111</v>
      </c>
      <c r="AA36" s="1506">
        <f t="shared" si="3"/>
        <v>1</v>
      </c>
      <c r="AB36" s="1506">
        <f t="shared" si="4"/>
        <v>1</v>
      </c>
      <c r="AC36" s="1506">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64"/>
      <c r="Q37" s="1505">
        <f t="shared" si="8"/>
        <v>111</v>
      </c>
      <c r="R37" s="717" t="s">
        <v>17</v>
      </c>
      <c r="S37" s="718">
        <f t="shared" si="10"/>
        <v>100</v>
      </c>
      <c r="T37" s="717" t="s">
        <v>17</v>
      </c>
      <c r="U37" s="718">
        <f t="shared" si="11"/>
        <v>100</v>
      </c>
      <c r="V37" s="717" t="s">
        <v>17</v>
      </c>
      <c r="W37" s="718">
        <f t="shared" si="12"/>
        <v>100</v>
      </c>
      <c r="X37" s="719"/>
      <c r="Y37" s="3464"/>
      <c r="Z37" s="720">
        <f t="shared" si="13"/>
        <v>111</v>
      </c>
      <c r="AA37" s="1506">
        <f t="shared" si="3"/>
        <v>1</v>
      </c>
      <c r="AB37" s="1506">
        <f t="shared" si="4"/>
        <v>1</v>
      </c>
      <c r="AC37" s="1506">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464"/>
      <c r="Q38" s="1505" t="str">
        <f>B38</f>
        <v>宗地面积</v>
      </c>
      <c r="R38" s="714" t="s">
        <v>17</v>
      </c>
      <c r="S38" s="715" t="e">
        <f t="shared" si="10"/>
        <v>#N/A</v>
      </c>
      <c r="T38" s="714" t="s">
        <v>17</v>
      </c>
      <c r="U38" s="715" t="e">
        <f t="shared" si="11"/>
        <v>#N/A</v>
      </c>
      <c r="V38" s="714" t="s">
        <v>17</v>
      </c>
      <c r="W38" s="715" t="e">
        <f t="shared" si="12"/>
        <v>#N/A</v>
      </c>
      <c r="X38" s="1508"/>
      <c r="Y38" s="3464"/>
      <c r="Z38" s="1509" t="str">
        <f t="shared" si="13"/>
        <v>宗地面积</v>
      </c>
      <c r="AA38" s="1506" t="e">
        <f t="shared" si="3"/>
        <v>#N/A</v>
      </c>
      <c r="AB38" s="1506" t="e">
        <f t="shared" si="4"/>
        <v>#N/A</v>
      </c>
      <c r="AC38" s="1506" t="e">
        <f t="shared" si="5"/>
        <v>#N/A</v>
      </c>
    </row>
    <row r="39" spans="1:29" ht="15">
      <c r="A39" s="431"/>
      <c r="B39" s="381" t="s">
        <v>2511</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464"/>
      <c r="Q39" s="1505" t="str">
        <f t="shared" ref="Q39:Q45" si="14">B39</f>
        <v>宗地形状</v>
      </c>
      <c r="R39" s="714" t="s">
        <v>17</v>
      </c>
      <c r="S39" s="715">
        <f t="shared" si="10"/>
        <v>100</v>
      </c>
      <c r="T39" s="714" t="s">
        <v>17</v>
      </c>
      <c r="U39" s="715">
        <f t="shared" si="11"/>
        <v>100</v>
      </c>
      <c r="V39" s="714" t="s">
        <v>17</v>
      </c>
      <c r="W39" s="715">
        <f t="shared" si="12"/>
        <v>100</v>
      </c>
      <c r="X39" s="1508"/>
      <c r="Y39" s="3464"/>
      <c r="Z39" s="1509" t="str">
        <f t="shared" si="13"/>
        <v>宗地形状</v>
      </c>
      <c r="AA39" s="1506">
        <f t="shared" si="3"/>
        <v>1</v>
      </c>
      <c r="AB39" s="1506">
        <f t="shared" si="4"/>
        <v>1</v>
      </c>
      <c r="AC39" s="1506">
        <f t="shared" si="5"/>
        <v>1</v>
      </c>
    </row>
    <row r="40" spans="1:29" ht="15">
      <c r="A40" s="431"/>
      <c r="B40" s="381" t="s">
        <v>2512</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464"/>
      <c r="Q40" s="1505" t="str">
        <f t="shared" si="14"/>
        <v>临街宽度及深度</v>
      </c>
      <c r="R40" s="714" t="s">
        <v>17</v>
      </c>
      <c r="S40" s="715">
        <f t="shared" si="10"/>
        <v>100</v>
      </c>
      <c r="T40" s="714" t="s">
        <v>17</v>
      </c>
      <c r="U40" s="715">
        <f t="shared" si="11"/>
        <v>100</v>
      </c>
      <c r="V40" s="714" t="s">
        <v>17</v>
      </c>
      <c r="W40" s="715">
        <f t="shared" si="12"/>
        <v>100</v>
      </c>
      <c r="X40" s="1508"/>
      <c r="Y40" s="3464"/>
      <c r="Z40" s="1509" t="str">
        <f t="shared" si="13"/>
        <v>临街宽度及深度</v>
      </c>
      <c r="AA40" s="1506">
        <f t="shared" si="3"/>
        <v>1</v>
      </c>
      <c r="AB40" s="1506">
        <f t="shared" si="4"/>
        <v>1</v>
      </c>
      <c r="AC40" s="1506">
        <f t="shared" si="5"/>
        <v>1</v>
      </c>
    </row>
    <row r="41" spans="1:29" s="113" customFormat="1" ht="15">
      <c r="A41" s="432"/>
      <c r="B41" s="381" t="s">
        <v>2513</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464"/>
      <c r="Q41" s="1505" t="str">
        <f t="shared" si="14"/>
        <v>宗地开发程度</v>
      </c>
      <c r="R41" s="710" t="s">
        <v>17</v>
      </c>
      <c r="S41" s="711">
        <f t="shared" si="10"/>
        <v>100</v>
      </c>
      <c r="T41" s="710" t="s">
        <v>17</v>
      </c>
      <c r="U41" s="711">
        <f t="shared" si="11"/>
        <v>100</v>
      </c>
      <c r="V41" s="710" t="s">
        <v>17</v>
      </c>
      <c r="W41" s="711">
        <f t="shared" si="12"/>
        <v>100</v>
      </c>
      <c r="X41" s="712"/>
      <c r="Y41" s="3464"/>
      <c r="Z41" s="55" t="str">
        <f t="shared" si="13"/>
        <v>宗地开发程度</v>
      </c>
      <c r="AA41" s="713">
        <f t="shared" si="3"/>
        <v>1</v>
      </c>
      <c r="AB41" s="713">
        <f t="shared" si="4"/>
        <v>1</v>
      </c>
      <c r="AC41" s="713">
        <f t="shared" si="5"/>
        <v>1</v>
      </c>
    </row>
    <row r="42" spans="1:29" ht="15">
      <c r="A42" s="431"/>
      <c r="B42" s="381" t="s">
        <v>2514</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464" t="s">
        <v>2324</v>
      </c>
      <c r="Q42" s="1505" t="str">
        <f t="shared" si="14"/>
        <v>工程地质条件</v>
      </c>
      <c r="R42" s="714" t="s">
        <v>17</v>
      </c>
      <c r="S42" s="715">
        <f t="shared" si="10"/>
        <v>100</v>
      </c>
      <c r="T42" s="714" t="s">
        <v>17</v>
      </c>
      <c r="U42" s="715">
        <f t="shared" si="11"/>
        <v>100</v>
      </c>
      <c r="V42" s="714" t="s">
        <v>17</v>
      </c>
      <c r="W42" s="715">
        <f t="shared" si="12"/>
        <v>100</v>
      </c>
      <c r="X42" s="1508"/>
      <c r="Y42" s="3464" t="s">
        <v>2324</v>
      </c>
      <c r="Z42" s="1509" t="str">
        <f t="shared" si="13"/>
        <v>工程地质条件</v>
      </c>
      <c r="AA42" s="1506">
        <f t="shared" si="3"/>
        <v>1</v>
      </c>
      <c r="AB42" s="1506">
        <f t="shared" si="4"/>
        <v>1</v>
      </c>
      <c r="AC42" s="1506">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64"/>
      <c r="Q43" s="1505">
        <f t="shared" si="14"/>
        <v>111</v>
      </c>
      <c r="R43" s="714" t="s">
        <v>17</v>
      </c>
      <c r="S43" s="715">
        <f t="shared" si="10"/>
        <v>100</v>
      </c>
      <c r="T43" s="714" t="s">
        <v>17</v>
      </c>
      <c r="U43" s="715">
        <f t="shared" si="11"/>
        <v>100</v>
      </c>
      <c r="V43" s="714" t="s">
        <v>17</v>
      </c>
      <c r="W43" s="715">
        <f t="shared" si="12"/>
        <v>100</v>
      </c>
      <c r="X43" s="1508"/>
      <c r="Y43" s="3464"/>
      <c r="Z43" s="1509">
        <f t="shared" si="13"/>
        <v>111</v>
      </c>
      <c r="AA43" s="1506">
        <f t="shared" si="3"/>
        <v>1</v>
      </c>
      <c r="AB43" s="1506">
        <f t="shared" si="4"/>
        <v>1</v>
      </c>
      <c r="AC43" s="1506">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64"/>
      <c r="Q44" s="1505">
        <f t="shared" si="14"/>
        <v>111</v>
      </c>
      <c r="R44" s="714" t="s">
        <v>17</v>
      </c>
      <c r="S44" s="715">
        <f t="shared" si="10"/>
        <v>100</v>
      </c>
      <c r="T44" s="714" t="s">
        <v>17</v>
      </c>
      <c r="U44" s="715">
        <f t="shared" si="11"/>
        <v>100</v>
      </c>
      <c r="V44" s="714" t="s">
        <v>17</v>
      </c>
      <c r="W44" s="715">
        <f t="shared" si="12"/>
        <v>100</v>
      </c>
      <c r="X44" s="1508"/>
      <c r="Y44" s="3464"/>
      <c r="Z44" s="1509">
        <f t="shared" si="13"/>
        <v>111</v>
      </c>
      <c r="AA44" s="1506">
        <f t="shared" si="3"/>
        <v>1</v>
      </c>
      <c r="AB44" s="1506">
        <f t="shared" si="4"/>
        <v>1</v>
      </c>
      <c r="AC44" s="1506">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64"/>
      <c r="Q45" s="1505">
        <f t="shared" si="14"/>
        <v>111</v>
      </c>
      <c r="R45" s="717" t="s">
        <v>17</v>
      </c>
      <c r="S45" s="718">
        <f t="shared" si="10"/>
        <v>100</v>
      </c>
      <c r="T45" s="717" t="s">
        <v>17</v>
      </c>
      <c r="U45" s="718">
        <f t="shared" si="11"/>
        <v>100</v>
      </c>
      <c r="V45" s="717" t="s">
        <v>17</v>
      </c>
      <c r="W45" s="718">
        <f t="shared" si="12"/>
        <v>100</v>
      </c>
      <c r="X45" s="719"/>
      <c r="Y45" s="3464"/>
      <c r="Z45" s="720">
        <f t="shared" si="13"/>
        <v>111</v>
      </c>
      <c r="AA45" s="1506">
        <f t="shared" si="3"/>
        <v>1</v>
      </c>
      <c r="AB45" s="1506">
        <f t="shared" si="4"/>
        <v>1</v>
      </c>
      <c r="AC45" s="1506">
        <f t="shared" si="5"/>
        <v>1</v>
      </c>
    </row>
    <row r="46" spans="1:29" ht="15">
      <c r="A46" s="438" t="s">
        <v>2479</v>
      </c>
      <c r="B46" s="2137" t="s">
        <v>2515</v>
      </c>
      <c r="C46" s="638" t="s">
        <v>1</v>
      </c>
      <c r="D46" s="440"/>
      <c r="E46" s="441"/>
      <c r="F46" s="442"/>
      <c r="G46" s="443"/>
      <c r="H46" s="444"/>
      <c r="I46" s="441"/>
      <c r="J46" s="444"/>
      <c r="K46" s="723"/>
      <c r="L46" s="2922"/>
      <c r="M46" s="2923"/>
      <c r="N46" s="2914"/>
      <c r="O46" s="2923"/>
      <c r="P46" s="3457" t="str">
        <f>A46</f>
        <v>成交单价</v>
      </c>
      <c r="Q46" s="3457"/>
      <c r="R46" s="3488">
        <f>E46</f>
        <v>0</v>
      </c>
      <c r="S46" s="3488"/>
      <c r="T46" s="3488">
        <f>G46</f>
        <v>0</v>
      </c>
      <c r="U46" s="3488"/>
      <c r="V46" s="3488">
        <f>I46</f>
        <v>0</v>
      </c>
      <c r="W46" s="3488"/>
      <c r="X46" s="699"/>
      <c r="Y46" s="721"/>
      <c r="Z46" s="699"/>
      <c r="AA46" s="699"/>
      <c r="AB46" s="699"/>
      <c r="AC46" s="699"/>
    </row>
    <row r="47" spans="1:29" ht="15.75" thickBot="1">
      <c r="A47" s="445" t="s">
        <v>2428</v>
      </c>
      <c r="B47" s="639"/>
      <c r="C47" s="448" t="e">
        <f>R48</f>
        <v>#DIV/0!</v>
      </c>
      <c r="D47" s="2507" t="s">
        <v>2816</v>
      </c>
      <c r="E47" s="448" t="e">
        <f>R47</f>
        <v>#DIV/0!</v>
      </c>
      <c r="F47" s="2508"/>
      <c r="G47" s="447" t="e">
        <f>T47</f>
        <v>#DIV/0!</v>
      </c>
      <c r="H47" s="2508"/>
      <c r="I47" s="448" t="e">
        <f>V47</f>
        <v>#DIV/0!</v>
      </c>
      <c r="J47" s="2508"/>
      <c r="K47" s="2510">
        <f>F47+H47+J47</f>
        <v>0</v>
      </c>
      <c r="L47" s="2922"/>
      <c r="M47" s="2923"/>
      <c r="N47" s="2923"/>
      <c r="O47" s="2923"/>
      <c r="P47" s="3457" t="str">
        <f>A47</f>
        <v>比较价值（元/平方米）</v>
      </c>
      <c r="Q47" s="3457"/>
      <c r="R47" s="3517" t="e">
        <f>ROUND(PRODUCT(R46,AA7:AA45),0)</f>
        <v>#DIV/0!</v>
      </c>
      <c r="S47" s="3517"/>
      <c r="T47" s="3517" t="e">
        <f>ROUND(PRODUCT(T46,AB7:AB45),0)</f>
        <v>#DIV/0!</v>
      </c>
      <c r="U47" s="3517"/>
      <c r="V47" s="3517" t="e">
        <f>ROUND(PRODUCT(V46,AC7:AC45),0)</f>
        <v>#DIV/0!</v>
      </c>
      <c r="W47" s="3517"/>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2"/>
      <c r="M48" s="2923"/>
      <c r="N48" s="2923"/>
      <c r="O48" s="2923"/>
      <c r="P48" s="3454" t="str">
        <f>A48</f>
        <v>估价对象XX用房的比较价值（楼面单价，元/平方米）</v>
      </c>
      <c r="Q48" s="3455"/>
      <c r="R48" s="3518" t="e">
        <f>ROUND(IF(D47="简单平均",AVERAGE(R47:W47),R47*F47+T47*H47+V47*J47),0)</f>
        <v>#DIV/0!</v>
      </c>
      <c r="S48" s="3518"/>
      <c r="T48" s="3518"/>
      <c r="U48" s="3518"/>
      <c r="V48" s="3518"/>
      <c r="W48" s="3518"/>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2517</v>
      </c>
      <c r="B55" s="641" t="s">
        <v>2518</v>
      </c>
      <c r="C55" s="2138" t="s">
        <v>2519</v>
      </c>
      <c r="D55" s="2139" t="s">
        <v>2520</v>
      </c>
      <c r="E55" s="642" t="s">
        <v>2521</v>
      </c>
      <c r="F55" s="1021" t="s">
        <v>2522</v>
      </c>
      <c r="G55" s="3472" t="s">
        <v>2523</v>
      </c>
      <c r="H55" s="3519"/>
      <c r="I55" s="140" t="s">
        <v>2524</v>
      </c>
      <c r="J55" s="2140">
        <f>项目基本情况!F35</f>
        <v>0</v>
      </c>
      <c r="K55" s="2141" t="s">
        <v>2525</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2526</v>
      </c>
      <c r="B56" s="645" t="e">
        <f>C48</f>
        <v>#DIV/0!</v>
      </c>
      <c r="C56" s="646">
        <v>1</v>
      </c>
      <c r="D56" s="1075">
        <v>1</v>
      </c>
      <c r="E56" s="646">
        <f>'数据-汇总表'!E8+'数据-汇总表'!E9</f>
        <v>4363.97</v>
      </c>
      <c r="F56" s="1017" t="e">
        <f t="shared" ref="F56:F65" si="15">ROUND(B56*E56/10000,0)</f>
        <v>#DIV/0!</v>
      </c>
      <c r="G56" s="3468"/>
      <c r="H56" s="3457"/>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2527</v>
      </c>
      <c r="B57" s="224" t="e">
        <f>ROUND($C$48*C57*D57,0)</f>
        <v>#DIV/0!</v>
      </c>
      <c r="C57" s="176">
        <f t="shared" ref="C57:C65" si="16">IF($C$55="北京市系数",I57,J57)</f>
        <v>0</v>
      </c>
      <c r="D57" s="1076">
        <v>0.25</v>
      </c>
      <c r="E57" s="650"/>
      <c r="F57" s="1017" t="e">
        <f t="shared" si="15"/>
        <v>#DIV/0!</v>
      </c>
      <c r="G57" s="3520" t="s">
        <v>2528</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2529</v>
      </c>
      <c r="B58" s="224" t="e">
        <f t="shared" ref="B58:B65" si="17">ROUND($C$48*C58*D58,0)</f>
        <v>#DIV/0!</v>
      </c>
      <c r="C58" s="176">
        <f t="shared" si="16"/>
        <v>0</v>
      </c>
      <c r="D58" s="1076">
        <v>0.25</v>
      </c>
      <c r="E58" s="650"/>
      <c r="F58" s="1017" t="e">
        <f t="shared" si="15"/>
        <v>#DIV/0!</v>
      </c>
      <c r="G58" s="3520"/>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2530</v>
      </c>
      <c r="B59" s="224" t="e">
        <f t="shared" si="17"/>
        <v>#DIV/0!</v>
      </c>
      <c r="C59" s="176">
        <f t="shared" si="16"/>
        <v>0</v>
      </c>
      <c r="D59" s="1076">
        <v>0.25</v>
      </c>
      <c r="E59" s="650"/>
      <c r="F59" s="1017" t="e">
        <f t="shared" si="15"/>
        <v>#DIV/0!</v>
      </c>
      <c r="G59" s="3520"/>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2531</v>
      </c>
      <c r="B60" s="224" t="e">
        <f t="shared" si="17"/>
        <v>#DIV/0!</v>
      </c>
      <c r="C60" s="176">
        <f t="shared" si="16"/>
        <v>0</v>
      </c>
      <c r="D60" s="1076">
        <v>0.25</v>
      </c>
      <c r="E60" s="650"/>
      <c r="F60" s="1017" t="e">
        <f t="shared" si="15"/>
        <v>#DIV/0!</v>
      </c>
      <c r="G60" s="3520"/>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2532</v>
      </c>
      <c r="B61" s="224" t="e">
        <f t="shared" si="17"/>
        <v>#DIV/0!</v>
      </c>
      <c r="C61" s="176">
        <f t="shared" si="16"/>
        <v>0</v>
      </c>
      <c r="D61" s="1076">
        <v>0.25</v>
      </c>
      <c r="E61" s="223">
        <f>'数据-汇总表'!E11</f>
        <v>0</v>
      </c>
      <c r="F61" s="1017" t="e">
        <f t="shared" si="15"/>
        <v>#DIV/0!</v>
      </c>
      <c r="G61" s="2142" t="s">
        <v>2533</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2536</v>
      </c>
      <c r="B63" s="224" t="e">
        <f t="shared" si="17"/>
        <v>#DIV/0!</v>
      </c>
      <c r="C63" s="176">
        <f t="shared" si="16"/>
        <v>0</v>
      </c>
      <c r="D63" s="1076">
        <v>0.25</v>
      </c>
      <c r="E63" s="223">
        <f>'数据-汇总表'!E13</f>
        <v>8266.82</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2538</v>
      </c>
      <c r="B64" s="224" t="e">
        <f t="shared" si="17"/>
        <v>#DIV/0!</v>
      </c>
      <c r="C64" s="176">
        <f t="shared" si="16"/>
        <v>0</v>
      </c>
      <c r="D64" s="1076">
        <v>0.25</v>
      </c>
      <c r="E64" s="223">
        <f>'数据-汇总表'!E14</f>
        <v>0</v>
      </c>
      <c r="F64" s="1017" t="e">
        <f t="shared" si="15"/>
        <v>#DIV/0!</v>
      </c>
      <c r="G64" s="2142" t="s">
        <v>2528</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2539</v>
      </c>
      <c r="B65" s="224" t="e">
        <f t="shared" si="17"/>
        <v>#DIV/0!</v>
      </c>
      <c r="C65" s="176">
        <f t="shared" si="16"/>
        <v>0</v>
      </c>
      <c r="D65" s="1076">
        <v>0.25</v>
      </c>
      <c r="E65" s="223">
        <f>'数据-汇总表'!E15</f>
        <v>0</v>
      </c>
      <c r="F65" s="1017" t="e">
        <f t="shared" si="15"/>
        <v>#DIV/0!</v>
      </c>
      <c r="G65" s="2143" t="s">
        <v>2533</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2540</v>
      </c>
      <c r="B66" s="652" t="s">
        <v>28</v>
      </c>
      <c r="C66" s="652" t="s">
        <v>29</v>
      </c>
      <c r="D66" s="652" t="s">
        <v>997</v>
      </c>
      <c r="E66" s="652">
        <f>IF(B46="楼面地价",SUM(E56:E65),'数据-汇总表'!D3)</f>
        <v>12630.79</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1.75" thickBot="1">
      <c r="A69" s="703" t="s">
        <v>2433</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2541</v>
      </c>
      <c r="B70" s="1241"/>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2542</v>
      </c>
      <c r="B71" s="294" t="str">
        <f>"北京市平均增长率"&amp;TEXT(SUMIF(基准地价修正!N21:N25,A71,基准地价修正!P21:P25),"0.00%")</f>
        <v>北京市平均增长率1.77%</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75" thickBot="1">
      <c r="A72" s="472" t="s">
        <v>2344</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2309</v>
      </c>
      <c r="B73" s="467"/>
      <c r="C73" s="479" t="s">
        <v>2411</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2347</v>
      </c>
      <c r="B75" s="485" t="s">
        <v>2313</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2316</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2318</v>
      </c>
      <c r="B88" s="485" t="s">
        <v>2355</v>
      </c>
      <c r="C88" s="530" t="s">
        <v>2356</v>
      </c>
      <c r="D88" s="530" t="s">
        <v>2357</v>
      </c>
      <c r="E88" s="530" t="s">
        <v>2358</v>
      </c>
      <c r="F88" s="530" t="s">
        <v>2359</v>
      </c>
      <c r="G88" s="530" t="s">
        <v>2360</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2543</v>
      </c>
      <c r="C90" s="535" t="s">
        <v>2356</v>
      </c>
      <c r="D90" s="535" t="s">
        <v>2357</v>
      </c>
      <c r="E90" s="535" t="s">
        <v>2358</v>
      </c>
      <c r="F90" s="535" t="s">
        <v>2359</v>
      </c>
      <c r="G90" s="535" t="s">
        <v>2360</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2456</v>
      </c>
      <c r="C92" s="535" t="s">
        <v>2356</v>
      </c>
      <c r="D92" s="535" t="s">
        <v>2357</v>
      </c>
      <c r="E92" s="535" t="s">
        <v>2358</v>
      </c>
      <c r="F92" s="535" t="s">
        <v>2359</v>
      </c>
      <c r="G92" s="535" t="s">
        <v>2360</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2361</v>
      </c>
      <c r="C94" s="535" t="s">
        <v>2356</v>
      </c>
      <c r="D94" s="535" t="s">
        <v>2357</v>
      </c>
      <c r="E94" s="535" t="s">
        <v>2358</v>
      </c>
      <c r="F94" s="535" t="s">
        <v>2359</v>
      </c>
      <c r="G94" s="535" t="s">
        <v>2360</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2450</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2509</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2551</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2552</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2553</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2554</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4" zoomScale="90" zoomScaleNormal="60" zoomScaleSheetLayoutView="90" workbookViewId="0">
      <selection activeCell="D42" sqref="D42:D4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2089</v>
      </c>
      <c r="B2" s="627">
        <f>F61</f>
        <v>6105</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f>ROUND(IF(D3="",B2*10000/'数据-汇总表'!E3,B2*10000/D3),0)</f>
        <v>3229</v>
      </c>
      <c r="C3" s="209" t="s">
        <v>2505</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72" t="s">
        <v>2405</v>
      </c>
      <c r="D4" s="3473"/>
      <c r="E4" s="3474" t="s">
        <v>2406</v>
      </c>
      <c r="F4" s="3475"/>
      <c r="G4" s="3472" t="s">
        <v>2407</v>
      </c>
      <c r="H4" s="3473"/>
      <c r="I4" s="3472" t="s">
        <v>2408</v>
      </c>
      <c r="J4" s="3473"/>
      <c r="K4" s="567" t="s">
        <v>2409</v>
      </c>
      <c r="L4" s="2913"/>
      <c r="M4" s="2914"/>
      <c r="N4" s="2914"/>
      <c r="O4" s="2914"/>
      <c r="P4" s="3476" t="s">
        <v>2410</v>
      </c>
      <c r="Q4" s="3477"/>
      <c r="R4" s="3482" t="s">
        <v>2406</v>
      </c>
      <c r="S4" s="3483"/>
      <c r="T4" s="3482" t="s">
        <v>2407</v>
      </c>
      <c r="U4" s="3483"/>
      <c r="V4" s="3488" t="s">
        <v>2408</v>
      </c>
      <c r="W4" s="3488"/>
      <c r="X4" s="1508"/>
      <c r="Y4" s="3482" t="s">
        <v>2410</v>
      </c>
      <c r="Z4" s="3483"/>
      <c r="AA4" s="3469" t="s">
        <v>2406</v>
      </c>
      <c r="AB4" s="3470" t="s">
        <v>2407</v>
      </c>
      <c r="AC4" s="3469" t="s">
        <v>2408</v>
      </c>
    </row>
    <row r="5" spans="1:29" ht="15">
      <c r="A5" s="364"/>
      <c r="B5" s="365"/>
      <c r="C5" s="3491" t="s">
        <v>2301</v>
      </c>
      <c r="D5" s="3492"/>
      <c r="E5" s="3498" t="str">
        <f>土地案例!A3</f>
        <v>顺义区赵全营镇SY04-0100-6006-1-2地块</v>
      </c>
      <c r="F5" s="3499"/>
      <c r="G5" s="3491" t="str">
        <f>土地案例!A5</f>
        <v>顺义区赵全营板桥SY04-0100-6006-2地块M4工业研发用地</v>
      </c>
      <c r="H5" s="3492"/>
      <c r="I5" s="3491" t="str">
        <f>土地案例!A6</f>
        <v>顺义区赵全营镇SY04-0100-6006-3地块M4工业研发项目</v>
      </c>
      <c r="J5" s="3492"/>
      <c r="K5" s="567"/>
      <c r="L5" s="2913"/>
      <c r="M5" s="2914"/>
      <c r="N5" s="2914"/>
      <c r="O5" s="2914"/>
      <c r="P5" s="3478"/>
      <c r="Q5" s="3479"/>
      <c r="R5" s="3484"/>
      <c r="S5" s="3485"/>
      <c r="T5" s="3484"/>
      <c r="U5" s="3485"/>
      <c r="V5" s="3488"/>
      <c r="W5" s="3488"/>
      <c r="X5" s="1508"/>
      <c r="Y5" s="3484"/>
      <c r="Z5" s="3485"/>
      <c r="AA5" s="3470"/>
      <c r="AB5" s="3470"/>
      <c r="AC5" s="3470"/>
    </row>
    <row r="6" spans="1:29" ht="15.75" thickBot="1">
      <c r="A6" s="366"/>
      <c r="B6" s="367"/>
      <c r="C6" s="3521" t="s">
        <v>2556</v>
      </c>
      <c r="D6" s="3522"/>
      <c r="E6" s="3523" t="s">
        <v>2556</v>
      </c>
      <c r="F6" s="3524"/>
      <c r="G6" s="3521" t="s">
        <v>2556</v>
      </c>
      <c r="H6" s="3522"/>
      <c r="I6" s="3521" t="s">
        <v>2556</v>
      </c>
      <c r="J6" s="3522"/>
      <c r="K6" s="567" t="s">
        <v>2306</v>
      </c>
      <c r="L6" s="2913"/>
      <c r="M6" s="2914"/>
      <c r="N6" s="2914"/>
      <c r="O6" s="2914"/>
      <c r="P6" s="3480"/>
      <c r="Q6" s="3481"/>
      <c r="R6" s="3484"/>
      <c r="S6" s="3485"/>
      <c r="T6" s="3486"/>
      <c r="U6" s="3487"/>
      <c r="V6" s="3488"/>
      <c r="W6" s="3488"/>
      <c r="X6" s="1508"/>
      <c r="Y6" s="3486"/>
      <c r="Z6" s="3487"/>
      <c r="AA6" s="3471"/>
      <c r="AB6" s="3471"/>
      <c r="AC6" s="3471"/>
    </row>
    <row r="7" spans="1:29" s="113" customFormat="1" ht="15.75" thickBot="1">
      <c r="A7" s="368" t="s">
        <v>2307</v>
      </c>
      <c r="B7" s="369"/>
      <c r="C7" s="370">
        <f>'数据-取费表'!B2</f>
        <v>44645</v>
      </c>
      <c r="D7" s="371">
        <v>100</v>
      </c>
      <c r="E7" s="372" t="str">
        <f>土地案例!J3</f>
        <v>2021-09-07</v>
      </c>
      <c r="F7" s="373">
        <f>SUMIF(65:65,YEAR(E7)&amp;"-"&amp;INT((MONTH(E7)+2)/3),66:66)</f>
        <v>99</v>
      </c>
      <c r="G7" s="2129" t="str">
        <f>土地案例!J5</f>
        <v>2020-02-12</v>
      </c>
      <c r="H7" s="371">
        <f>SUMIF(65:65,YEAR(G7)&amp;"-"&amp;INT((MONTH(G7)+2)/3),66:66)</f>
        <v>96</v>
      </c>
      <c r="I7" s="2129" t="str">
        <f>土地案例!J6</f>
        <v>2019-07-16</v>
      </c>
      <c r="J7" s="371">
        <f>SUMIF(65:65,YEAR(I7)&amp;"-"&amp;INT((MONTH(I7)+2)/3),66:66)</f>
        <v>95</v>
      </c>
      <c r="K7" s="568"/>
      <c r="L7" s="2915"/>
      <c r="M7" s="2916"/>
      <c r="N7" s="2916"/>
      <c r="O7" s="2916"/>
      <c r="P7" s="3493" t="s">
        <v>2308</v>
      </c>
      <c r="Q7" s="3495"/>
      <c r="R7" s="710" t="s">
        <v>17</v>
      </c>
      <c r="S7" s="711">
        <f t="shared" ref="S7:S15" si="0">F7</f>
        <v>99</v>
      </c>
      <c r="T7" s="710" t="s">
        <v>17</v>
      </c>
      <c r="U7" s="711">
        <f t="shared" ref="U7:U15" si="1">H7</f>
        <v>96</v>
      </c>
      <c r="V7" s="710" t="s">
        <v>17</v>
      </c>
      <c r="W7" s="711">
        <f t="shared" ref="W7:W15" si="2">J7</f>
        <v>95</v>
      </c>
      <c r="X7" s="712"/>
      <c r="Y7" s="3493" t="s">
        <v>2308</v>
      </c>
      <c r="Z7" s="3494"/>
      <c r="AA7" s="713">
        <f>D7/F7</f>
        <v>1.0101010101010102</v>
      </c>
      <c r="AB7" s="713">
        <f>D7/H7</f>
        <v>1.0416666666666667</v>
      </c>
      <c r="AC7" s="713">
        <f>D7/J7</f>
        <v>1.0526315789473684</v>
      </c>
    </row>
    <row r="8" spans="1:29" s="113" customFormat="1" ht="15.75" thickBot="1">
      <c r="A8" s="368" t="s">
        <v>2309</v>
      </c>
      <c r="B8" s="369"/>
      <c r="C8" s="374" t="s">
        <v>2310</v>
      </c>
      <c r="D8" s="371">
        <v>100</v>
      </c>
      <c r="E8" s="374" t="s">
        <v>3241</v>
      </c>
      <c r="F8" s="373">
        <f>SUMIF(68:68,E8,69:69)-SUMIF(68:68,C8,69:69)+100</f>
        <v>100</v>
      </c>
      <c r="G8" s="374" t="s">
        <v>3241</v>
      </c>
      <c r="H8" s="371">
        <f>SUMIF(68:68,G8,69:69)-SUMIF(68:68,C8,69:69)+100</f>
        <v>100</v>
      </c>
      <c r="I8" s="374" t="s">
        <v>3241</v>
      </c>
      <c r="J8" s="371">
        <f>SUMIF(68:68,I8,69:69)-SUMIF(68:68,C8,69:69)+100</f>
        <v>100</v>
      </c>
      <c r="K8" s="568"/>
      <c r="L8" s="2915"/>
      <c r="M8" s="2916"/>
      <c r="N8" s="2916"/>
      <c r="O8" s="2916"/>
      <c r="P8" s="3493" t="s">
        <v>2311</v>
      </c>
      <c r="Q8" s="3494"/>
      <c r="R8" s="710" t="s">
        <v>17</v>
      </c>
      <c r="S8" s="711">
        <f t="shared" si="0"/>
        <v>100</v>
      </c>
      <c r="T8" s="710" t="s">
        <v>17</v>
      </c>
      <c r="U8" s="711">
        <f t="shared" si="1"/>
        <v>100</v>
      </c>
      <c r="V8" s="710" t="s">
        <v>17</v>
      </c>
      <c r="W8" s="711">
        <f t="shared" si="2"/>
        <v>100</v>
      </c>
      <c r="X8" s="712"/>
      <c r="Y8" s="3493" t="s">
        <v>2311</v>
      </c>
      <c r="Z8" s="3494"/>
      <c r="AA8" s="713">
        <f t="shared" ref="AA8:AA40" si="3">D8/F8</f>
        <v>1</v>
      </c>
      <c r="AB8" s="713">
        <f t="shared" ref="AB8:AB40" si="4">D8/H8</f>
        <v>1</v>
      </c>
      <c r="AC8" s="713">
        <f t="shared" ref="AC8:AC40" si="5">D8/J8</f>
        <v>1</v>
      </c>
    </row>
    <row r="9" spans="1:29" s="113" customFormat="1">
      <c r="A9" s="375" t="s">
        <v>2312</v>
      </c>
      <c r="B9" s="67" t="s">
        <v>2313</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57" t="s">
        <v>2314</v>
      </c>
      <c r="Q9" s="1496" t="str">
        <f t="shared" ref="Q9:Q15" si="6">B9</f>
        <v>用途</v>
      </c>
      <c r="R9" s="710" t="s">
        <v>17</v>
      </c>
      <c r="S9" s="711">
        <f t="shared" si="0"/>
        <v>100</v>
      </c>
      <c r="T9" s="710" t="s">
        <v>17</v>
      </c>
      <c r="U9" s="711">
        <f t="shared" si="1"/>
        <v>100</v>
      </c>
      <c r="V9" s="710" t="s">
        <v>17</v>
      </c>
      <c r="W9" s="711">
        <f t="shared" si="2"/>
        <v>100</v>
      </c>
      <c r="X9" s="712"/>
      <c r="Y9" s="3329"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112</v>
      </c>
      <c r="G10" s="391"/>
      <c r="H10" s="132">
        <f>ROUND(100/'数据-取费表'!G16,0)</f>
        <v>112</v>
      </c>
      <c r="I10" s="391"/>
      <c r="J10" s="132">
        <f>ROUND(100/'数据-取费表'!G16,0)</f>
        <v>112</v>
      </c>
      <c r="K10" s="628"/>
      <c r="L10" s="2917"/>
      <c r="M10" s="2918"/>
      <c r="N10" s="2918"/>
      <c r="O10" s="2971"/>
      <c r="P10" s="3457"/>
      <c r="Q10" s="1496" t="str">
        <f t="shared" si="6"/>
        <v>土地使用年限（年）</v>
      </c>
      <c r="R10" s="710" t="s">
        <v>17</v>
      </c>
      <c r="S10" s="711">
        <f t="shared" si="0"/>
        <v>112</v>
      </c>
      <c r="T10" s="710" t="s">
        <v>17</v>
      </c>
      <c r="U10" s="711">
        <f t="shared" si="1"/>
        <v>112</v>
      </c>
      <c r="V10" s="710" t="s">
        <v>17</v>
      </c>
      <c r="W10" s="711">
        <f t="shared" si="2"/>
        <v>112</v>
      </c>
      <c r="X10" s="712"/>
      <c r="Y10" s="3329"/>
      <c r="Z10" s="55" t="str">
        <f t="shared" si="7"/>
        <v>土地使用年限（年）</v>
      </c>
      <c r="AA10" s="713">
        <f t="shared" si="3"/>
        <v>0.8928571428571429</v>
      </c>
      <c r="AB10" s="713">
        <f t="shared" si="4"/>
        <v>0.8928571428571429</v>
      </c>
      <c r="AC10" s="713">
        <f t="shared" si="5"/>
        <v>0.8928571428571429</v>
      </c>
    </row>
    <row r="11" spans="1:29" ht="15.75" thickBot="1">
      <c r="A11" s="387"/>
      <c r="B11" s="381" t="s">
        <v>2317</v>
      </c>
      <c r="C11" s="388">
        <v>0.28999999999999998</v>
      </c>
      <c r="D11" s="132">
        <v>100</v>
      </c>
      <c r="E11" s="388">
        <v>1.8</v>
      </c>
      <c r="F11" s="132">
        <f>LOOKUP(E11,75:75,76:76)-LOOKUP(C11,75:75,76:76)+100</f>
        <v>110</v>
      </c>
      <c r="G11" s="389">
        <v>1.8</v>
      </c>
      <c r="H11" s="132">
        <f>LOOKUP(G11,75:75,76:76)-LOOKUP(C11,75:75,76:76)+100</f>
        <v>110</v>
      </c>
      <c r="I11" s="388">
        <v>1.8</v>
      </c>
      <c r="J11" s="132">
        <f>LOOKUP(I11,75:75,76:76)-LOOKUP(C11,75:75,76:76)+100</f>
        <v>110</v>
      </c>
      <c r="K11" s="629">
        <v>5</v>
      </c>
      <c r="L11" s="2919"/>
      <c r="M11" s="2914"/>
      <c r="N11" s="2914"/>
      <c r="O11" s="2972"/>
      <c r="P11" s="3457"/>
      <c r="Q11" s="1496" t="str">
        <f t="shared" si="6"/>
        <v>容积率</v>
      </c>
      <c r="R11" s="710" t="s">
        <v>17</v>
      </c>
      <c r="S11" s="711">
        <f t="shared" si="0"/>
        <v>110</v>
      </c>
      <c r="T11" s="710" t="s">
        <v>17</v>
      </c>
      <c r="U11" s="711">
        <f t="shared" si="1"/>
        <v>110</v>
      </c>
      <c r="V11" s="710" t="s">
        <v>17</v>
      </c>
      <c r="W11" s="711">
        <f t="shared" si="2"/>
        <v>110</v>
      </c>
      <c r="X11" s="712"/>
      <c r="Y11" s="3329"/>
      <c r="Z11" s="55" t="str">
        <f t="shared" si="7"/>
        <v>容积率</v>
      </c>
      <c r="AA11" s="713">
        <f t="shared" si="3"/>
        <v>0.90909090909090906</v>
      </c>
      <c r="AB11" s="713">
        <f t="shared" si="4"/>
        <v>0.90909090909090906</v>
      </c>
      <c r="AC11" s="713">
        <f t="shared" si="5"/>
        <v>0.90909090909090906</v>
      </c>
    </row>
    <row r="12" spans="1:29" s="113" customFormat="1" ht="15" hidden="1">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57"/>
      <c r="Q12" s="1496">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hidden="1">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57"/>
      <c r="Q13" s="1496">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hidden="1"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57"/>
      <c r="Q14" s="1496">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21" customHeight="1">
      <c r="A15" s="399" t="s">
        <v>2318</v>
      </c>
      <c r="B15" s="585" t="s">
        <v>2557</v>
      </c>
      <c r="C15" s="2126">
        <f>估价对象房地状况!G15</f>
        <v>0</v>
      </c>
      <c r="D15" s="400">
        <v>100</v>
      </c>
      <c r="E15" s="401"/>
      <c r="F15" s="400">
        <f>SUMIF(83:83,E16,84:84)-SUMIF(83:83,C16,84:84)+100</f>
        <v>98</v>
      </c>
      <c r="G15" s="401"/>
      <c r="H15" s="400">
        <f>SUMIF(83:83,G16,84:84)-SUMIF(83:83,C16,84:84)+100</f>
        <v>98</v>
      </c>
      <c r="I15" s="403"/>
      <c r="J15" s="400">
        <f>SUMIF(83:83,I16,84:84)-SUMIF(83:83,C16,84:84)+100</f>
        <v>98</v>
      </c>
      <c r="K15" s="629">
        <v>2</v>
      </c>
      <c r="L15" s="2920"/>
      <c r="M15" s="2914"/>
      <c r="N15" s="2914"/>
      <c r="O15" s="2972"/>
      <c r="P15" s="3459" t="s">
        <v>2319</v>
      </c>
      <c r="Q15" s="1505" t="str">
        <f t="shared" si="6"/>
        <v>产业集聚程度</v>
      </c>
      <c r="R15" s="714" t="s">
        <v>17</v>
      </c>
      <c r="S15" s="715">
        <f t="shared" si="0"/>
        <v>98</v>
      </c>
      <c r="T15" s="714" t="s">
        <v>17</v>
      </c>
      <c r="U15" s="715">
        <f t="shared" si="1"/>
        <v>98</v>
      </c>
      <c r="V15" s="714" t="s">
        <v>17</v>
      </c>
      <c r="W15" s="715">
        <f t="shared" si="2"/>
        <v>98</v>
      </c>
      <c r="X15" s="1508"/>
      <c r="Y15" s="3459" t="s">
        <v>2319</v>
      </c>
      <c r="Z15" s="1509" t="str">
        <f t="shared" si="7"/>
        <v>产业集聚程度</v>
      </c>
      <c r="AA15" s="1506">
        <f t="shared" si="3"/>
        <v>1.0204081632653061</v>
      </c>
      <c r="AB15" s="1506">
        <f t="shared" si="4"/>
        <v>1.0204081632653061</v>
      </c>
      <c r="AC15" s="1506">
        <f t="shared" si="5"/>
        <v>1.0204081632653061</v>
      </c>
    </row>
    <row r="16" spans="1:29" ht="15">
      <c r="A16" s="387"/>
      <c r="B16" s="586"/>
      <c r="C16" s="406" t="s">
        <v>3242</v>
      </c>
      <c r="D16" s="407"/>
      <c r="E16" s="406" t="s">
        <v>3245</v>
      </c>
      <c r="F16" s="407"/>
      <c r="G16" s="406" t="s">
        <v>3245</v>
      </c>
      <c r="H16" s="409"/>
      <c r="I16" s="406" t="s">
        <v>3245</v>
      </c>
      <c r="J16" s="407"/>
      <c r="K16" s="628"/>
      <c r="L16" s="2920"/>
      <c r="M16" s="2914"/>
      <c r="N16" s="2914"/>
      <c r="O16" s="2972"/>
      <c r="P16" s="3460"/>
      <c r="Q16" s="1505"/>
      <c r="R16" s="714"/>
      <c r="S16" s="715"/>
      <c r="T16" s="714"/>
      <c r="U16" s="715"/>
      <c r="V16" s="714"/>
      <c r="W16" s="715"/>
      <c r="X16" s="1508"/>
      <c r="Y16" s="3460"/>
      <c r="Z16" s="1509"/>
      <c r="AA16" s="1506">
        <v>1</v>
      </c>
      <c r="AB16" s="1506">
        <v>1</v>
      </c>
      <c r="AC16" s="1506">
        <v>1</v>
      </c>
    </row>
    <row r="17" spans="1:29" ht="20.25" customHeight="1">
      <c r="A17" s="387"/>
      <c r="B17" s="587" t="s">
        <v>2468</v>
      </c>
      <c r="C17" s="2055">
        <f>估价对象房地状况!G16</f>
        <v>0</v>
      </c>
      <c r="D17" s="409">
        <v>100</v>
      </c>
      <c r="E17" s="411"/>
      <c r="F17" s="414">
        <f>SUMIF(85:85,E18,86:86)-SUMIF(85:85,C18,86:86)+100</f>
        <v>99</v>
      </c>
      <c r="G17" s="411"/>
      <c r="H17" s="414">
        <f>SUMIF(85:85,G18,86:86)-SUMIF(85:85,C18,86:86)+100</f>
        <v>99</v>
      </c>
      <c r="I17" s="413"/>
      <c r="J17" s="409">
        <f>SUMIF(85:85,I18,86:86)-SUMIF(85:85,C18,86:86)+100</f>
        <v>99</v>
      </c>
      <c r="K17" s="629">
        <v>1</v>
      </c>
      <c r="L17" s="2920"/>
      <c r="M17" s="2914"/>
      <c r="N17" s="2914"/>
      <c r="O17" s="2972"/>
      <c r="P17" s="3460"/>
      <c r="Q17" s="1505" t="str">
        <f>B17</f>
        <v>交通便捷度</v>
      </c>
      <c r="R17" s="714" t="s">
        <v>17</v>
      </c>
      <c r="S17" s="715">
        <f>F17</f>
        <v>99</v>
      </c>
      <c r="T17" s="714" t="s">
        <v>17</v>
      </c>
      <c r="U17" s="715">
        <f>H17</f>
        <v>99</v>
      </c>
      <c r="V17" s="714" t="s">
        <v>17</v>
      </c>
      <c r="W17" s="715">
        <f>J17</f>
        <v>99</v>
      </c>
      <c r="X17" s="1508"/>
      <c r="Y17" s="3460"/>
      <c r="Z17" s="1509" t="str">
        <f>Q17</f>
        <v>交通便捷度</v>
      </c>
      <c r="AA17" s="1506">
        <f t="shared" si="3"/>
        <v>1.0101010101010102</v>
      </c>
      <c r="AB17" s="1506">
        <f t="shared" si="4"/>
        <v>1.0101010101010102</v>
      </c>
      <c r="AC17" s="1506">
        <f t="shared" si="5"/>
        <v>1.0101010101010102</v>
      </c>
    </row>
    <row r="18" spans="1:29" ht="15">
      <c r="A18" s="387"/>
      <c r="B18" s="588"/>
      <c r="C18" s="406" t="s">
        <v>3242</v>
      </c>
      <c r="D18" s="407"/>
      <c r="E18" s="406" t="s">
        <v>3245</v>
      </c>
      <c r="F18" s="407"/>
      <c r="G18" s="406" t="s">
        <v>3245</v>
      </c>
      <c r="H18" s="407"/>
      <c r="I18" s="406" t="s">
        <v>3245</v>
      </c>
      <c r="J18" s="407"/>
      <c r="K18" s="628"/>
      <c r="L18" s="2920"/>
      <c r="M18" s="2914"/>
      <c r="N18" s="2914"/>
      <c r="O18" s="2972"/>
      <c r="P18" s="3460"/>
      <c r="Q18" s="1505"/>
      <c r="R18" s="714"/>
      <c r="S18" s="715"/>
      <c r="T18" s="714"/>
      <c r="U18" s="715"/>
      <c r="V18" s="714"/>
      <c r="W18" s="715"/>
      <c r="X18" s="1508"/>
      <c r="Y18" s="3460"/>
      <c r="Z18" s="1509"/>
      <c r="AA18" s="1506">
        <v>1</v>
      </c>
      <c r="AB18" s="1506">
        <v>1</v>
      </c>
      <c r="AC18" s="1506">
        <v>1</v>
      </c>
    </row>
    <row r="19" spans="1:29" ht="15">
      <c r="A19" s="387"/>
      <c r="B19" s="587" t="s">
        <v>2507</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20"/>
      <c r="M19" s="2914"/>
      <c r="N19" s="2914"/>
      <c r="O19" s="2972"/>
      <c r="P19" s="3460"/>
      <c r="Q19" s="1505" t="str">
        <f t="shared" ref="Q19:Q33" si="8">B19</f>
        <v>区域土地利用方向</v>
      </c>
      <c r="R19" s="714" t="s">
        <v>17</v>
      </c>
      <c r="S19" s="715">
        <f>F19</f>
        <v>100</v>
      </c>
      <c r="T19" s="714" t="s">
        <v>17</v>
      </c>
      <c r="U19" s="715">
        <f>H19</f>
        <v>100</v>
      </c>
      <c r="V19" s="714" t="s">
        <v>17</v>
      </c>
      <c r="W19" s="715">
        <f>J19</f>
        <v>100</v>
      </c>
      <c r="X19" s="1508"/>
      <c r="Y19" s="3460"/>
      <c r="Z19" s="1509" t="str">
        <f>Q19</f>
        <v>区域土地利用方向</v>
      </c>
      <c r="AA19" s="1506">
        <f t="shared" si="3"/>
        <v>1</v>
      </c>
      <c r="AB19" s="1506">
        <f t="shared" si="4"/>
        <v>1</v>
      </c>
      <c r="AC19" s="1506">
        <f t="shared" si="5"/>
        <v>1</v>
      </c>
    </row>
    <row r="20" spans="1:29" ht="15">
      <c r="A20" s="364"/>
      <c r="B20" s="588"/>
      <c r="C20" s="406" t="s">
        <v>3242</v>
      </c>
      <c r="D20" s="407"/>
      <c r="E20" s="2053" t="s">
        <v>3242</v>
      </c>
      <c r="F20" s="407"/>
      <c r="G20" s="2053" t="s">
        <v>3242</v>
      </c>
      <c r="H20" s="407"/>
      <c r="I20" s="2053" t="s">
        <v>3242</v>
      </c>
      <c r="J20" s="407"/>
      <c r="K20" s="751"/>
      <c r="L20" s="2920"/>
      <c r="M20" s="2914"/>
      <c r="N20" s="2914"/>
      <c r="O20" s="2972"/>
      <c r="P20" s="3460"/>
      <c r="Q20" s="1505"/>
      <c r="R20" s="714"/>
      <c r="S20" s="715"/>
      <c r="T20" s="714"/>
      <c r="U20" s="715"/>
      <c r="V20" s="714"/>
      <c r="W20" s="715"/>
      <c r="X20" s="1508"/>
      <c r="Y20" s="3460"/>
      <c r="Z20" s="1509"/>
      <c r="AA20" s="1506"/>
      <c r="AB20" s="1506"/>
      <c r="AC20" s="1506"/>
    </row>
    <row r="21" spans="1:29" ht="20.25" customHeight="1">
      <c r="A21" s="364"/>
      <c r="B21" s="587" t="s">
        <v>2558</v>
      </c>
      <c r="C21" s="2055">
        <f>估价对象房地状况!G18</f>
        <v>0</v>
      </c>
      <c r="D21" s="409">
        <v>100</v>
      </c>
      <c r="E21" s="411"/>
      <c r="F21" s="409">
        <f>SUMIF(89:89,E22,90:90)-SUMIF(89:89,C22,90:90)+100</f>
        <v>100</v>
      </c>
      <c r="G21" s="411"/>
      <c r="H21" s="409">
        <f>SUMIF(89:89,G22,90:90)-SUMIF(89:89,C22,90:90)+100</f>
        <v>100</v>
      </c>
      <c r="I21" s="413"/>
      <c r="J21" s="409">
        <f>SUMIF(89:89,I22,90:90)-SUMIF(89:89,C22,90:90)+100</f>
        <v>100</v>
      </c>
      <c r="K21" s="629">
        <v>1</v>
      </c>
      <c r="L21" s="2920"/>
      <c r="M21" s="2914"/>
      <c r="N21" s="2914"/>
      <c r="O21" s="2972"/>
      <c r="P21" s="3460"/>
      <c r="Q21" s="1505" t="str">
        <f t="shared" si="8"/>
        <v>环境状况</v>
      </c>
      <c r="R21" s="714" t="s">
        <v>17</v>
      </c>
      <c r="S21" s="715">
        <f>F21</f>
        <v>100</v>
      </c>
      <c r="T21" s="714" t="s">
        <v>17</v>
      </c>
      <c r="U21" s="715">
        <f>H21</f>
        <v>100</v>
      </c>
      <c r="V21" s="714" t="s">
        <v>17</v>
      </c>
      <c r="W21" s="715">
        <f>J21</f>
        <v>100</v>
      </c>
      <c r="X21" s="1508"/>
      <c r="Y21" s="3460"/>
      <c r="Z21" s="1509" t="str">
        <f>Q21</f>
        <v>环境状况</v>
      </c>
      <c r="AA21" s="1506">
        <f t="shared" si="3"/>
        <v>1</v>
      </c>
      <c r="AB21" s="1506">
        <f t="shared" si="4"/>
        <v>1</v>
      </c>
      <c r="AC21" s="1506">
        <f t="shared" si="5"/>
        <v>1</v>
      </c>
    </row>
    <row r="22" spans="1:29" ht="15">
      <c r="A22" s="364"/>
      <c r="B22" s="588"/>
      <c r="C22" s="406" t="s">
        <v>3242</v>
      </c>
      <c r="D22" s="407"/>
      <c r="E22" s="406" t="s">
        <v>3242</v>
      </c>
      <c r="F22" s="407"/>
      <c r="G22" s="406" t="s">
        <v>3242</v>
      </c>
      <c r="H22" s="407"/>
      <c r="I22" s="406" t="s">
        <v>3242</v>
      </c>
      <c r="J22" s="407"/>
      <c r="K22" s="628"/>
      <c r="L22" s="2920"/>
      <c r="M22" s="2914"/>
      <c r="N22" s="2914"/>
      <c r="O22" s="2972"/>
      <c r="P22" s="3460"/>
      <c r="Q22" s="1505"/>
      <c r="R22" s="714"/>
      <c r="S22" s="715"/>
      <c r="T22" s="714"/>
      <c r="U22" s="715"/>
      <c r="V22" s="714"/>
      <c r="W22" s="715"/>
      <c r="X22" s="1508"/>
      <c r="Y22" s="3460"/>
      <c r="Z22" s="1509"/>
      <c r="AA22" s="1506">
        <v>1</v>
      </c>
      <c r="AB22" s="1506">
        <v>1</v>
      </c>
      <c r="AC22" s="1506">
        <v>1</v>
      </c>
    </row>
    <row r="23" spans="1:29" s="113" customFormat="1" ht="20.25" customHeight="1">
      <c r="A23" s="605"/>
      <c r="B23" s="589" t="s">
        <v>2413</v>
      </c>
      <c r="C23" s="2055">
        <f>估价对象房地状况!G19</f>
        <v>0</v>
      </c>
      <c r="D23" s="409">
        <v>100</v>
      </c>
      <c r="E23" s="411"/>
      <c r="F23" s="409">
        <f>SUMIF(91:91,E24,92:92)-SUMIF(91:91,C24,92:92)+100</f>
        <v>99</v>
      </c>
      <c r="G23" s="411"/>
      <c r="H23" s="409">
        <f>SUMIF(91:91,G24,92:92)-SUMIF(91:91,C24,92:92)+100</f>
        <v>99</v>
      </c>
      <c r="I23" s="413"/>
      <c r="J23" s="409">
        <f>SUMIF(91:91,I24,92:92)-SUMIF(91:91,C24,92:92)+100</f>
        <v>99</v>
      </c>
      <c r="K23" s="629">
        <v>1</v>
      </c>
      <c r="L23" s="2915"/>
      <c r="M23" s="2916"/>
      <c r="N23" s="2916"/>
      <c r="O23" s="2970"/>
      <c r="P23" s="3460"/>
      <c r="Q23" s="1496" t="str">
        <f t="shared" si="8"/>
        <v>公共配套设施</v>
      </c>
      <c r="R23" s="710" t="s">
        <v>17</v>
      </c>
      <c r="S23" s="711">
        <f>F23</f>
        <v>99</v>
      </c>
      <c r="T23" s="710" t="s">
        <v>17</v>
      </c>
      <c r="U23" s="711">
        <f>H23</f>
        <v>99</v>
      </c>
      <c r="V23" s="710" t="s">
        <v>17</v>
      </c>
      <c r="W23" s="711">
        <f>J23</f>
        <v>99</v>
      </c>
      <c r="X23" s="712"/>
      <c r="Y23" s="3460"/>
      <c r="Z23" s="55" t="str">
        <f>Q23</f>
        <v>公共配套设施</v>
      </c>
      <c r="AA23" s="1506">
        <f>D23/F23</f>
        <v>1.0101010101010102</v>
      </c>
      <c r="AB23" s="1506">
        <f>D23/H23</f>
        <v>1.0101010101010102</v>
      </c>
      <c r="AC23" s="1506">
        <f>D23/J23</f>
        <v>1.0101010101010102</v>
      </c>
    </row>
    <row r="24" spans="1:29" s="113" customFormat="1" ht="15">
      <c r="A24" s="605"/>
      <c r="B24" s="588"/>
      <c r="C24" s="2133" t="s">
        <v>3242</v>
      </c>
      <c r="D24" s="407"/>
      <c r="E24" s="406" t="s">
        <v>3245</v>
      </c>
      <c r="F24" s="407"/>
      <c r="G24" s="406" t="s">
        <v>3245</v>
      </c>
      <c r="H24" s="407"/>
      <c r="I24" s="406" t="s">
        <v>3245</v>
      </c>
      <c r="J24" s="407"/>
      <c r="K24" s="628"/>
      <c r="L24" s="2915"/>
      <c r="M24" s="2916"/>
      <c r="N24" s="2916"/>
      <c r="O24" s="2970"/>
      <c r="P24" s="3460"/>
      <c r="Q24" s="1496"/>
      <c r="R24" s="710"/>
      <c r="S24" s="711"/>
      <c r="T24" s="710"/>
      <c r="U24" s="711"/>
      <c r="V24" s="710"/>
      <c r="W24" s="711"/>
      <c r="X24" s="712"/>
      <c r="Y24" s="3460"/>
      <c r="Z24" s="55"/>
      <c r="AA24" s="713">
        <v>1</v>
      </c>
      <c r="AB24" s="713">
        <v>1</v>
      </c>
      <c r="AC24" s="713">
        <v>1</v>
      </c>
    </row>
    <row r="25" spans="1:29" s="113" customFormat="1" ht="19.5" customHeight="1">
      <c r="A25" s="605"/>
      <c r="B25" s="589" t="s">
        <v>2414</v>
      </c>
      <c r="C25" s="2055">
        <f>估价对象房地状况!G20</f>
        <v>0</v>
      </c>
      <c r="D25" s="409">
        <v>100</v>
      </c>
      <c r="E25" s="411"/>
      <c r="F25" s="409">
        <f>SUMIF(93:93,E26,94:94)-SUMIF(93:93,C26,94:94)+100</f>
        <v>100</v>
      </c>
      <c r="G25" s="411"/>
      <c r="H25" s="409">
        <f>SUMIF(93:93,G26,94:94)-SUMIF(93:93,C26,94:94)+100</f>
        <v>100</v>
      </c>
      <c r="I25" s="413"/>
      <c r="J25" s="409">
        <f>SUMIF(93:93,I26,94:94)-SUMIF(93:93,C26,94:94)+100</f>
        <v>100</v>
      </c>
      <c r="K25" s="629">
        <v>1</v>
      </c>
      <c r="L25" s="2915"/>
      <c r="M25" s="2916"/>
      <c r="N25" s="2916"/>
      <c r="O25" s="2970"/>
      <c r="P25" s="3460"/>
      <c r="Q25" s="1496" t="str">
        <f t="shared" ref="Q25" si="9">B25</f>
        <v>基础设施水平</v>
      </c>
      <c r="R25" s="710" t="s">
        <v>17</v>
      </c>
      <c r="S25" s="711">
        <f>F25</f>
        <v>100</v>
      </c>
      <c r="T25" s="710" t="s">
        <v>17</v>
      </c>
      <c r="U25" s="711">
        <f>H25</f>
        <v>100</v>
      </c>
      <c r="V25" s="710" t="s">
        <v>17</v>
      </c>
      <c r="W25" s="711">
        <f>J25</f>
        <v>100</v>
      </c>
      <c r="X25" s="712"/>
      <c r="Y25" s="3460"/>
      <c r="Z25" s="55" t="str">
        <f>Q25</f>
        <v>基础设施水平</v>
      </c>
      <c r="AA25" s="1506">
        <f>D25/F25</f>
        <v>1</v>
      </c>
      <c r="AB25" s="1506">
        <f>D25/H25</f>
        <v>1</v>
      </c>
      <c r="AC25" s="1506">
        <f>D25/J25</f>
        <v>1</v>
      </c>
    </row>
    <row r="26" spans="1:29" s="113" customFormat="1" ht="15">
      <c r="A26" s="605"/>
      <c r="B26" s="588"/>
      <c r="C26" s="2133" t="s">
        <v>3243</v>
      </c>
      <c r="D26" s="407"/>
      <c r="E26" s="2134" t="s">
        <v>3243</v>
      </c>
      <c r="F26" s="407"/>
      <c r="G26" s="2134" t="s">
        <v>3243</v>
      </c>
      <c r="H26" s="407"/>
      <c r="I26" s="2134" t="s">
        <v>3243</v>
      </c>
      <c r="J26" s="407"/>
      <c r="K26" s="628"/>
      <c r="L26" s="2915"/>
      <c r="M26" s="2916"/>
      <c r="N26" s="2916"/>
      <c r="O26" s="2970"/>
      <c r="P26" s="3460"/>
      <c r="Q26" s="1496"/>
      <c r="R26" s="710"/>
      <c r="S26" s="711"/>
      <c r="T26" s="710"/>
      <c r="U26" s="711"/>
      <c r="V26" s="710"/>
      <c r="W26" s="711"/>
      <c r="X26" s="712"/>
      <c r="Y26" s="3460"/>
      <c r="Z26" s="55"/>
      <c r="AA26" s="713">
        <v>1</v>
      </c>
      <c r="AB26" s="713">
        <v>1</v>
      </c>
      <c r="AC26" s="713">
        <v>1</v>
      </c>
    </row>
    <row r="27" spans="1:29" ht="15.75" thickBot="1">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60"/>
      <c r="Q27" s="1505" t="str">
        <f t="shared" si="8"/>
        <v>临街状况</v>
      </c>
      <c r="R27" s="714" t="s">
        <v>17</v>
      </c>
      <c r="S27" s="715">
        <f t="shared" ref="S27:S40" si="10">F27</f>
        <v>100</v>
      </c>
      <c r="T27" s="714" t="s">
        <v>17</v>
      </c>
      <c r="U27" s="715">
        <f t="shared" ref="U27:U40" si="11">H27</f>
        <v>100</v>
      </c>
      <c r="V27" s="714" t="s">
        <v>17</v>
      </c>
      <c r="W27" s="715">
        <f t="shared" ref="W27:W40" si="12">J27</f>
        <v>100</v>
      </c>
      <c r="X27" s="1508"/>
      <c r="Y27" s="3460"/>
      <c r="Z27" s="1509" t="str">
        <f t="shared" ref="Z27:Z40" si="13">Q27</f>
        <v>临街状况</v>
      </c>
      <c r="AA27" s="1506">
        <f t="shared" si="3"/>
        <v>1</v>
      </c>
      <c r="AB27" s="1506">
        <f t="shared" si="4"/>
        <v>1</v>
      </c>
      <c r="AC27" s="1506">
        <f t="shared" si="5"/>
        <v>1</v>
      </c>
    </row>
    <row r="28" spans="1:29" ht="18" hidden="1" customHeight="1">
      <c r="A28" s="387"/>
      <c r="B28" s="589" t="s">
        <v>2450</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60"/>
      <c r="Q28" s="1505" t="str">
        <f t="shared" si="8"/>
        <v>毗邻道路的类型与等级</v>
      </c>
      <c r="R28" s="714" t="s">
        <v>17</v>
      </c>
      <c r="S28" s="715">
        <f t="shared" si="10"/>
        <v>100</v>
      </c>
      <c r="T28" s="714" t="s">
        <v>17</v>
      </c>
      <c r="U28" s="715">
        <f t="shared" si="11"/>
        <v>100</v>
      </c>
      <c r="V28" s="714" t="s">
        <v>17</v>
      </c>
      <c r="W28" s="715">
        <f t="shared" si="12"/>
        <v>100</v>
      </c>
      <c r="X28" s="1508"/>
      <c r="Y28" s="3460"/>
      <c r="Z28" s="1509" t="str">
        <f t="shared" si="13"/>
        <v>毗邻道路的类型与等级</v>
      </c>
      <c r="AA28" s="1506">
        <f t="shared" si="3"/>
        <v>1</v>
      </c>
      <c r="AB28" s="1506">
        <f t="shared" si="4"/>
        <v>1</v>
      </c>
      <c r="AC28" s="1506">
        <f t="shared" si="5"/>
        <v>1</v>
      </c>
    </row>
    <row r="29" spans="1:29" ht="15" hidden="1">
      <c r="A29" s="387"/>
      <c r="B29" s="588"/>
      <c r="C29" s="406"/>
      <c r="D29" s="407"/>
      <c r="E29" s="2059"/>
      <c r="F29" s="407"/>
      <c r="G29" s="2059"/>
      <c r="H29" s="407"/>
      <c r="I29" s="2059"/>
      <c r="J29" s="407"/>
      <c r="K29" s="570"/>
      <c r="L29" s="2920"/>
      <c r="M29" s="2914"/>
      <c r="N29" s="2914"/>
      <c r="O29" s="2972"/>
      <c r="P29" s="3460"/>
      <c r="Q29" s="1505"/>
      <c r="R29" s="714"/>
      <c r="S29" s="715"/>
      <c r="T29" s="714"/>
      <c r="U29" s="715"/>
      <c r="V29" s="714"/>
      <c r="W29" s="715"/>
      <c r="X29" s="1508"/>
      <c r="Y29" s="3460"/>
      <c r="Z29" s="1509"/>
      <c r="AA29" s="1506">
        <v>1</v>
      </c>
      <c r="AB29" s="1506">
        <v>1</v>
      </c>
      <c r="AC29" s="1506">
        <v>1</v>
      </c>
    </row>
    <row r="30" spans="1:29" ht="15" hidden="1">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60"/>
      <c r="Q30" s="1505" t="str">
        <f t="shared" si="8"/>
        <v>土地级别</v>
      </c>
      <c r="R30" s="714" t="s">
        <v>17</v>
      </c>
      <c r="S30" s="715">
        <f t="shared" si="10"/>
        <v>100</v>
      </c>
      <c r="T30" s="714" t="s">
        <v>17</v>
      </c>
      <c r="U30" s="715">
        <f t="shared" si="11"/>
        <v>100</v>
      </c>
      <c r="V30" s="714" t="s">
        <v>17</v>
      </c>
      <c r="W30" s="715">
        <f t="shared" si="12"/>
        <v>100</v>
      </c>
      <c r="X30" s="1508"/>
      <c r="Y30" s="3460"/>
      <c r="Z30" s="1509" t="str">
        <f t="shared" si="13"/>
        <v>土地级别</v>
      </c>
      <c r="AA30" s="1506">
        <f t="shared" si="3"/>
        <v>1</v>
      </c>
      <c r="AB30" s="1506">
        <f t="shared" si="4"/>
        <v>1</v>
      </c>
      <c r="AC30" s="1506">
        <f t="shared" si="5"/>
        <v>1</v>
      </c>
    </row>
    <row r="31" spans="1:29" ht="15" hidden="1">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60"/>
      <c r="Q31" s="1505">
        <f t="shared" si="8"/>
        <v>111</v>
      </c>
      <c r="R31" s="714" t="s">
        <v>17</v>
      </c>
      <c r="S31" s="715">
        <f t="shared" si="10"/>
        <v>100</v>
      </c>
      <c r="T31" s="714" t="s">
        <v>17</v>
      </c>
      <c r="U31" s="715">
        <f t="shared" si="11"/>
        <v>100</v>
      </c>
      <c r="V31" s="714" t="s">
        <v>17</v>
      </c>
      <c r="W31" s="715">
        <f t="shared" si="12"/>
        <v>100</v>
      </c>
      <c r="X31" s="1508"/>
      <c r="Y31" s="3460"/>
      <c r="Z31" s="1509">
        <f t="shared" si="13"/>
        <v>111</v>
      </c>
      <c r="AA31" s="1506">
        <f t="shared" si="3"/>
        <v>1</v>
      </c>
      <c r="AB31" s="1506">
        <f t="shared" si="4"/>
        <v>1</v>
      </c>
      <c r="AC31" s="1506">
        <f t="shared" si="5"/>
        <v>1</v>
      </c>
    </row>
    <row r="32" spans="1:29" ht="15" hidden="1">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15" t="s">
        <v>2324</v>
      </c>
      <c r="Q32" s="1505">
        <f t="shared" si="8"/>
        <v>111</v>
      </c>
      <c r="R32" s="714" t="s">
        <v>17</v>
      </c>
      <c r="S32" s="715">
        <f t="shared" si="10"/>
        <v>100</v>
      </c>
      <c r="T32" s="714" t="s">
        <v>17</v>
      </c>
      <c r="U32" s="715">
        <f t="shared" si="11"/>
        <v>100</v>
      </c>
      <c r="V32" s="714" t="s">
        <v>17</v>
      </c>
      <c r="W32" s="715">
        <f t="shared" si="12"/>
        <v>100</v>
      </c>
      <c r="X32" s="1508"/>
      <c r="Y32" s="3464" t="s">
        <v>2324</v>
      </c>
      <c r="Z32" s="1509">
        <f t="shared" si="13"/>
        <v>111</v>
      </c>
      <c r="AA32" s="1506">
        <f t="shared" si="3"/>
        <v>1</v>
      </c>
      <c r="AB32" s="1506">
        <f t="shared" si="4"/>
        <v>1</v>
      </c>
      <c r="AC32" s="1506">
        <f t="shared" si="5"/>
        <v>1</v>
      </c>
    </row>
    <row r="33" spans="1:31" s="430" customFormat="1" ht="15.75" hidden="1"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64"/>
      <c r="Q33" s="1505">
        <f t="shared" si="8"/>
        <v>111</v>
      </c>
      <c r="R33" s="717" t="s">
        <v>17</v>
      </c>
      <c r="S33" s="718">
        <f t="shared" si="10"/>
        <v>100</v>
      </c>
      <c r="T33" s="717" t="s">
        <v>17</v>
      </c>
      <c r="U33" s="718">
        <f t="shared" si="11"/>
        <v>100</v>
      </c>
      <c r="V33" s="717" t="s">
        <v>17</v>
      </c>
      <c r="W33" s="718">
        <f t="shared" si="12"/>
        <v>100</v>
      </c>
      <c r="X33" s="719"/>
      <c r="Y33" s="3464"/>
      <c r="Z33" s="720">
        <f t="shared" si="13"/>
        <v>111</v>
      </c>
      <c r="AA33" s="1506">
        <f t="shared" si="3"/>
        <v>1</v>
      </c>
      <c r="AB33" s="1506">
        <f t="shared" si="4"/>
        <v>1</v>
      </c>
      <c r="AC33" s="1506">
        <f t="shared" si="5"/>
        <v>1</v>
      </c>
    </row>
    <row r="34" spans="1:31" ht="15">
      <c r="A34" s="399" t="s">
        <v>2322</v>
      </c>
      <c r="B34" s="415" t="s">
        <v>2510</v>
      </c>
      <c r="C34" s="635">
        <v>15415.9</v>
      </c>
      <c r="D34" s="426">
        <v>100</v>
      </c>
      <c r="E34" s="635">
        <f>土地案例!D3</f>
        <v>16627.21</v>
      </c>
      <c r="F34" s="426">
        <f>LOOKUP(E34,108:108,109:109)-LOOKUP(C34,108:108,109:109)+100</f>
        <v>100</v>
      </c>
      <c r="G34" s="635">
        <f>土地案例!D5</f>
        <v>19340</v>
      </c>
      <c r="H34" s="426">
        <f>LOOKUP(G34,108:108,109:109)-LOOKUP(C34,108:108,109:109)+100</f>
        <v>100</v>
      </c>
      <c r="I34" s="487">
        <f>土地案例!D6</f>
        <v>16697.47</v>
      </c>
      <c r="J34" s="426">
        <f>LOOKUP(I34,108:108,109:109)-LOOKUP(C34,108:108,109:109)+100</f>
        <v>100</v>
      </c>
      <c r="K34" s="570"/>
      <c r="L34" s="2920"/>
      <c r="M34" s="2914"/>
      <c r="N34" s="2914"/>
      <c r="O34" s="2972"/>
      <c r="P34" s="3464"/>
      <c r="Q34" s="1505" t="str">
        <f>B34</f>
        <v>宗地面积</v>
      </c>
      <c r="R34" s="714" t="s">
        <v>17</v>
      </c>
      <c r="S34" s="715">
        <f t="shared" si="10"/>
        <v>100</v>
      </c>
      <c r="T34" s="714" t="s">
        <v>17</v>
      </c>
      <c r="U34" s="715">
        <f t="shared" si="11"/>
        <v>100</v>
      </c>
      <c r="V34" s="714" t="s">
        <v>17</v>
      </c>
      <c r="W34" s="715">
        <f t="shared" si="12"/>
        <v>100</v>
      </c>
      <c r="X34" s="1508"/>
      <c r="Y34" s="3464"/>
      <c r="Z34" s="1509" t="str">
        <f t="shared" si="13"/>
        <v>宗地面积</v>
      </c>
      <c r="AA34" s="1506">
        <f t="shared" si="3"/>
        <v>1</v>
      </c>
      <c r="AB34" s="1506">
        <f t="shared" si="4"/>
        <v>1</v>
      </c>
      <c r="AC34" s="1506">
        <f t="shared" si="5"/>
        <v>1</v>
      </c>
    </row>
    <row r="35" spans="1:31" ht="15">
      <c r="A35" s="431"/>
      <c r="B35" s="381" t="s">
        <v>2511</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64"/>
      <c r="Q35" s="1505" t="str">
        <f t="shared" ref="Q35:Q40" si="14">B35</f>
        <v>宗地形状</v>
      </c>
      <c r="R35" s="714" t="s">
        <v>17</v>
      </c>
      <c r="S35" s="715">
        <f t="shared" si="10"/>
        <v>100</v>
      </c>
      <c r="T35" s="714" t="s">
        <v>17</v>
      </c>
      <c r="U35" s="715">
        <f t="shared" si="11"/>
        <v>100</v>
      </c>
      <c r="V35" s="714" t="s">
        <v>17</v>
      </c>
      <c r="W35" s="715">
        <f t="shared" si="12"/>
        <v>100</v>
      </c>
      <c r="X35" s="1508"/>
      <c r="Y35" s="3464"/>
      <c r="Z35" s="1509" t="str">
        <f t="shared" si="13"/>
        <v>宗地形状</v>
      </c>
      <c r="AA35" s="1506">
        <f t="shared" si="3"/>
        <v>1</v>
      </c>
      <c r="AB35" s="1506">
        <f t="shared" si="4"/>
        <v>1</v>
      </c>
      <c r="AC35" s="1506">
        <f t="shared" si="5"/>
        <v>1</v>
      </c>
    </row>
    <row r="36" spans="1:31" s="113" customFormat="1" ht="15">
      <c r="A36" s="432"/>
      <c r="B36" s="381" t="s">
        <v>2513</v>
      </c>
      <c r="C36" s="2135" t="s">
        <v>3244</v>
      </c>
      <c r="D36" s="132">
        <v>100</v>
      </c>
      <c r="E36" s="2135" t="s">
        <v>3243</v>
      </c>
      <c r="F36" s="394">
        <f>SUMIF(112:112,E36,113:113)-SUMIF(112:112,C36,113:113)+100</f>
        <v>101</v>
      </c>
      <c r="G36" s="2135" t="s">
        <v>3243</v>
      </c>
      <c r="H36" s="394">
        <f>SUMIF(112:112,G36,113:113)-SUMIF(112:112,C36,113:113)+100</f>
        <v>101</v>
      </c>
      <c r="I36" s="2135" t="s">
        <v>3243</v>
      </c>
      <c r="J36" s="394">
        <f>SUMIF(112:112,I36,113:113)-SUMIF(112:112,C36,113:113)+100</f>
        <v>101</v>
      </c>
      <c r="K36" s="569">
        <v>1</v>
      </c>
      <c r="L36" s="2915"/>
      <c r="M36" s="2916"/>
      <c r="N36" s="2916"/>
      <c r="O36" s="2970"/>
      <c r="P36" s="3464"/>
      <c r="Q36" s="1505" t="str">
        <f t="shared" si="14"/>
        <v>宗地开发程度</v>
      </c>
      <c r="R36" s="710" t="s">
        <v>17</v>
      </c>
      <c r="S36" s="711">
        <f t="shared" si="10"/>
        <v>101</v>
      </c>
      <c r="T36" s="710" t="s">
        <v>17</v>
      </c>
      <c r="U36" s="711">
        <f t="shared" si="11"/>
        <v>101</v>
      </c>
      <c r="V36" s="710" t="s">
        <v>17</v>
      </c>
      <c r="W36" s="711">
        <f t="shared" si="12"/>
        <v>101</v>
      </c>
      <c r="X36" s="712"/>
      <c r="Y36" s="3464"/>
      <c r="Z36" s="55" t="str">
        <f t="shared" si="13"/>
        <v>宗地开发程度</v>
      </c>
      <c r="AA36" s="713">
        <f t="shared" si="3"/>
        <v>0.99009900990099009</v>
      </c>
      <c r="AB36" s="713">
        <f t="shared" si="4"/>
        <v>0.99009900990099009</v>
      </c>
      <c r="AC36" s="713">
        <f t="shared" si="5"/>
        <v>0.99009900990099009</v>
      </c>
    </row>
    <row r="37" spans="1:31" ht="15.75" thickBot="1">
      <c r="A37" s="431"/>
      <c r="B37" s="381" t="s">
        <v>2514</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64" t="s">
        <v>2324</v>
      </c>
      <c r="Q37" s="1505" t="str">
        <f t="shared" si="14"/>
        <v>工程地质条件</v>
      </c>
      <c r="R37" s="714" t="s">
        <v>17</v>
      </c>
      <c r="S37" s="715">
        <f t="shared" si="10"/>
        <v>100</v>
      </c>
      <c r="T37" s="714" t="s">
        <v>17</v>
      </c>
      <c r="U37" s="715">
        <f t="shared" si="11"/>
        <v>100</v>
      </c>
      <c r="V37" s="714" t="s">
        <v>17</v>
      </c>
      <c r="W37" s="715">
        <f t="shared" si="12"/>
        <v>100</v>
      </c>
      <c r="X37" s="1508"/>
      <c r="Y37" s="3464" t="s">
        <v>2324</v>
      </c>
      <c r="Z37" s="1509" t="str">
        <f t="shared" si="13"/>
        <v>工程地质条件</v>
      </c>
      <c r="AA37" s="1506">
        <f t="shared" si="3"/>
        <v>1</v>
      </c>
      <c r="AB37" s="1506">
        <f t="shared" si="4"/>
        <v>1</v>
      </c>
      <c r="AC37" s="1506">
        <f t="shared" si="5"/>
        <v>1</v>
      </c>
    </row>
    <row r="38" spans="1:31" ht="15" hidden="1">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64"/>
      <c r="Q38" s="1505">
        <f t="shared" si="14"/>
        <v>111</v>
      </c>
      <c r="R38" s="714" t="s">
        <v>17</v>
      </c>
      <c r="S38" s="715">
        <f t="shared" si="10"/>
        <v>100</v>
      </c>
      <c r="T38" s="714" t="s">
        <v>17</v>
      </c>
      <c r="U38" s="715">
        <f t="shared" si="11"/>
        <v>100</v>
      </c>
      <c r="V38" s="714" t="s">
        <v>17</v>
      </c>
      <c r="W38" s="715">
        <f t="shared" si="12"/>
        <v>100</v>
      </c>
      <c r="X38" s="1508"/>
      <c r="Y38" s="3464"/>
      <c r="Z38" s="1509">
        <f t="shared" si="13"/>
        <v>111</v>
      </c>
      <c r="AA38" s="1506">
        <f t="shared" si="3"/>
        <v>1</v>
      </c>
      <c r="AB38" s="1506">
        <f t="shared" si="4"/>
        <v>1</v>
      </c>
      <c r="AC38" s="1506">
        <f t="shared" si="5"/>
        <v>1</v>
      </c>
    </row>
    <row r="39" spans="1:31" ht="15" hidden="1">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64"/>
      <c r="Q39" s="1505">
        <f t="shared" si="14"/>
        <v>111</v>
      </c>
      <c r="R39" s="714" t="s">
        <v>17</v>
      </c>
      <c r="S39" s="715">
        <f t="shared" si="10"/>
        <v>100</v>
      </c>
      <c r="T39" s="714" t="s">
        <v>17</v>
      </c>
      <c r="U39" s="715">
        <f t="shared" si="11"/>
        <v>100</v>
      </c>
      <c r="V39" s="714" t="s">
        <v>17</v>
      </c>
      <c r="W39" s="715">
        <f t="shared" si="12"/>
        <v>100</v>
      </c>
      <c r="X39" s="1508"/>
      <c r="Y39" s="3464"/>
      <c r="Z39" s="1509">
        <f t="shared" si="13"/>
        <v>111</v>
      </c>
      <c r="AA39" s="1506">
        <f t="shared" si="3"/>
        <v>1</v>
      </c>
      <c r="AB39" s="1506">
        <f t="shared" si="4"/>
        <v>1</v>
      </c>
      <c r="AC39" s="1506">
        <f t="shared" si="5"/>
        <v>1</v>
      </c>
    </row>
    <row r="40" spans="1:31" s="430" customFormat="1" ht="15.75" hidden="1"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64"/>
      <c r="Q40" s="1505">
        <f t="shared" si="14"/>
        <v>111</v>
      </c>
      <c r="R40" s="717" t="s">
        <v>17</v>
      </c>
      <c r="S40" s="718">
        <f t="shared" si="10"/>
        <v>100</v>
      </c>
      <c r="T40" s="717" t="s">
        <v>17</v>
      </c>
      <c r="U40" s="718">
        <f t="shared" si="11"/>
        <v>100</v>
      </c>
      <c r="V40" s="717" t="s">
        <v>17</v>
      </c>
      <c r="W40" s="718">
        <f t="shared" si="12"/>
        <v>100</v>
      </c>
      <c r="X40" s="719"/>
      <c r="Y40" s="3464"/>
      <c r="Z40" s="720">
        <f t="shared" si="13"/>
        <v>111</v>
      </c>
      <c r="AA40" s="1506">
        <f t="shared" si="3"/>
        <v>1</v>
      </c>
      <c r="AB40" s="1506">
        <f t="shared" si="4"/>
        <v>1</v>
      </c>
      <c r="AC40" s="1506">
        <f t="shared" si="5"/>
        <v>1</v>
      </c>
    </row>
    <row r="41" spans="1:31" ht="15">
      <c r="A41" s="438" t="s">
        <v>2479</v>
      </c>
      <c r="B41" s="2137" t="s">
        <v>3258</v>
      </c>
      <c r="C41" s="638" t="s">
        <v>1</v>
      </c>
      <c r="D41" s="440"/>
      <c r="E41" s="441">
        <f>土地案例!S3</f>
        <v>4669</v>
      </c>
      <c r="F41" s="442"/>
      <c r="G41" s="443">
        <f>土地案例!S5</f>
        <v>4528</v>
      </c>
      <c r="H41" s="444"/>
      <c r="I41" s="441">
        <f>土地案例!S6</f>
        <v>4528</v>
      </c>
      <c r="J41" s="444"/>
      <c r="K41" s="723"/>
      <c r="L41" s="2922"/>
      <c r="M41" s="2914"/>
      <c r="N41" s="2914"/>
      <c r="O41" s="2923"/>
      <c r="P41" s="3457" t="str">
        <f>A41</f>
        <v>成交单价</v>
      </c>
      <c r="Q41" s="3457"/>
      <c r="R41" s="3488">
        <f>E41</f>
        <v>4669</v>
      </c>
      <c r="S41" s="3488"/>
      <c r="T41" s="3488">
        <f>G41</f>
        <v>4528</v>
      </c>
      <c r="U41" s="3488"/>
      <c r="V41" s="3488">
        <f>I41</f>
        <v>4528</v>
      </c>
      <c r="W41" s="3488"/>
      <c r="X41" s="699"/>
      <c r="Y41" s="721"/>
      <c r="Z41" s="699"/>
      <c r="AA41" s="699"/>
      <c r="AB41" s="699"/>
      <c r="AC41" s="699"/>
    </row>
    <row r="42" spans="1:31" ht="15.75" thickBot="1">
      <c r="A42" s="445" t="s">
        <v>2428</v>
      </c>
      <c r="B42" s="639"/>
      <c r="C42" s="448">
        <f>R43</f>
        <v>3960</v>
      </c>
      <c r="D42" s="2507" t="s">
        <v>2816</v>
      </c>
      <c r="E42" s="448">
        <f>R42</f>
        <v>3946</v>
      </c>
      <c r="F42" s="2508"/>
      <c r="G42" s="447">
        <f>T42</f>
        <v>3946</v>
      </c>
      <c r="H42" s="2508"/>
      <c r="I42" s="448">
        <f>V42</f>
        <v>3988</v>
      </c>
      <c r="J42" s="2508"/>
      <c r="K42" s="2510">
        <f>F42+H42+J42</f>
        <v>0</v>
      </c>
      <c r="L42" s="2922"/>
      <c r="M42" s="2914"/>
      <c r="N42" s="2914"/>
      <c r="O42" s="2923"/>
      <c r="P42" s="3457" t="str">
        <f>A42</f>
        <v>比较价值（元/平方米）</v>
      </c>
      <c r="Q42" s="3457"/>
      <c r="R42" s="3517">
        <f>ROUND(PRODUCT(R41,AA7:AA40),0)</f>
        <v>3946</v>
      </c>
      <c r="S42" s="3517"/>
      <c r="T42" s="3517">
        <f>ROUND(PRODUCT(T41,AB7:AB40),0)</f>
        <v>3946</v>
      </c>
      <c r="U42" s="3517"/>
      <c r="V42" s="3517">
        <f>ROUND(PRODUCT(V41,AC7:AC40),0)</f>
        <v>3988</v>
      </c>
      <c r="W42" s="3517"/>
      <c r="X42" s="699"/>
      <c r="Y42" s="699"/>
      <c r="Z42" s="699"/>
      <c r="AA42" s="699"/>
      <c r="AB42" s="699"/>
      <c r="AC42" s="699"/>
    </row>
    <row r="43" spans="1:31" ht="15.75" thickBot="1">
      <c r="A43" s="449" t="s">
        <v>2429</v>
      </c>
      <c r="B43" s="450"/>
      <c r="C43" s="451">
        <f>R43</f>
        <v>3960</v>
      </c>
      <c r="D43" s="451"/>
      <c r="E43" s="451"/>
      <c r="F43" s="451"/>
      <c r="G43" s="451"/>
      <c r="H43" s="451"/>
      <c r="I43" s="451"/>
      <c r="J43" s="451"/>
      <c r="K43" s="724"/>
      <c r="L43" s="2922"/>
      <c r="M43" s="2914"/>
      <c r="N43" s="2914"/>
      <c r="O43" s="2923"/>
      <c r="P43" s="3454" t="str">
        <f>A43</f>
        <v>估价对象XX用房的比较价值（楼面单价，元/平方米）</v>
      </c>
      <c r="Q43" s="3455"/>
      <c r="R43" s="3518">
        <f>ROUND(IF(D42="简单平均",AVERAGE(R42:W42),R42*F42+T42*H42+V42*J42),0)</f>
        <v>3960</v>
      </c>
      <c r="S43" s="3518"/>
      <c r="T43" s="3518"/>
      <c r="U43" s="3518"/>
      <c r="V43" s="3518"/>
      <c r="W43" s="3518"/>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2430</v>
      </c>
      <c r="D46" s="455"/>
      <c r="E46" s="456">
        <f>IF(E41&lt;E42,E42/E41-1,E41/E42-1)</f>
        <v>0.18322351748606192</v>
      </c>
      <c r="F46" s="457" t="str">
        <f>IF(OR(E46&gt;=0.3,E46&lt;=-0.3),"超过30%","")</f>
        <v/>
      </c>
      <c r="G46" s="456">
        <f>IF(G41&lt;G42,G42/G41-1,G41/G42-1)</f>
        <v>0.14749113025848959</v>
      </c>
      <c r="H46" s="457" t="str">
        <f>IF(OR(G46&gt;=0.3,G46&lt;=-0.3),"超过30%","")</f>
        <v/>
      </c>
      <c r="I46" s="456">
        <f>IF(I41&lt;I42,I42/I41-1,I41/I42-1)</f>
        <v>0.13540621865596791</v>
      </c>
      <c r="J46" s="457" t="str">
        <f>IF(OR(I46&gt;=0.3,I46&lt;=-0.3),"超过30%","")</f>
        <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2431</v>
      </c>
      <c r="D47" s="458"/>
      <c r="E47" s="456">
        <f>IF(E42&lt;G42,G42/E42-1,E42/G42-1)</f>
        <v>0</v>
      </c>
      <c r="F47" s="457" t="str">
        <f>IF(OR(E47&gt;=0.2,E47&lt;=-0.2),"超过20%","")</f>
        <v/>
      </c>
      <c r="G47" s="456">
        <f>IF(G42&lt;I42,I42/G42-1,G42/I42-1)</f>
        <v>1.0643689812468216E-2</v>
      </c>
      <c r="H47" s="457" t="str">
        <f>IF(OR(G47&gt;=0.2,G47&lt;=-0.2),"超过20%","")</f>
        <v/>
      </c>
      <c r="I47" s="456">
        <f>IF(I42&lt;E42,E42/I42-1,I42/E42-1)</f>
        <v>1.0643689812468216E-2</v>
      </c>
      <c r="J47" s="457" t="str">
        <f>IF(OR(I47&gt;=0.2,I47&lt;=-0.2),"超过20%","")</f>
        <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2432</v>
      </c>
      <c r="D48" s="458"/>
      <c r="E48" s="456">
        <f>IF(E41&lt;G41,G41/E41-1,E41/G41-1)</f>
        <v>3.1139575971731448E-2</v>
      </c>
      <c r="F48" s="457" t="str">
        <f>IF(OR(E48&gt;=0.3,E48&lt;=-0.3),"超过30%","")</f>
        <v/>
      </c>
      <c r="G48" s="456">
        <f>IF(G41&lt;I41,I41/G41-1,G41/I41-1)</f>
        <v>0</v>
      </c>
      <c r="H48" s="457" t="str">
        <f>IF(OR(G48&gt;=0.3,G48&lt;=-0.3),"超过30%","")</f>
        <v/>
      </c>
      <c r="I48" s="456">
        <f>IF(I41&lt;E41,E41/I41-1,I41/E41-1)</f>
        <v>3.1139575971731448E-2</v>
      </c>
      <c r="J48" s="457" t="str">
        <f>IF(OR(I48&gt;=0.3,I48&lt;=-0.3),"超过30%","")</f>
        <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2517</v>
      </c>
      <c r="B50" s="641" t="s">
        <v>2518</v>
      </c>
      <c r="C50" s="2138" t="s">
        <v>2519</v>
      </c>
      <c r="D50" s="2139" t="s">
        <v>2520</v>
      </c>
      <c r="E50" s="642" t="s">
        <v>2521</v>
      </c>
      <c r="F50" s="643" t="s">
        <v>2522</v>
      </c>
      <c r="G50" s="3472" t="s">
        <v>2523</v>
      </c>
      <c r="H50" s="3519"/>
      <c r="I50" s="1509" t="s">
        <v>2559</v>
      </c>
      <c r="J50" s="1509">
        <f>项目基本情况!F35</f>
        <v>0</v>
      </c>
      <c r="K50" s="2141" t="s">
        <v>2525</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2526</v>
      </c>
      <c r="B51" s="645">
        <f>C43</f>
        <v>3960</v>
      </c>
      <c r="C51" s="646">
        <v>1</v>
      </c>
      <c r="D51" s="1075">
        <v>1</v>
      </c>
      <c r="E51" s="646">
        <f>'数据-汇总表'!E8+'数据-汇总表'!E9</f>
        <v>4363.97</v>
      </c>
      <c r="F51" s="647">
        <f t="shared" ref="F51:F60" si="15">ROUND(B51*E51/10000,0)</f>
        <v>1728</v>
      </c>
      <c r="G51" s="3468"/>
      <c r="H51" s="3457"/>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2527</v>
      </c>
      <c r="B52" s="224">
        <f>ROUND($C$43*C52*D52,0)</f>
        <v>0</v>
      </c>
      <c r="C52" s="176">
        <f t="shared" ref="C52:C60" si="16">IF($C$50="北京市系数",I52,J52)</f>
        <v>0</v>
      </c>
      <c r="D52" s="1076">
        <v>0.25</v>
      </c>
      <c r="E52" s="650"/>
      <c r="F52" s="647">
        <f t="shared" si="15"/>
        <v>0</v>
      </c>
      <c r="G52" s="3520" t="s">
        <v>2528</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2529</v>
      </c>
      <c r="B53" s="224">
        <f t="shared" ref="B53:B60" si="17">ROUND($C$43*C53*D53,0)</f>
        <v>0</v>
      </c>
      <c r="C53" s="176">
        <f t="shared" si="16"/>
        <v>0</v>
      </c>
      <c r="D53" s="1076">
        <v>0.25</v>
      </c>
      <c r="E53" s="650"/>
      <c r="F53" s="647">
        <f t="shared" si="15"/>
        <v>0</v>
      </c>
      <c r="G53" s="3520"/>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2530</v>
      </c>
      <c r="B54" s="224">
        <f t="shared" si="17"/>
        <v>0</v>
      </c>
      <c r="C54" s="176">
        <f t="shared" si="16"/>
        <v>0</v>
      </c>
      <c r="D54" s="1076">
        <v>0.25</v>
      </c>
      <c r="E54" s="650"/>
      <c r="F54" s="647">
        <f t="shared" si="15"/>
        <v>0</v>
      </c>
      <c r="G54" s="3520"/>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2531</v>
      </c>
      <c r="B55" s="224">
        <f t="shared" si="17"/>
        <v>0</v>
      </c>
      <c r="C55" s="176">
        <f t="shared" si="16"/>
        <v>0</v>
      </c>
      <c r="D55" s="1076">
        <v>0.25</v>
      </c>
      <c r="E55" s="650"/>
      <c r="F55" s="647">
        <f t="shared" si="15"/>
        <v>0</v>
      </c>
      <c r="G55" s="3520"/>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2532</v>
      </c>
      <c r="B56" s="224">
        <f t="shared" si="17"/>
        <v>0</v>
      </c>
      <c r="C56" s="176">
        <f t="shared" si="16"/>
        <v>0</v>
      </c>
      <c r="D56" s="1076">
        <v>0.25</v>
      </c>
      <c r="E56" s="223">
        <f>'数据-汇总表'!E11</f>
        <v>0</v>
      </c>
      <c r="F56" s="647">
        <f t="shared" si="15"/>
        <v>0</v>
      </c>
      <c r="G56" s="2142" t="s">
        <v>2533</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2534</v>
      </c>
      <c r="B57" s="224">
        <f t="shared" si="17"/>
        <v>0</v>
      </c>
      <c r="C57" s="176">
        <f t="shared" si="16"/>
        <v>0</v>
      </c>
      <c r="D57" s="1076">
        <v>0.25</v>
      </c>
      <c r="E57" s="223">
        <f>'数据-汇总表'!E12</f>
        <v>0</v>
      </c>
      <c r="F57" s="647">
        <f t="shared" si="15"/>
        <v>0</v>
      </c>
      <c r="G57" s="1023" t="s">
        <v>2535</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2536</v>
      </c>
      <c r="B58" s="224">
        <f t="shared" si="17"/>
        <v>0</v>
      </c>
      <c r="C58" s="176">
        <f t="shared" si="16"/>
        <v>0</v>
      </c>
      <c r="D58" s="1076">
        <v>0.25</v>
      </c>
      <c r="E58" s="223">
        <f>'数据-汇总表'!E13</f>
        <v>8266.82</v>
      </c>
      <c r="F58" s="647">
        <f t="shared" si="15"/>
        <v>0</v>
      </c>
      <c r="G58" s="1023" t="s">
        <v>2537</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2538</v>
      </c>
      <c r="B59" s="224">
        <f t="shared" si="17"/>
        <v>0</v>
      </c>
      <c r="C59" s="176">
        <f t="shared" si="16"/>
        <v>0</v>
      </c>
      <c r="D59" s="1076">
        <v>0.25</v>
      </c>
      <c r="E59" s="223">
        <f>'数据-汇总表'!E14</f>
        <v>0</v>
      </c>
      <c r="F59" s="647">
        <f t="shared" si="15"/>
        <v>0</v>
      </c>
      <c r="G59" s="2142" t="s">
        <v>2528</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2539</v>
      </c>
      <c r="B60" s="224">
        <f t="shared" si="17"/>
        <v>0</v>
      </c>
      <c r="C60" s="176">
        <f t="shared" si="16"/>
        <v>0</v>
      </c>
      <c r="D60" s="1076">
        <v>0.25</v>
      </c>
      <c r="E60" s="223">
        <f>'数据-汇总表'!E15</f>
        <v>0</v>
      </c>
      <c r="F60" s="647">
        <f t="shared" si="15"/>
        <v>0</v>
      </c>
      <c r="G60" s="2143" t="s">
        <v>2533</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2540</v>
      </c>
      <c r="B61" s="652" t="s">
        <v>28</v>
      </c>
      <c r="C61" s="652" t="s">
        <v>29</v>
      </c>
      <c r="D61" s="652" t="s">
        <v>997</v>
      </c>
      <c r="E61" s="652">
        <f>IF(B41="楼面地价",SUM(E51:E60),'数据-汇总表'!D3)</f>
        <v>15415.9</v>
      </c>
      <c r="F61" s="653">
        <f>IF(B41="楼面地价",SUM(F51:F60),ROUND(C43*E61/10000,0))</f>
        <v>6105</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1.75" thickBot="1">
      <c r="A64" s="703" t="s">
        <v>2433</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2541</v>
      </c>
      <c r="B65" s="1241"/>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2560</v>
      </c>
      <c r="B66" s="294" t="str">
        <f>"北京市平均增长率"&amp;TEXT(基准地价修正!P24,"0.00%")</f>
        <v>北京市平均增长率1.18%</v>
      </c>
      <c r="C66" s="560">
        <v>100</v>
      </c>
      <c r="D66" s="552">
        <v>99.5</v>
      </c>
      <c r="E66" s="552">
        <v>99</v>
      </c>
      <c r="F66" s="552">
        <v>98.5</v>
      </c>
      <c r="G66" s="552">
        <v>98</v>
      </c>
      <c r="H66" s="552">
        <v>97.5</v>
      </c>
      <c r="I66" s="552">
        <v>97</v>
      </c>
      <c r="J66" s="552">
        <v>96.5</v>
      </c>
      <c r="K66" s="552">
        <v>96</v>
      </c>
      <c r="L66" s="552">
        <v>95.5</v>
      </c>
      <c r="M66" s="552">
        <v>95</v>
      </c>
      <c r="N66" s="552">
        <v>94.5</v>
      </c>
      <c r="O66" s="552">
        <v>94</v>
      </c>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2344</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2309</v>
      </c>
      <c r="B68" s="467"/>
      <c r="C68" s="479" t="s">
        <v>2411</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2347</v>
      </c>
      <c r="B70" s="485" t="s">
        <v>2313</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2316</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2317</v>
      </c>
      <c r="C74" s="504" t="str">
        <f>C75&amp;"（含）"&amp;"-"&amp;D75</f>
        <v>0（含）-1</v>
      </c>
      <c r="D74" s="504" t="str">
        <f t="shared" ref="D74:L74" si="20">D75&amp;"（含）"&amp;"-"&amp;E75</f>
        <v>1（含）-1.5</v>
      </c>
      <c r="E74" s="504" t="str">
        <f t="shared" si="20"/>
        <v>1.5（含）-2</v>
      </c>
      <c r="F74" s="504" t="str">
        <f t="shared" si="20"/>
        <v>2（含）-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v>0</v>
      </c>
      <c r="D75" s="506">
        <v>1</v>
      </c>
      <c r="E75" s="506">
        <v>1.5</v>
      </c>
      <c r="F75" s="506">
        <v>2</v>
      </c>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105</v>
      </c>
      <c r="E76" s="501">
        <f t="shared" ref="E76:M76" si="21">IF($B$41="单位面积地价",D76+$K11,D76-$K11)</f>
        <v>110</v>
      </c>
      <c r="F76" s="501">
        <f t="shared" si="21"/>
        <v>115</v>
      </c>
      <c r="G76" s="501">
        <f t="shared" si="21"/>
        <v>120</v>
      </c>
      <c r="H76" s="501">
        <f t="shared" si="21"/>
        <v>125</v>
      </c>
      <c r="I76" s="501">
        <f t="shared" si="21"/>
        <v>130</v>
      </c>
      <c r="J76" s="501">
        <f t="shared" si="21"/>
        <v>135</v>
      </c>
      <c r="K76" s="501">
        <f t="shared" si="21"/>
        <v>140</v>
      </c>
      <c r="L76" s="501">
        <f t="shared" si="21"/>
        <v>145</v>
      </c>
      <c r="M76" s="501">
        <f t="shared" si="21"/>
        <v>150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2318</v>
      </c>
      <c r="B83" s="485" t="s">
        <v>2464</v>
      </c>
      <c r="C83" s="530" t="s">
        <v>2356</v>
      </c>
      <c r="D83" s="530" t="s">
        <v>2357</v>
      </c>
      <c r="E83" s="530" t="s">
        <v>2358</v>
      </c>
      <c r="F83" s="530" t="s">
        <v>2359</v>
      </c>
      <c r="G83" s="530" t="s">
        <v>2360</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98</v>
      </c>
      <c r="E84" s="501">
        <f>D84-$K15</f>
        <v>96</v>
      </c>
      <c r="F84" s="501">
        <f>E84-$K15</f>
        <v>94</v>
      </c>
      <c r="G84" s="501">
        <f>F84-$K15</f>
        <v>92</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2361</v>
      </c>
      <c r="C85" s="535" t="s">
        <v>2356</v>
      </c>
      <c r="D85" s="535" t="s">
        <v>2357</v>
      </c>
      <c r="E85" s="535" t="s">
        <v>2358</v>
      </c>
      <c r="F85" s="535" t="s">
        <v>2359</v>
      </c>
      <c r="G85" s="535" t="s">
        <v>2360</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99</v>
      </c>
      <c r="E86" s="501">
        <f>D86-$K17</f>
        <v>98</v>
      </c>
      <c r="F86" s="501">
        <f>E86-$K17</f>
        <v>97</v>
      </c>
      <c r="G86" s="501">
        <f>F86-$K17</f>
        <v>96</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2450</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2509</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ht="28.5">
      <c r="A107" s="484" t="s">
        <v>2322</v>
      </c>
      <c r="B107" s="485" t="s">
        <v>2550</v>
      </c>
      <c r="C107" s="486" t="str">
        <f t="shared" ref="C107:L107" si="25">C108&amp;"(含)"&amp;"-"&amp;D108</f>
        <v>0(含)-20000</v>
      </c>
      <c r="D107" s="486" t="str">
        <f t="shared" si="25"/>
        <v>20000(含)-40000</v>
      </c>
      <c r="E107" s="486" t="str">
        <f t="shared" si="25"/>
        <v>40000(含)-60000</v>
      </c>
      <c r="F107" s="486" t="str">
        <f t="shared" si="25"/>
        <v>60000(含)-80000</v>
      </c>
      <c r="G107" s="486" t="str">
        <f t="shared" si="25"/>
        <v>80000(含)-100000</v>
      </c>
      <c r="H107" s="486" t="str">
        <f t="shared" si="25"/>
        <v>100000(含)-</v>
      </c>
      <c r="I107" s="486" t="str">
        <f t="shared" si="25"/>
        <v>(含)-</v>
      </c>
      <c r="J107" s="486" t="str">
        <f t="shared" si="25"/>
        <v>(含)-</v>
      </c>
      <c r="K107" s="1472" t="str">
        <f t="shared" si="25"/>
        <v>(含)-</v>
      </c>
      <c r="L107" s="1472" t="str">
        <f t="shared" si="25"/>
        <v>(含)-</v>
      </c>
      <c r="M107" s="1473"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v>0</v>
      </c>
      <c r="D108" s="552">
        <v>20000</v>
      </c>
      <c r="E108" s="552">
        <v>40000</v>
      </c>
      <c r="F108" s="552">
        <v>60000</v>
      </c>
      <c r="G108" s="552">
        <v>80000</v>
      </c>
      <c r="H108" s="552">
        <v>100000</v>
      </c>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v>100</v>
      </c>
      <c r="D109" s="548">
        <v>102</v>
      </c>
      <c r="E109" s="527">
        <v>104</v>
      </c>
      <c r="F109" s="548">
        <v>106</v>
      </c>
      <c r="G109" s="527">
        <v>108</v>
      </c>
      <c r="H109" s="548">
        <v>110</v>
      </c>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2551</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2553</v>
      </c>
      <c r="C112" s="511" t="s">
        <v>3243</v>
      </c>
      <c r="D112" s="511" t="s">
        <v>3244</v>
      </c>
      <c r="E112" s="511" t="s">
        <v>3246</v>
      </c>
      <c r="F112" s="511" t="s">
        <v>3247</v>
      </c>
      <c r="G112" s="511" t="s">
        <v>3248</v>
      </c>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99</v>
      </c>
      <c r="E113" s="501">
        <f t="shared" si="27"/>
        <v>98</v>
      </c>
      <c r="F113" s="501">
        <f t="shared" si="27"/>
        <v>97</v>
      </c>
      <c r="G113" s="501">
        <f t="shared" si="27"/>
        <v>96</v>
      </c>
      <c r="H113" s="501">
        <f t="shared" si="27"/>
        <v>95</v>
      </c>
      <c r="I113" s="501">
        <f t="shared" si="27"/>
        <v>94</v>
      </c>
      <c r="J113" s="501">
        <f t="shared" si="27"/>
        <v>93</v>
      </c>
      <c r="K113" s="501">
        <f t="shared" si="27"/>
        <v>92</v>
      </c>
      <c r="L113" s="501">
        <f t="shared" si="27"/>
        <v>91</v>
      </c>
      <c r="M113" s="502">
        <f t="shared" si="27"/>
        <v>90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2554</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N1" workbookViewId="0">
      <selection activeCell="S4" sqref="S4"/>
    </sheetView>
  </sheetViews>
  <sheetFormatPr defaultColWidth="8" defaultRowHeight="12.75"/>
  <cols>
    <col min="1" max="1" width="28.5" style="3224" customWidth="1"/>
    <col min="2" max="2" width="6.25" style="3224" customWidth="1"/>
    <col min="3" max="3" width="7.875" style="3224" customWidth="1"/>
    <col min="4" max="4" width="9.75" style="3224" customWidth="1"/>
    <col min="5" max="5" width="10.375" style="3224" customWidth="1"/>
    <col min="6" max="6" width="6.375" style="3224" customWidth="1"/>
    <col min="7" max="7" width="6.625" style="3224" customWidth="1"/>
    <col min="8" max="8" width="17" style="3224" customWidth="1"/>
    <col min="9" max="9" width="4.25" style="3224" customWidth="1"/>
    <col min="10" max="10" width="9" style="3224" customWidth="1"/>
    <col min="11" max="11" width="13.25" style="3224" customWidth="1"/>
    <col min="12" max="12" width="10.625" style="3224" customWidth="1"/>
    <col min="13" max="13" width="8.5" style="3224" customWidth="1"/>
    <col min="14" max="15" width="8" style="3224" customWidth="1"/>
    <col min="16" max="16" width="6.25" style="3224" customWidth="1"/>
    <col min="17" max="18" width="7.875" style="3224" customWidth="1"/>
    <col min="19" max="19" width="12.875" style="3224" customWidth="1"/>
    <col min="20" max="16384" width="8" style="3224"/>
  </cols>
  <sheetData>
    <row r="1" spans="1:26">
      <c r="A1" s="3224" t="s">
        <v>3166</v>
      </c>
      <c r="B1" s="3224" t="s">
        <v>3167</v>
      </c>
      <c r="C1" s="3224" t="s">
        <v>3168</v>
      </c>
      <c r="D1" s="3224" t="s">
        <v>3169</v>
      </c>
      <c r="E1" s="3224" t="s">
        <v>3170</v>
      </c>
      <c r="F1" s="3224" t="s">
        <v>3171</v>
      </c>
      <c r="G1" s="3224" t="s">
        <v>3172</v>
      </c>
      <c r="H1" s="3224" t="s">
        <v>3173</v>
      </c>
      <c r="I1" s="3224" t="s">
        <v>3174</v>
      </c>
      <c r="J1" s="3224" t="s">
        <v>3175</v>
      </c>
      <c r="K1" s="3224" t="s">
        <v>3176</v>
      </c>
      <c r="L1" s="3224" t="s">
        <v>3177</v>
      </c>
      <c r="M1" s="3224" t="s">
        <v>3178</v>
      </c>
      <c r="N1" s="3224" t="s">
        <v>3179</v>
      </c>
      <c r="O1" s="3225" t="s">
        <v>3180</v>
      </c>
      <c r="P1" s="3224" t="s">
        <v>3181</v>
      </c>
      <c r="Q1" s="3224" t="s">
        <v>3182</v>
      </c>
      <c r="R1" s="3224" t="s">
        <v>3183</v>
      </c>
      <c r="S1" s="3224" t="s">
        <v>3184</v>
      </c>
      <c r="T1" s="3224" t="s">
        <v>3249</v>
      </c>
    </row>
    <row r="2" spans="1:26">
      <c r="A2" s="3224" t="s">
        <v>3185</v>
      </c>
      <c r="B2" s="3224" t="s">
        <v>3115</v>
      </c>
      <c r="C2" s="3224" t="s">
        <v>3186</v>
      </c>
      <c r="D2" s="3224">
        <v>13991.5</v>
      </c>
      <c r="E2" s="3224">
        <v>22386</v>
      </c>
      <c r="F2" s="3224" t="s">
        <v>3187</v>
      </c>
      <c r="G2" s="3224" t="s">
        <v>3188</v>
      </c>
      <c r="H2" s="3224" t="s">
        <v>3189</v>
      </c>
      <c r="I2" s="3224">
        <v>0</v>
      </c>
      <c r="J2" s="3224" t="s">
        <v>3190</v>
      </c>
      <c r="K2" s="3224" t="s">
        <v>3191</v>
      </c>
      <c r="L2" s="3224">
        <v>1811.02</v>
      </c>
      <c r="M2" s="3224">
        <v>86.29</v>
      </c>
      <c r="N2" s="3224">
        <v>809</v>
      </c>
      <c r="O2" s="3224">
        <f>ROUND(L2*10000/D2,0)</f>
        <v>1294</v>
      </c>
      <c r="P2" s="3224">
        <v>0</v>
      </c>
      <c r="Q2" s="3224" t="s">
        <v>3192</v>
      </c>
      <c r="R2" s="3224" t="s">
        <v>3193</v>
      </c>
      <c r="S2" s="3224">
        <v>1.5189999999999999</v>
      </c>
      <c r="V2" s="3224" t="s">
        <v>3254</v>
      </c>
      <c r="W2" s="3224" t="s">
        <v>3255</v>
      </c>
      <c r="Y2" s="3224" t="s">
        <v>3256</v>
      </c>
      <c r="Z2" s="3224" t="s">
        <v>3257</v>
      </c>
    </row>
    <row r="3" spans="1:26" s="3226" customFormat="1">
      <c r="A3" s="3226" t="s">
        <v>3194</v>
      </c>
      <c r="B3" s="3226" t="s">
        <v>3115</v>
      </c>
      <c r="C3" s="3226" t="s">
        <v>3186</v>
      </c>
      <c r="D3" s="3226">
        <v>16627.21</v>
      </c>
      <c r="E3" s="3226">
        <v>29928.97</v>
      </c>
      <c r="F3" s="3226" t="s">
        <v>3195</v>
      </c>
      <c r="G3" s="3226" t="s">
        <v>3188</v>
      </c>
      <c r="H3" s="3226" t="s">
        <v>3189</v>
      </c>
      <c r="I3" s="3226">
        <v>0</v>
      </c>
      <c r="J3" s="3226" t="s">
        <v>3190</v>
      </c>
      <c r="K3" s="3226" t="s">
        <v>3196</v>
      </c>
      <c r="L3" s="3226">
        <v>5111.8599999999997</v>
      </c>
      <c r="M3" s="3226">
        <v>204.96</v>
      </c>
      <c r="N3" s="3226">
        <v>1708</v>
      </c>
      <c r="O3" s="3226">
        <f t="shared" ref="O3:O16" si="0">ROUND(L3*10000/D3,0)</f>
        <v>3074</v>
      </c>
      <c r="P3" s="3226">
        <v>0</v>
      </c>
      <c r="Q3" s="3226" t="s">
        <v>3192</v>
      </c>
      <c r="R3" s="3226" t="s">
        <v>3193</v>
      </c>
      <c r="S3" s="3226">
        <f>ROUND(O3*S2,0)</f>
        <v>4669</v>
      </c>
      <c r="T3" s="3226">
        <f>ROUND(N3*S2,0)</f>
        <v>2594</v>
      </c>
      <c r="V3" s="3226">
        <v>0.84179999999999999</v>
      </c>
      <c r="W3" s="3226">
        <v>1.1117999999999999</v>
      </c>
      <c r="X3" s="3226">
        <f>W3/V3</f>
        <v>1.3207412687099072</v>
      </c>
      <c r="Y3" s="3226">
        <f>ROUND(T3*X3,0)</f>
        <v>3426</v>
      </c>
      <c r="Z3" s="3226">
        <f>ROUND(S3/X3,0)</f>
        <v>3535</v>
      </c>
    </row>
    <row r="4" spans="1:26">
      <c r="A4" s="3224" t="s">
        <v>3197</v>
      </c>
      <c r="B4" s="3224" t="s">
        <v>3115</v>
      </c>
      <c r="C4" s="3224" t="s">
        <v>3186</v>
      </c>
      <c r="D4" s="3224">
        <v>100000</v>
      </c>
      <c r="E4" s="3224">
        <v>200000</v>
      </c>
      <c r="F4" s="3224" t="s">
        <v>3198</v>
      </c>
      <c r="G4" s="3224" t="s">
        <v>3188</v>
      </c>
      <c r="H4" s="3224" t="s">
        <v>3199</v>
      </c>
      <c r="I4" s="3224">
        <v>0</v>
      </c>
      <c r="J4" s="3224" t="s">
        <v>3200</v>
      </c>
      <c r="K4" s="3224" t="s">
        <v>3201</v>
      </c>
      <c r="L4" s="3224">
        <v>13020</v>
      </c>
      <c r="M4" s="3224">
        <v>86.8</v>
      </c>
      <c r="N4" s="3224">
        <v>651</v>
      </c>
      <c r="O4" s="3224">
        <f t="shared" si="0"/>
        <v>1302</v>
      </c>
      <c r="P4" s="3224">
        <v>0</v>
      </c>
      <c r="Q4" s="3224" t="s">
        <v>3192</v>
      </c>
      <c r="R4" s="3224" t="s">
        <v>3193</v>
      </c>
      <c r="S4" s="3226"/>
      <c r="T4" s="3226"/>
      <c r="Y4" s="3226"/>
      <c r="Z4" s="3226"/>
    </row>
    <row r="5" spans="1:26" s="3226" customFormat="1">
      <c r="A5" s="3226" t="s">
        <v>3202</v>
      </c>
      <c r="B5" s="3226" t="s">
        <v>3115</v>
      </c>
      <c r="C5" s="3226" t="s">
        <v>3186</v>
      </c>
      <c r="D5" s="3226">
        <v>19340</v>
      </c>
      <c r="E5" s="3226">
        <v>34812</v>
      </c>
      <c r="F5" s="3226" t="s">
        <v>3203</v>
      </c>
      <c r="G5" s="3226" t="s">
        <v>3188</v>
      </c>
      <c r="H5" s="3226" t="s">
        <v>3204</v>
      </c>
      <c r="I5" s="3226">
        <v>0</v>
      </c>
      <c r="J5" s="3226" t="s">
        <v>3205</v>
      </c>
      <c r="K5" s="3226" t="s">
        <v>3206</v>
      </c>
      <c r="L5" s="3226">
        <v>5764.86</v>
      </c>
      <c r="M5" s="3226">
        <v>198.72</v>
      </c>
      <c r="N5" s="3226">
        <v>1656</v>
      </c>
      <c r="O5" s="3226">
        <f t="shared" si="0"/>
        <v>2981</v>
      </c>
      <c r="P5" s="3226">
        <v>0</v>
      </c>
      <c r="Q5" s="3226" t="s">
        <v>3192</v>
      </c>
      <c r="R5" s="3226" t="s">
        <v>3193</v>
      </c>
      <c r="S5" s="3226">
        <f>ROUND(O5*S2,0)</f>
        <v>4528</v>
      </c>
      <c r="T5" s="3226">
        <f>ROUND(N5*S2,0)</f>
        <v>2515</v>
      </c>
      <c r="Y5" s="3226">
        <f>ROUND(T5*X3,0)</f>
        <v>3322</v>
      </c>
      <c r="Z5" s="3226">
        <f>ROUND(S5/X3,0)</f>
        <v>3428</v>
      </c>
    </row>
    <row r="6" spans="1:26" s="3226" customFormat="1">
      <c r="A6" s="3226" t="s">
        <v>3207</v>
      </c>
      <c r="B6" s="3226" t="s">
        <v>3115</v>
      </c>
      <c r="C6" s="3226" t="s">
        <v>3186</v>
      </c>
      <c r="D6" s="3226">
        <v>16697.47</v>
      </c>
      <c r="E6" s="3226">
        <v>30055</v>
      </c>
      <c r="F6" s="3226">
        <v>1.8</v>
      </c>
      <c r="G6" s="3226" t="s">
        <v>3188</v>
      </c>
      <c r="H6" s="3226" t="s">
        <v>3208</v>
      </c>
      <c r="I6" s="3226">
        <v>0</v>
      </c>
      <c r="J6" s="3226" t="s">
        <v>3209</v>
      </c>
      <c r="K6" s="3226" t="s">
        <v>3210</v>
      </c>
      <c r="L6" s="3226">
        <v>4977.1000000000004</v>
      </c>
      <c r="M6" s="3226">
        <v>198.72</v>
      </c>
      <c r="N6" s="3226">
        <v>1656</v>
      </c>
      <c r="O6" s="3226">
        <f t="shared" si="0"/>
        <v>2981</v>
      </c>
      <c r="P6" s="3226">
        <v>0</v>
      </c>
      <c r="Q6" s="3226">
        <v>20</v>
      </c>
      <c r="R6" s="3226" t="s">
        <v>3193</v>
      </c>
      <c r="S6" s="3226">
        <f>ROUND(O6*S2,0)</f>
        <v>4528</v>
      </c>
      <c r="T6" s="3226">
        <f>ROUND(N6*S2,0)</f>
        <v>2515</v>
      </c>
      <c r="Y6" s="3226">
        <f>ROUND(T6*X3,0)</f>
        <v>3322</v>
      </c>
      <c r="Z6" s="3226">
        <f>ROUND(S6/X3,0)</f>
        <v>3428</v>
      </c>
    </row>
    <row r="7" spans="1:26">
      <c r="A7" s="3224" t="s">
        <v>3211</v>
      </c>
      <c r="B7" s="3224" t="s">
        <v>3115</v>
      </c>
      <c r="C7" s="3224" t="s">
        <v>3186</v>
      </c>
      <c r="D7" s="3224">
        <v>46618.33</v>
      </c>
      <c r="E7" s="3224">
        <v>93237</v>
      </c>
      <c r="F7" s="3224">
        <v>2</v>
      </c>
      <c r="G7" s="3224" t="s">
        <v>3188</v>
      </c>
      <c r="H7" s="3224" t="s">
        <v>3208</v>
      </c>
      <c r="I7" s="3224">
        <v>0</v>
      </c>
      <c r="J7" s="3224" t="s">
        <v>3212</v>
      </c>
      <c r="K7" s="3224" t="s">
        <v>3213</v>
      </c>
      <c r="L7" s="3224">
        <v>16204.59</v>
      </c>
      <c r="M7" s="3224">
        <v>231.73</v>
      </c>
      <c r="N7" s="3224">
        <v>1738</v>
      </c>
      <c r="O7" s="3224">
        <f t="shared" si="0"/>
        <v>3476</v>
      </c>
      <c r="P7" s="3224">
        <v>0</v>
      </c>
      <c r="Q7" s="3224">
        <v>20</v>
      </c>
      <c r="R7" s="3224" t="s">
        <v>3193</v>
      </c>
    </row>
    <row r="8" spans="1:26">
      <c r="A8" s="3224" t="s">
        <v>3214</v>
      </c>
      <c r="B8" s="3224" t="s">
        <v>3115</v>
      </c>
      <c r="C8" s="3224" t="s">
        <v>3186</v>
      </c>
      <c r="D8" s="3224">
        <v>8700</v>
      </c>
      <c r="E8" s="3224">
        <v>15660</v>
      </c>
      <c r="F8" s="3224">
        <v>1.8</v>
      </c>
      <c r="G8" s="3224" t="s">
        <v>3188</v>
      </c>
      <c r="H8" s="3224" t="s">
        <v>3208</v>
      </c>
      <c r="I8" s="3224">
        <v>0</v>
      </c>
      <c r="J8" s="3224" t="s">
        <v>3212</v>
      </c>
      <c r="K8" s="3224" t="s">
        <v>3215</v>
      </c>
      <c r="L8" s="3224">
        <v>2593.3000000000002</v>
      </c>
      <c r="M8" s="3224">
        <v>198.72</v>
      </c>
      <c r="N8" s="3224">
        <v>1656</v>
      </c>
      <c r="O8" s="3224">
        <f t="shared" si="0"/>
        <v>2981</v>
      </c>
      <c r="P8" s="3224">
        <v>0</v>
      </c>
      <c r="Q8" s="3224">
        <v>20</v>
      </c>
      <c r="R8" s="3224" t="s">
        <v>3193</v>
      </c>
    </row>
    <row r="9" spans="1:26">
      <c r="A9" s="3224" t="s">
        <v>3216</v>
      </c>
      <c r="B9" s="3224" t="s">
        <v>3115</v>
      </c>
      <c r="C9" s="3224" t="s">
        <v>3186</v>
      </c>
      <c r="D9" s="3224">
        <v>4280.58</v>
      </c>
      <c r="E9" s="3224">
        <v>3424</v>
      </c>
      <c r="F9" s="3224">
        <v>0.8</v>
      </c>
      <c r="G9" s="3224" t="s">
        <v>3188</v>
      </c>
      <c r="H9" s="3224" t="s">
        <v>3217</v>
      </c>
      <c r="I9" s="3224">
        <v>0</v>
      </c>
      <c r="J9" s="3224" t="s">
        <v>3218</v>
      </c>
      <c r="K9" s="3224" t="s">
        <v>3219</v>
      </c>
      <c r="L9" s="3224">
        <v>642.09</v>
      </c>
      <c r="M9" s="3224">
        <v>100</v>
      </c>
      <c r="N9" s="3224">
        <v>1875.25</v>
      </c>
      <c r="O9" s="3224">
        <f t="shared" si="0"/>
        <v>1500</v>
      </c>
      <c r="P9" s="3224">
        <v>0</v>
      </c>
      <c r="Q9" s="3224" t="s">
        <v>3220</v>
      </c>
      <c r="R9" s="3224" t="s">
        <v>3193</v>
      </c>
    </row>
    <row r="10" spans="1:26">
      <c r="A10" s="3224" t="s">
        <v>3221</v>
      </c>
      <c r="B10" s="3224" t="s">
        <v>3115</v>
      </c>
      <c r="C10" s="3224" t="s">
        <v>3186</v>
      </c>
      <c r="D10" s="3224">
        <v>31386.9</v>
      </c>
      <c r="E10" s="3224">
        <v>25110</v>
      </c>
      <c r="F10" s="3224">
        <v>0.8</v>
      </c>
      <c r="G10" s="3224" t="s">
        <v>3188</v>
      </c>
      <c r="H10" s="3224" t="s">
        <v>3222</v>
      </c>
      <c r="I10" s="3224">
        <v>0</v>
      </c>
      <c r="J10" s="3224" t="s">
        <v>3223</v>
      </c>
      <c r="K10" s="3224" t="s">
        <v>3224</v>
      </c>
      <c r="L10" s="3224">
        <v>11547.52</v>
      </c>
      <c r="M10" s="3224">
        <v>245.27</v>
      </c>
      <c r="N10" s="3224">
        <v>4598.7700000000004</v>
      </c>
      <c r="O10" s="3224">
        <f t="shared" si="0"/>
        <v>3679</v>
      </c>
      <c r="P10" s="3224">
        <v>0</v>
      </c>
      <c r="Q10" s="3224" t="s">
        <v>3220</v>
      </c>
      <c r="R10" s="3224" t="s">
        <v>3193</v>
      </c>
    </row>
    <row r="11" spans="1:26">
      <c r="A11" s="3224" t="s">
        <v>3225</v>
      </c>
      <c r="B11" s="3224" t="s">
        <v>3115</v>
      </c>
      <c r="C11" s="3224" t="s">
        <v>3186</v>
      </c>
      <c r="D11" s="3224">
        <v>45231.1</v>
      </c>
      <c r="E11" s="3224">
        <v>36185</v>
      </c>
      <c r="F11" s="3224">
        <v>0.8</v>
      </c>
      <c r="G11" s="3224" t="s">
        <v>3188</v>
      </c>
      <c r="H11" s="3224" t="s">
        <v>3222</v>
      </c>
      <c r="I11" s="3224">
        <v>0</v>
      </c>
      <c r="J11" s="3224" t="s">
        <v>3226</v>
      </c>
      <c r="K11" s="3224" t="s">
        <v>3227</v>
      </c>
      <c r="L11" s="3224">
        <v>13943.25</v>
      </c>
      <c r="M11" s="3224">
        <v>205.51</v>
      </c>
      <c r="N11" s="3224">
        <v>3853.32</v>
      </c>
      <c r="O11" s="3224">
        <f t="shared" si="0"/>
        <v>3083</v>
      </c>
      <c r="P11" s="3224">
        <v>0</v>
      </c>
      <c r="Q11" s="3224" t="s">
        <v>3220</v>
      </c>
      <c r="R11" s="3224" t="s">
        <v>3193</v>
      </c>
    </row>
    <row r="12" spans="1:26">
      <c r="A12" s="3224" t="s">
        <v>3228</v>
      </c>
      <c r="B12" s="3224" t="s">
        <v>3115</v>
      </c>
      <c r="C12" s="3224" t="s">
        <v>3186</v>
      </c>
      <c r="D12" s="3224">
        <v>401615.3</v>
      </c>
      <c r="E12" s="3224">
        <v>401615</v>
      </c>
      <c r="F12" s="3224">
        <v>1</v>
      </c>
      <c r="G12" s="3224" t="s">
        <v>3188</v>
      </c>
      <c r="H12" s="3224" t="s">
        <v>3217</v>
      </c>
      <c r="I12" s="3224">
        <v>0</v>
      </c>
      <c r="J12" s="3224" t="s">
        <v>3226</v>
      </c>
      <c r="K12" s="3224" t="s">
        <v>3229</v>
      </c>
      <c r="L12" s="3224">
        <v>109378.8</v>
      </c>
      <c r="M12" s="3224">
        <v>181.56</v>
      </c>
      <c r="N12" s="3224">
        <v>2723.46</v>
      </c>
      <c r="O12" s="3224">
        <f t="shared" si="0"/>
        <v>2723</v>
      </c>
      <c r="P12" s="3224">
        <v>0</v>
      </c>
      <c r="Q12" s="3224" t="s">
        <v>3220</v>
      </c>
      <c r="R12" s="3224" t="s">
        <v>3193</v>
      </c>
    </row>
    <row r="13" spans="1:26">
      <c r="A13" s="3224" t="s">
        <v>3230</v>
      </c>
      <c r="B13" s="3224" t="s">
        <v>3115</v>
      </c>
      <c r="C13" s="3224" t="s">
        <v>3186</v>
      </c>
      <c r="D13" s="3224">
        <v>11912.8</v>
      </c>
      <c r="E13" s="3224">
        <v>9530</v>
      </c>
      <c r="F13" s="3224">
        <v>0.8</v>
      </c>
      <c r="G13" s="3224" t="s">
        <v>3188</v>
      </c>
      <c r="H13" s="3224" t="s">
        <v>3217</v>
      </c>
      <c r="I13" s="3224">
        <v>0</v>
      </c>
      <c r="J13" s="3224" t="s">
        <v>3231</v>
      </c>
      <c r="K13" s="3224" t="s">
        <v>3232</v>
      </c>
      <c r="L13" s="3224">
        <v>1798</v>
      </c>
      <c r="M13" s="3224">
        <v>100.62</v>
      </c>
      <c r="N13" s="3224">
        <v>1886.67</v>
      </c>
      <c r="O13" s="3224">
        <f t="shared" si="0"/>
        <v>1509</v>
      </c>
      <c r="P13" s="3224">
        <v>0</v>
      </c>
      <c r="Q13" s="3224" t="s">
        <v>3220</v>
      </c>
      <c r="R13" s="3224" t="s">
        <v>3193</v>
      </c>
    </row>
    <row r="14" spans="1:26">
      <c r="A14" s="3224" t="s">
        <v>3233</v>
      </c>
      <c r="B14" s="3224" t="s">
        <v>3115</v>
      </c>
      <c r="C14" s="3224" t="s">
        <v>3186</v>
      </c>
      <c r="D14" s="3224">
        <v>13289.21</v>
      </c>
      <c r="E14" s="3224">
        <v>10631</v>
      </c>
      <c r="F14" s="3224">
        <v>0.8</v>
      </c>
      <c r="G14" s="3224" t="s">
        <v>3188</v>
      </c>
      <c r="H14" s="3224" t="s">
        <v>3217</v>
      </c>
      <c r="I14" s="3224">
        <v>0</v>
      </c>
      <c r="J14" s="3224" t="s">
        <v>3234</v>
      </c>
      <c r="K14" s="3224" t="s">
        <v>3235</v>
      </c>
      <c r="L14" s="3224">
        <v>1597.44</v>
      </c>
      <c r="M14" s="3224">
        <v>80.14</v>
      </c>
      <c r="N14" s="3224">
        <v>1502.61</v>
      </c>
      <c r="O14" s="3224">
        <f t="shared" si="0"/>
        <v>1202</v>
      </c>
      <c r="P14" s="3224">
        <v>0</v>
      </c>
      <c r="Q14" s="3224" t="s">
        <v>3220</v>
      </c>
      <c r="R14" s="3224" t="s">
        <v>3193</v>
      </c>
    </row>
    <row r="15" spans="1:26">
      <c r="A15" s="3224" t="s">
        <v>3236</v>
      </c>
      <c r="B15" s="3224" t="s">
        <v>3115</v>
      </c>
      <c r="C15" s="3224" t="s">
        <v>3186</v>
      </c>
      <c r="D15" s="3224">
        <v>56802.68</v>
      </c>
      <c r="E15" s="3224">
        <v>45442</v>
      </c>
      <c r="F15" s="3224">
        <v>0.8</v>
      </c>
      <c r="G15" s="3224" t="s">
        <v>3188</v>
      </c>
      <c r="H15" s="3224" t="s">
        <v>3217</v>
      </c>
      <c r="I15" s="3224">
        <v>0</v>
      </c>
      <c r="J15" s="3224" t="s">
        <v>3234</v>
      </c>
      <c r="K15" s="3224" t="s">
        <v>3237</v>
      </c>
      <c r="L15" s="3224">
        <v>7121.07</v>
      </c>
      <c r="M15" s="3224">
        <v>83.58</v>
      </c>
      <c r="N15" s="3224">
        <v>1567.06</v>
      </c>
      <c r="O15" s="3224">
        <f t="shared" si="0"/>
        <v>1254</v>
      </c>
      <c r="P15" s="3224">
        <v>0</v>
      </c>
      <c r="Q15" s="3224" t="s">
        <v>3220</v>
      </c>
      <c r="R15" s="3224" t="s">
        <v>3193</v>
      </c>
    </row>
    <row r="16" spans="1:26">
      <c r="A16" s="3224" t="s">
        <v>3238</v>
      </c>
      <c r="B16" s="3224" t="s">
        <v>3115</v>
      </c>
      <c r="C16" s="3224" t="s">
        <v>3186</v>
      </c>
      <c r="D16" s="3224">
        <v>71328.36</v>
      </c>
      <c r="E16" s="3224">
        <v>57063</v>
      </c>
      <c r="F16" s="3224">
        <v>0.8</v>
      </c>
      <c r="G16" s="3224" t="s">
        <v>3188</v>
      </c>
      <c r="H16" s="3224" t="s">
        <v>3217</v>
      </c>
      <c r="I16" s="3224">
        <v>0</v>
      </c>
      <c r="J16" s="3224" t="s">
        <v>3239</v>
      </c>
      <c r="K16" s="3224" t="s">
        <v>3240</v>
      </c>
      <c r="L16" s="3224">
        <v>8967.77</v>
      </c>
      <c r="M16" s="3224">
        <v>83.82</v>
      </c>
      <c r="N16" s="3224">
        <v>1571.55</v>
      </c>
      <c r="O16" s="3224">
        <f t="shared" si="0"/>
        <v>1257</v>
      </c>
      <c r="P16" s="3224">
        <v>0</v>
      </c>
      <c r="Q16" s="3224" t="s">
        <v>3220</v>
      </c>
      <c r="R16" s="3224" t="s">
        <v>3193</v>
      </c>
    </row>
    <row r="18" spans="1:1">
      <c r="A18" s="3224" t="s">
        <v>1008</v>
      </c>
    </row>
    <row r="65" spans="1:1">
      <c r="A65" s="3224" t="s">
        <v>1009</v>
      </c>
    </row>
    <row r="88" spans="1:1">
      <c r="A88" s="3224" t="s">
        <v>1014</v>
      </c>
    </row>
  </sheetData>
  <phoneticPr fontId="140" type="noConversion"/>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N8"/>
  <sheetViews>
    <sheetView workbookViewId="0">
      <selection activeCell="M23" sqref="M23"/>
    </sheetView>
  </sheetViews>
  <sheetFormatPr defaultColWidth="9" defaultRowHeight="13.5"/>
  <cols>
    <col min="1" max="11" width="9" style="3228"/>
    <col min="12" max="12" width="9.5" style="3228" customWidth="1"/>
    <col min="13" max="16384" width="9" style="3228"/>
  </cols>
  <sheetData>
    <row r="1" spans="7:14">
      <c r="G1" s="3227" t="s">
        <v>3261</v>
      </c>
    </row>
    <row r="2" spans="7:14" ht="14.25">
      <c r="K2" s="3229" t="s">
        <v>3262</v>
      </c>
      <c r="L2" s="3229" t="s">
        <v>3263</v>
      </c>
      <c r="M2" s="3229" t="s">
        <v>3264</v>
      </c>
      <c r="N2" s="3229" t="s">
        <v>3265</v>
      </c>
    </row>
    <row r="3" spans="7:14" ht="14.25">
      <c r="K3" s="3230">
        <v>1</v>
      </c>
      <c r="L3" s="3230" t="s">
        <v>3121</v>
      </c>
      <c r="M3" s="3229">
        <v>2745.55</v>
      </c>
      <c r="N3" s="3229" t="s">
        <v>3266</v>
      </c>
    </row>
    <row r="4" spans="7:14" ht="14.25">
      <c r="K4" s="3230">
        <v>2</v>
      </c>
      <c r="L4" s="3230" t="s">
        <v>3122</v>
      </c>
      <c r="M4" s="3229">
        <v>1994.6</v>
      </c>
      <c r="N4" s="3229" t="s">
        <v>3266</v>
      </c>
    </row>
    <row r="5" spans="7:14" ht="14.25">
      <c r="K5" s="3230">
        <v>3</v>
      </c>
      <c r="L5" s="3230" t="s">
        <v>3123</v>
      </c>
      <c r="M5" s="3229">
        <v>2902.31</v>
      </c>
      <c r="N5" s="3229" t="s">
        <v>3266</v>
      </c>
    </row>
    <row r="6" spans="7:14" ht="14.25">
      <c r="K6" s="3230">
        <v>4</v>
      </c>
      <c r="L6" s="3230" t="s">
        <v>3124</v>
      </c>
      <c r="M6" s="3229">
        <v>2963.05</v>
      </c>
      <c r="N6" s="3229" t="s">
        <v>3266</v>
      </c>
    </row>
    <row r="7" spans="7:14" ht="14.25">
      <c r="K7" s="3230">
        <v>5</v>
      </c>
      <c r="L7" s="3230" t="s">
        <v>3267</v>
      </c>
      <c r="M7" s="3229">
        <v>8301.5400000000009</v>
      </c>
      <c r="N7" s="3229" t="s">
        <v>3268</v>
      </c>
    </row>
    <row r="8" spans="7:14" ht="14.25">
      <c r="K8" s="3229" t="s">
        <v>3269</v>
      </c>
      <c r="L8" s="3229"/>
      <c r="M8" s="3229">
        <f>SUM(M3:M7)</f>
        <v>18907.05</v>
      </c>
      <c r="N8" s="3229"/>
    </row>
  </sheetData>
  <phoneticPr fontId="140" type="noConversion"/>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90" zoomScaleNormal="80" zoomScaleSheetLayoutView="90" workbookViewId="0">
      <selection activeCell="G42" sqref="G42"/>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2562</v>
      </c>
      <c r="B1" s="203"/>
      <c r="C1" s="207" t="s">
        <v>2563</v>
      </c>
      <c r="D1" s="348">
        <f>SUM(D29:D30,D33:D39)</f>
        <v>18872.330000000002</v>
      </c>
      <c r="E1" s="2150"/>
      <c r="F1" s="2150"/>
      <c r="G1" s="2150"/>
      <c r="H1" s="2150"/>
      <c r="I1" s="2150"/>
      <c r="J1" s="2150"/>
      <c r="K1" s="1252"/>
      <c r="L1" s="2151" t="s">
        <v>2564</v>
      </c>
      <c r="M1" s="994">
        <f>SUMPRODUCT((区片价!B5:B9=I2)*(区片价!C3:F3=E2)*(区片价!C5:F9))</f>
        <v>0</v>
      </c>
      <c r="N1" s="997">
        <f>SUMPRODUCT((因素修正幅度!B5:B9=I2)*(因素修正幅度!C3:F3=E2)*(因素修正幅度!C5:F9))</f>
        <v>0</v>
      </c>
      <c r="O1" s="2152"/>
      <c r="P1" s="2152"/>
      <c r="Q1" s="1252"/>
      <c r="R1" s="1345" t="s">
        <v>2565</v>
      </c>
      <c r="S1" s="1345" t="s">
        <v>2566</v>
      </c>
      <c r="T1" s="1345" t="s">
        <v>2567</v>
      </c>
      <c r="U1" s="1345" t="s">
        <v>2568</v>
      </c>
      <c r="V1" s="1345" t="s">
        <v>2569</v>
      </c>
      <c r="W1" s="1349"/>
      <c r="X1" s="1349"/>
      <c r="Y1" s="1349"/>
      <c r="Z1" s="1349"/>
      <c r="AA1" s="1349"/>
      <c r="AB1" s="1349"/>
      <c r="AC1" s="1350"/>
      <c r="AD1" s="1351"/>
      <c r="AE1" s="1351"/>
      <c r="AF1" s="1351"/>
      <c r="AG1" s="1351"/>
      <c r="AH1" s="1351"/>
      <c r="AI1" s="1351"/>
      <c r="AJ1" s="1352"/>
    </row>
    <row r="2" spans="1:36" ht="15.75">
      <c r="A2" s="207" t="s">
        <v>2570</v>
      </c>
      <c r="B2" s="210">
        <f>C26</f>
        <v>3920</v>
      </c>
      <c r="C2" s="2154" t="s">
        <v>2571</v>
      </c>
      <c r="D2" s="2155" t="s">
        <v>2572</v>
      </c>
      <c r="E2" s="2156" t="s">
        <v>6</v>
      </c>
      <c r="F2" s="2155" t="s">
        <v>2573</v>
      </c>
      <c r="G2" s="2157" t="str">
        <f>IF(E2="商业",项目基本情况!B37,IF(E2="办公",项目基本情况!C37,IF(E2="住宅",项目基本情况!D37,项目基本情况!E37)))</f>
        <v>七级</v>
      </c>
      <c r="H2" s="2155" t="s">
        <v>2574</v>
      </c>
      <c r="I2" s="2157" t="str">
        <f>IF(E2="商业",项目基本情况!B38,IF(E2="办公",项目基本情况!C38,IF(E2="住宅",项目基本情况!D38,项目基本情况!E38)))</f>
        <v>Ⅶ-顺2</v>
      </c>
      <c r="J2" s="2158"/>
      <c r="K2" s="1252"/>
      <c r="L2" s="2159" t="s">
        <v>2575</v>
      </c>
      <c r="M2" s="995">
        <f>SUMPRODUCT((区片价!B10:B28=I2)*(区片价!C3:F3=E2)*(区片价!C10:F28))</f>
        <v>0</v>
      </c>
      <c r="N2" s="997">
        <f>SUMPRODUCT((因素修正幅度!B10:B28=I2)*(因素修正幅度!C3:F3=E2)*(因素修正幅度!C10:F28))</f>
        <v>0</v>
      </c>
      <c r="O2" s="1252"/>
      <c r="P2" s="1252"/>
      <c r="Q2" s="1252"/>
      <c r="R2" s="1345">
        <v>1</v>
      </c>
      <c r="S2" s="1345">
        <f>ROUND(IF(G3&gt;1,IF(R2&lt;7,SUMPRODUCT((B93:B98=R2)*(C92:N92=G2)*(C93:N98)),SUMIF(C92:N92,G2,C100:N100)),IF(R2&lt;7,SUMPRODUCT((B102:B107=R2)*(C92:N92=G2)*(C102:N107)),SUMIF(C92:N92,G2,C109:N109))),4)</f>
        <v>6.4238</v>
      </c>
      <c r="T2" s="1345">
        <f>ROUND($C$5*$C$18*$C$19*$C$20*S2*$C$24,0)</f>
        <v>12468</v>
      </c>
      <c r="U2" s="1346"/>
      <c r="V2" s="1345">
        <f>ROUND(T2*U2/10000,0)</f>
        <v>0</v>
      </c>
      <c r="W2" s="1349"/>
      <c r="X2" s="1349"/>
      <c r="Y2" s="1349"/>
      <c r="Z2" s="1349"/>
      <c r="AA2" s="1349"/>
      <c r="AB2" s="1349"/>
      <c r="AC2" s="1350"/>
      <c r="AD2" s="1351"/>
      <c r="AE2" s="1351"/>
      <c r="AF2" s="1351"/>
      <c r="AG2" s="1351"/>
      <c r="AH2" s="1351"/>
      <c r="AI2" s="1351"/>
      <c r="AJ2" s="1352"/>
    </row>
    <row r="3" spans="1:36" ht="15.75">
      <c r="A3" s="209" t="s">
        <v>2576</v>
      </c>
      <c r="B3" s="210">
        <f>ROUND(B2*10000/D1,0)</f>
        <v>2077</v>
      </c>
      <c r="C3" s="2154" t="s">
        <v>2577</v>
      </c>
      <c r="D3" s="2155" t="s">
        <v>2578</v>
      </c>
      <c r="E3" s="2160" t="s">
        <v>3186</v>
      </c>
      <c r="F3" s="2161" t="s">
        <v>3253</v>
      </c>
      <c r="G3" s="855">
        <f>IF(F3="宗地容积率",'数据-汇总表'!I4,IF(F3="估价对象容积率",'数据-汇总表'!I6,'数据-汇总表'!I7))</f>
        <v>0.28999999999999998</v>
      </c>
      <c r="H3" s="175" t="s">
        <v>2579</v>
      </c>
      <c r="I3" s="881"/>
      <c r="J3" s="2158" t="s">
        <v>2580</v>
      </c>
      <c r="K3" s="1252"/>
      <c r="L3" s="2159" t="s">
        <v>2581</v>
      </c>
      <c r="M3" s="995">
        <f>SUMPRODUCT((区片价!B29:B48=I2)*(区片价!C3:F3=E2)*(区片价!C29:F48))</f>
        <v>0</v>
      </c>
      <c r="N3" s="997">
        <f>SUMPRODUCT((因素修正幅度!B29:B48=I2)*(因素修正幅度!C3:F3=E2)*(因素修正幅度!C29:F48))</f>
        <v>0</v>
      </c>
      <c r="O3" s="1252"/>
      <c r="P3" s="1252"/>
      <c r="Q3" s="1252"/>
      <c r="R3" s="1345">
        <v>2</v>
      </c>
      <c r="S3" s="1345">
        <f>ROUND(IF(G3&gt;1,IF(R3&lt;7,SUMPRODUCT((B93:B98=R3)*(C92:N92=G2)*(C93:N98)),SUMIF(C92:N92,G2,C100:N100)),IF(R3&lt;7,SUMPRODUCT((B102:B107=R3)*(C92:N92=G2)*(C102:N107)),SUMIF(C92:N92,G2,C109:N109))),4)</f>
        <v>4.6109999999999998</v>
      </c>
      <c r="T3" s="1345">
        <f t="shared" ref="T3:T16" si="0">ROUND($C$5*$C$18*$C$19*$C$20*S3*$C$24,0)</f>
        <v>8949</v>
      </c>
      <c r="U3" s="1346"/>
      <c r="V3" s="1345">
        <f t="shared" ref="V3:V16" si="1">ROUND(T3*U3/10000,0)</f>
        <v>0</v>
      </c>
      <c r="W3" s="1349"/>
      <c r="X3" s="1349"/>
      <c r="Y3" s="1349"/>
      <c r="Z3" s="1349"/>
      <c r="AA3" s="1349"/>
      <c r="AB3" s="1349"/>
      <c r="AC3" s="1350"/>
      <c r="AD3" s="1351"/>
      <c r="AE3" s="1351"/>
      <c r="AF3" s="1351"/>
      <c r="AG3" s="1351"/>
      <c r="AH3" s="1351"/>
      <c r="AI3" s="1351"/>
      <c r="AJ3" s="1352"/>
    </row>
    <row r="4" spans="1:36" ht="15.75">
      <c r="A4" s="3528"/>
      <c r="B4" s="3529"/>
      <c r="C4" s="3529"/>
      <c r="D4" s="3530"/>
      <c r="E4" s="3530"/>
      <c r="F4" s="3530"/>
      <c r="G4" s="3530"/>
      <c r="H4" s="3530"/>
      <c r="I4" s="3530"/>
      <c r="J4" s="3531"/>
      <c r="K4" s="1252"/>
      <c r="L4" s="2159" t="s">
        <v>2582</v>
      </c>
      <c r="M4" s="995">
        <f>SUMPRODUCT((区片价!B49:B75=I2)*(区片价!C3:F3=E2)*(区片价!C49:F75))</f>
        <v>0</v>
      </c>
      <c r="N4" s="997">
        <f>SUMPRODUCT((因素修正幅度!B49:B75=I2)*(因素修正幅度!C3:F3=E2)*(因素修正幅度!C49:F75))</f>
        <v>0</v>
      </c>
      <c r="O4" s="1252"/>
      <c r="P4" s="1252"/>
      <c r="Q4" s="1252"/>
      <c r="R4" s="1345">
        <v>3</v>
      </c>
      <c r="S4" s="1345">
        <f>ROUND(IF(G3&gt;1,IF(R4&lt;7,SUMPRODUCT((B93:B98=R4)*(C92:N92=G2)*(C93:N98)),SUMIF(C92:N92,G2,C100:N100)),IF(R4&lt;7,SUMPRODUCT((B102:B107=R4)*(C92:N92=G2)*(C102:N107)),SUMIF(C92:N92,G2,C109:N109))),4)</f>
        <v>3.72</v>
      </c>
      <c r="T4" s="1345">
        <f t="shared" si="0"/>
        <v>7220</v>
      </c>
      <c r="U4" s="1346"/>
      <c r="V4" s="1345">
        <f t="shared" si="1"/>
        <v>0</v>
      </c>
      <c r="W4" s="1349"/>
      <c r="X4" s="1349"/>
      <c r="Y4" s="1349"/>
      <c r="Z4" s="1349"/>
      <c r="AA4" s="1349"/>
      <c r="AB4" s="1349"/>
      <c r="AC4" s="1350"/>
      <c r="AD4" s="1351"/>
      <c r="AE4" s="1351"/>
      <c r="AF4" s="1351"/>
      <c r="AG4" s="1351"/>
      <c r="AH4" s="1351"/>
      <c r="AI4" s="1351"/>
      <c r="AJ4" s="1352"/>
    </row>
    <row r="5" spans="1:36" s="2171" customFormat="1" ht="15.75" thickBot="1">
      <c r="A5" s="2162" t="s">
        <v>807</v>
      </c>
      <c r="B5" s="2163" t="s">
        <v>2583</v>
      </c>
      <c r="C5" s="856">
        <f>ROUND(IF(E2="商业",C6*C7+C16,(IF(E2="住宅",C6*C12+C16,C6+C16))),0)</f>
        <v>1480</v>
      </c>
      <c r="D5" s="1492">
        <f>ROUND(C6+C16,0)</f>
        <v>1480</v>
      </c>
      <c r="E5" s="1492"/>
      <c r="F5" s="2164"/>
      <c r="G5" s="2165"/>
      <c r="H5" s="2165"/>
      <c r="I5" s="2165"/>
      <c r="J5" s="2166"/>
      <c r="K5" s="2167"/>
      <c r="L5" s="2159" t="s">
        <v>2584</v>
      </c>
      <c r="M5" s="995">
        <f>SUMPRODUCT((区片价!B76:B109=I2)*(区片价!C3:F3=E2)*(区片价!C76:F109))</f>
        <v>0</v>
      </c>
      <c r="N5" s="997">
        <f>SUMPRODUCT((因素修正幅度!B76:B109=I2)*(因素修正幅度!C3:F3=E2)*(因素修正幅度!C76:F109))</f>
        <v>0</v>
      </c>
      <c r="O5" s="1252"/>
      <c r="P5" s="1252"/>
      <c r="Q5" s="1252"/>
      <c r="R5" s="1345">
        <v>4</v>
      </c>
      <c r="S5" s="1345">
        <f>ROUND(IF(G3&gt;1,IF(R5&lt;7,SUMPRODUCT((B93:B98=R5)*(C92:N92=G2)*(C93:N98)),SUMIF(C92:N92,G2,C100:N100)),IF(R5&lt;7,SUMPRODUCT((B102:B107=R5)*(C92:N92=G2)*(C102:N107)),SUMIF(C92:N92,G2,C109:N109))),4)</f>
        <v>2.9847999999999999</v>
      </c>
      <c r="T5" s="1345">
        <f t="shared" si="0"/>
        <v>5793</v>
      </c>
      <c r="U5" s="1346"/>
      <c r="V5" s="1345">
        <f t="shared" si="1"/>
        <v>0</v>
      </c>
      <c r="W5" s="1349"/>
      <c r="X5" s="1349"/>
      <c r="Y5" s="1349"/>
      <c r="Z5" s="1349"/>
      <c r="AA5" s="1349"/>
      <c r="AB5" s="1349"/>
      <c r="AC5" s="2168"/>
      <c r="AD5" s="2169"/>
      <c r="AE5" s="2169"/>
      <c r="AF5" s="2169"/>
      <c r="AG5" s="2169"/>
      <c r="AH5" s="2169"/>
      <c r="AI5" s="2169"/>
      <c r="AJ5" s="2170"/>
    </row>
    <row r="6" spans="1:36" ht="15.75" thickBot="1">
      <c r="A6" s="2172" t="s">
        <v>2585</v>
      </c>
      <c r="B6" s="2173" t="s">
        <v>2586</v>
      </c>
      <c r="C6" s="857">
        <f>SUMIF(L1:L12,G2,M1:M12)</f>
        <v>1480</v>
      </c>
      <c r="D6" s="2174" t="s">
        <v>2587</v>
      </c>
      <c r="E6" s="2175"/>
      <c r="F6" s="2175"/>
      <c r="G6" s="2176"/>
      <c r="H6" s="2176"/>
      <c r="I6" s="2176"/>
      <c r="J6" s="2177"/>
      <c r="K6" s="1537"/>
      <c r="L6" s="2159" t="s">
        <v>2588</v>
      </c>
      <c r="M6" s="995">
        <f>SUMPRODUCT((区片价!B110:B157=I2)*(区片价!C3:F3=E2)*(区片价!C110:F157))</f>
        <v>0</v>
      </c>
      <c r="N6" s="997">
        <f>SUMPRODUCT((因素修正幅度!B110:B157=I2)*(因素修正幅度!C3:F3=E2)*(因素修正幅度!C110:F157))</f>
        <v>0</v>
      </c>
      <c r="O6" s="1252"/>
      <c r="P6" s="1252"/>
      <c r="Q6" s="1252"/>
      <c r="R6" s="1345">
        <v>5</v>
      </c>
      <c r="S6" s="1345">
        <f>ROUND(IF(G3&gt;1,IF(R6&lt;7,SUMPRODUCT((B93:B98=R6)*(C92:N92=G2)*(C93:N98)),SUMIF(C92:N92,G2,C100:N100)),IF(R6&lt;7,SUMPRODUCT((B102:B107=R6)*(C92:N92=G2)*(C102:N107)),SUMIF(C92:N92,G2,C109:N109))),4)</f>
        <v>2.5417000000000001</v>
      </c>
      <c r="T6" s="1345">
        <f t="shared" si="0"/>
        <v>4933</v>
      </c>
      <c r="U6" s="1346"/>
      <c r="V6" s="1345">
        <f t="shared" si="1"/>
        <v>0</v>
      </c>
      <c r="W6" s="1349"/>
      <c r="X6" s="1349"/>
      <c r="Y6" s="1349"/>
      <c r="Z6" s="1349"/>
      <c r="AA6" s="1349"/>
      <c r="AB6" s="1349"/>
      <c r="AC6" s="2168"/>
      <c r="AD6" s="2169"/>
      <c r="AE6" s="2169"/>
      <c r="AF6" s="2169"/>
      <c r="AG6" s="2169"/>
      <c r="AH6" s="2169"/>
      <c r="AI6" s="2169"/>
      <c r="AJ6" s="2170"/>
    </row>
    <row r="7" spans="1:36" ht="24">
      <c r="A7" s="3532" t="str">
        <f>IF(E2="商业",IF(C8="不临58条商业街","",2),"")</f>
        <v/>
      </c>
      <c r="B7" s="2178" t="s">
        <v>2589</v>
      </c>
      <c r="C7" s="858" t="e">
        <f>IF(C8="不临58条商业街",1,ROUND(1+(1.6*E8+1.2*E9+0.8*E10+0.4*E11)*C9,4))</f>
        <v>#DIV/0!</v>
      </c>
      <c r="D7" s="2179" t="s">
        <v>2590</v>
      </c>
      <c r="E7" s="882"/>
      <c r="F7" s="2180"/>
      <c r="G7" s="2181"/>
      <c r="H7" s="2181"/>
      <c r="I7" s="2181"/>
      <c r="J7" s="2182"/>
      <c r="K7" s="1537"/>
      <c r="L7" s="2159" t="s">
        <v>2591</v>
      </c>
      <c r="M7" s="995">
        <f>SUMPRODUCT((区片价!B158:B205=I2)*(区片价!C3:F3=E2)*(区片价!C158:F205))</f>
        <v>1480</v>
      </c>
      <c r="N7" s="997">
        <f>SUMPRODUCT((因素修正幅度!B158:B205=I2)*(因素修正幅度!C3:F3=E2)*(因素修正幅度!C158:F205))</f>
        <v>0.13</v>
      </c>
      <c r="O7" s="1252"/>
      <c r="P7" s="1252"/>
      <c r="Q7" s="1252"/>
      <c r="R7" s="1345">
        <v>6</v>
      </c>
      <c r="S7" s="1345">
        <f>ROUND(IF(G3&gt;1,IF(R7&lt;7,SUMPRODUCT((B93:B98=R7)*(C92:N92=G2)*(C93:N98)),SUMIF(C92:N92,G2,C100:N100)),IF(R7&lt;7,SUMPRODUCT((B102:B107=R7)*(C92:N92=G2)*(C102:N107)),SUMIF(C92:N92,G2,C109:N109))),4)</f>
        <v>2.2351999999999999</v>
      </c>
      <c r="T7" s="1345">
        <f t="shared" si="0"/>
        <v>4338</v>
      </c>
      <c r="U7" s="1346"/>
      <c r="V7" s="1345">
        <f t="shared" si="1"/>
        <v>0</v>
      </c>
      <c r="W7" s="1511" t="s">
        <v>2592</v>
      </c>
      <c r="X7" s="1347" t="str">
        <f>G2</f>
        <v>七级</v>
      </c>
      <c r="Y7" s="1347" t="s">
        <v>2593</v>
      </c>
      <c r="Z7" s="1348">
        <f>G3</f>
        <v>0.28999999999999998</v>
      </c>
      <c r="AA7" s="1349"/>
      <c r="AB7" s="1349"/>
      <c r="AC7" s="1350"/>
      <c r="AD7" s="1351"/>
      <c r="AE7" s="1351"/>
      <c r="AF7" s="1351"/>
      <c r="AG7" s="1351"/>
      <c r="AH7" s="1351"/>
      <c r="AI7" s="1351"/>
      <c r="AJ7" s="1352"/>
    </row>
    <row r="8" spans="1:36" ht="15">
      <c r="A8" s="3533"/>
      <c r="B8" s="175" t="s">
        <v>2594</v>
      </c>
      <c r="C8" s="2183"/>
      <c r="D8" s="859" t="s">
        <v>139</v>
      </c>
      <c r="E8" s="860" t="e">
        <f>ROUND(C11/E7,4)</f>
        <v>#DIV/0!</v>
      </c>
      <c r="F8" s="2184" t="s">
        <v>2595</v>
      </c>
      <c r="G8" s="2185"/>
      <c r="H8" s="2185"/>
      <c r="I8" s="2185"/>
      <c r="J8" s="2186"/>
      <c r="K8" s="1252"/>
      <c r="L8" s="2159" t="s">
        <v>2596</v>
      </c>
      <c r="M8" s="995">
        <f>SUMPRODUCT((区片价!B206:B244=I2)*(区片价!C3:F3=E2)*(区片价!C206:F244))</f>
        <v>0</v>
      </c>
      <c r="N8" s="997">
        <f>SUMPRODUCT((因素修正幅度!B206:B244=I2)*(因素修正幅度!C3:F3=E2)*(因素修正幅度!C206:F244))</f>
        <v>0</v>
      </c>
      <c r="O8" s="1252"/>
      <c r="P8" s="1252"/>
      <c r="Q8" s="1252"/>
      <c r="R8" s="1345">
        <v>7</v>
      </c>
      <c r="S8" s="1346"/>
      <c r="T8" s="1345">
        <f t="shared" si="0"/>
        <v>0</v>
      </c>
      <c r="U8" s="1346"/>
      <c r="V8" s="1345">
        <f t="shared" si="1"/>
        <v>0</v>
      </c>
      <c r="W8" s="3525" t="s">
        <v>2597</v>
      </c>
      <c r="X8" s="3526"/>
      <c r="Y8" s="1353" t="s">
        <v>2598</v>
      </c>
      <c r="Z8" s="1353" t="s">
        <v>2599</v>
      </c>
      <c r="AA8" s="1353" t="s">
        <v>2600</v>
      </c>
      <c r="AB8" s="1353" t="s">
        <v>2601</v>
      </c>
      <c r="AC8" s="1353" t="s">
        <v>2602</v>
      </c>
      <c r="AD8" s="1353" t="s">
        <v>2603</v>
      </c>
      <c r="AE8" s="1353" t="s">
        <v>2604</v>
      </c>
      <c r="AF8" s="1353" t="s">
        <v>2605</v>
      </c>
      <c r="AG8" s="1353" t="s">
        <v>2606</v>
      </c>
      <c r="AH8" s="1353" t="s">
        <v>2607</v>
      </c>
      <c r="AI8" s="1353" t="s">
        <v>2608</v>
      </c>
      <c r="AJ8" s="1353" t="s">
        <v>2609</v>
      </c>
    </row>
    <row r="9" spans="1:36" ht="15">
      <c r="A9" s="3533"/>
      <c r="B9" s="175" t="s">
        <v>2610</v>
      </c>
      <c r="C9" s="861">
        <f>SUMIF(修正!C59:C119,C8,修正!E59:E119)</f>
        <v>0</v>
      </c>
      <c r="D9" s="176" t="s">
        <v>140</v>
      </c>
      <c r="E9" s="176" t="e">
        <f>ROUND(C11/E7,4)</f>
        <v>#DIV/0!</v>
      </c>
      <c r="F9" s="2184" t="s">
        <v>2611</v>
      </c>
      <c r="G9" s="2185"/>
      <c r="H9" s="2185"/>
      <c r="I9" s="2185"/>
      <c r="J9" s="2186"/>
      <c r="K9" s="1252"/>
      <c r="L9" s="2159" t="s">
        <v>2612</v>
      </c>
      <c r="M9" s="995">
        <f>SUMPRODUCT((区片价!B245:B289=I2)*(区片价!C3:F3=E2)*(区片价!C245:F289))</f>
        <v>0</v>
      </c>
      <c r="N9" s="997">
        <f>SUMPRODUCT((因素修正幅度!B245:B289=I2)*(因素修正幅度!C3:F3=E2)*(因素修正幅度!C245:F289))</f>
        <v>0</v>
      </c>
      <c r="O9" s="1252"/>
      <c r="P9" s="1252"/>
      <c r="Q9" s="1252"/>
      <c r="R9" s="1345">
        <v>8</v>
      </c>
      <c r="S9" s="1346"/>
      <c r="T9" s="1345">
        <f t="shared" si="0"/>
        <v>0</v>
      </c>
      <c r="U9" s="1346"/>
      <c r="V9" s="1345">
        <f t="shared" si="1"/>
        <v>0</v>
      </c>
      <c r="W9" s="3527" t="s">
        <v>2613</v>
      </c>
      <c r="X9" s="1354" t="s">
        <v>2614</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533"/>
      <c r="B10" s="175" t="s">
        <v>2615</v>
      </c>
      <c r="C10" s="176">
        <f>SUMIF(修正!C59:C119,C8,修正!F59:F119)</f>
        <v>0</v>
      </c>
      <c r="D10" s="176" t="s">
        <v>141</v>
      </c>
      <c r="E10" s="176" t="e">
        <f>ROUND(C11/E7,4)</f>
        <v>#DIV/0!</v>
      </c>
      <c r="F10" s="2184" t="s">
        <v>2616</v>
      </c>
      <c r="G10" s="2185"/>
      <c r="H10" s="2185"/>
      <c r="I10" s="2185"/>
      <c r="J10" s="2186"/>
      <c r="K10" s="1252"/>
      <c r="L10" s="2159" t="s">
        <v>2617</v>
      </c>
      <c r="M10" s="995">
        <f>SUMPRODUCT((区片价!B290:B316=I2)*(区片价!C3:F3=E2)*(区片价!C290:F316))</f>
        <v>0</v>
      </c>
      <c r="N10" s="997">
        <f>SUMPRODUCT((因素修正幅度!B290:B316=I2)*(因素修正幅度!C3:F3=E2)*(因素修正幅度!C290:F316))</f>
        <v>0</v>
      </c>
      <c r="O10" s="1252"/>
      <c r="P10" s="1252"/>
      <c r="Q10" s="1252"/>
      <c r="R10" s="1345">
        <v>9</v>
      </c>
      <c r="S10" s="1346"/>
      <c r="T10" s="1345">
        <f t="shared" si="0"/>
        <v>0</v>
      </c>
      <c r="U10" s="1346"/>
      <c r="V10" s="1345">
        <f t="shared" si="1"/>
        <v>0</v>
      </c>
      <c r="W10" s="3527"/>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533"/>
      <c r="B11" s="2187" t="s">
        <v>2618</v>
      </c>
      <c r="C11" s="862">
        <f>C10/4</f>
        <v>0</v>
      </c>
      <c r="D11" s="862" t="s">
        <v>142</v>
      </c>
      <c r="E11" s="862" t="e">
        <f>ROUND(C11/E7,4)</f>
        <v>#DIV/0!</v>
      </c>
      <c r="F11" s="2188" t="s">
        <v>2619</v>
      </c>
      <c r="G11" s="2189"/>
      <c r="H11" s="2189"/>
      <c r="I11" s="2189"/>
      <c r="J11" s="2190"/>
      <c r="K11" s="1252"/>
      <c r="L11" s="2159" t="s">
        <v>2620</v>
      </c>
      <c r="M11" s="995">
        <f>SUMPRODUCT((区片价!B317:B337=I2)*(区片价!C3:F3=E2)*(区片价!C317:F337))</f>
        <v>0</v>
      </c>
      <c r="N11" s="997">
        <f>SUMPRODUCT((因素修正幅度!B317:B337=I2)*(因素修正幅度!C3:F3=E2)*(因素修正幅度!C317:F337))</f>
        <v>0</v>
      </c>
      <c r="O11" s="1252"/>
      <c r="P11" s="1252"/>
      <c r="Q11" s="1252"/>
      <c r="R11" s="1345">
        <v>10</v>
      </c>
      <c r="S11" s="1346"/>
      <c r="T11" s="1345">
        <f t="shared" si="0"/>
        <v>0</v>
      </c>
      <c r="U11" s="1346"/>
      <c r="V11" s="1345">
        <f t="shared" si="1"/>
        <v>0</v>
      </c>
      <c r="W11" s="3527" t="s">
        <v>2621</v>
      </c>
      <c r="X11" s="1357" t="s">
        <v>2622</v>
      </c>
      <c r="Y11" s="1358">
        <f>$G$3</f>
        <v>0.28999999999999998</v>
      </c>
      <c r="Z11" s="1358">
        <f t="shared" ref="Z11:AJ11" si="3">$G$3</f>
        <v>0.28999999999999998</v>
      </c>
      <c r="AA11" s="1358">
        <f t="shared" si="3"/>
        <v>0.28999999999999998</v>
      </c>
      <c r="AB11" s="1358">
        <f t="shared" si="3"/>
        <v>0.28999999999999998</v>
      </c>
      <c r="AC11" s="1358">
        <f t="shared" si="3"/>
        <v>0.28999999999999998</v>
      </c>
      <c r="AD11" s="1358">
        <f t="shared" si="3"/>
        <v>0.28999999999999998</v>
      </c>
      <c r="AE11" s="1358">
        <f t="shared" si="3"/>
        <v>0.28999999999999998</v>
      </c>
      <c r="AF11" s="1358">
        <f t="shared" si="3"/>
        <v>0.28999999999999998</v>
      </c>
      <c r="AG11" s="1358">
        <f t="shared" si="3"/>
        <v>0.28999999999999998</v>
      </c>
      <c r="AH11" s="1358">
        <f t="shared" si="3"/>
        <v>0.28999999999999998</v>
      </c>
      <c r="AI11" s="1358">
        <f t="shared" si="3"/>
        <v>0.28999999999999998</v>
      </c>
      <c r="AJ11" s="1358">
        <f t="shared" si="3"/>
        <v>0.28999999999999998</v>
      </c>
    </row>
    <row r="12" spans="1:36" ht="25.5" thickBot="1">
      <c r="A12" s="3532" t="s">
        <v>2623</v>
      </c>
      <c r="B12" s="2191" t="s">
        <v>2624</v>
      </c>
      <c r="C12" s="858">
        <f>ROUND(C15*D15*E15*F15*G15*H15*I15*J15,4)</f>
        <v>1</v>
      </c>
      <c r="D12" s="2192" t="s">
        <v>2625</v>
      </c>
      <c r="E12" s="2193"/>
      <c r="F12" s="2193"/>
      <c r="G12" s="2194"/>
      <c r="H12" s="2194"/>
      <c r="I12" s="2194"/>
      <c r="J12" s="2195"/>
      <c r="K12" s="1252"/>
      <c r="L12" s="2196" t="s">
        <v>2626</v>
      </c>
      <c r="M12" s="996">
        <f>SUMPRODUCT((区片价!B338:B344=I2)*(区片价!C3:F3=E2)*(区片价!C338:F344))</f>
        <v>0</v>
      </c>
      <c r="N12" s="997">
        <f>SUMPRODUCT((因素修正幅度!B338:B344=I2)*(因素修正幅度!C3:F3=E2)*(因素修正幅度!C338:F344))</f>
        <v>0</v>
      </c>
      <c r="O12" s="1252"/>
      <c r="P12" s="1252"/>
      <c r="Q12" s="1252"/>
      <c r="R12" s="1345">
        <v>11</v>
      </c>
      <c r="S12" s="1346"/>
      <c r="T12" s="1345">
        <f t="shared" si="0"/>
        <v>0</v>
      </c>
      <c r="U12" s="1346"/>
      <c r="V12" s="1345">
        <f t="shared" si="1"/>
        <v>0</v>
      </c>
      <c r="W12" s="3527"/>
      <c r="X12" s="1359" t="s">
        <v>2627</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534"/>
      <c r="B13" s="2197" t="s">
        <v>2628</v>
      </c>
      <c r="C13" s="2198" t="s">
        <v>2629</v>
      </c>
      <c r="D13" s="1503" t="s">
        <v>2630</v>
      </c>
      <c r="E13" s="1503" t="s">
        <v>2631</v>
      </c>
      <c r="F13" s="30" t="s">
        <v>2632</v>
      </c>
      <c r="G13" s="2199" t="s">
        <v>2633</v>
      </c>
      <c r="H13" s="2199" t="s">
        <v>2633</v>
      </c>
      <c r="I13" s="2199" t="s">
        <v>2633</v>
      </c>
      <c r="J13" s="2200" t="s">
        <v>2633</v>
      </c>
      <c r="K13" s="1252"/>
      <c r="L13" s="1252"/>
      <c r="M13" s="1252"/>
      <c r="N13" s="1252"/>
      <c r="O13" s="1252"/>
      <c r="P13" s="1252"/>
      <c r="Q13" s="1252"/>
      <c r="R13" s="1345">
        <v>12</v>
      </c>
      <c r="S13" s="1346"/>
      <c r="T13" s="1345">
        <f t="shared" si="0"/>
        <v>0</v>
      </c>
      <c r="U13" s="1346"/>
      <c r="V13" s="1345">
        <f t="shared" si="1"/>
        <v>0</v>
      </c>
      <c r="W13" s="3527"/>
      <c r="X13" s="1359"/>
      <c r="Y13" s="1356">
        <f>(-0.163*(Y12^2)-0.59*Y12+7617)*(10^(-4))/Y11</f>
        <v>2.6265517241379315</v>
      </c>
      <c r="Z13" s="1356">
        <f t="shared" ref="Z13:AJ13" si="5">(-0.163*(Z12^2)-0.59*Z12+7617)*(10^(-4))/Z11</f>
        <v>2.6265517241379315</v>
      </c>
      <c r="AA13" s="1356">
        <f t="shared" si="5"/>
        <v>2.6265517241379315</v>
      </c>
      <c r="AB13" s="1356">
        <f t="shared" si="5"/>
        <v>2.6265517241379315</v>
      </c>
      <c r="AC13" s="1356">
        <f t="shared" si="5"/>
        <v>2.6265517241379315</v>
      </c>
      <c r="AD13" s="1356">
        <f t="shared" si="5"/>
        <v>2.6265517241379315</v>
      </c>
      <c r="AE13" s="1356">
        <f t="shared" si="5"/>
        <v>2.6265517241379315</v>
      </c>
      <c r="AF13" s="1356">
        <f t="shared" si="5"/>
        <v>2.6265517241379315</v>
      </c>
      <c r="AG13" s="1356">
        <f t="shared" si="5"/>
        <v>2.6265517241379315</v>
      </c>
      <c r="AH13" s="1356">
        <f t="shared" si="5"/>
        <v>2.6265517241379315</v>
      </c>
      <c r="AI13" s="1356">
        <f t="shared" si="5"/>
        <v>2.6265517241379315</v>
      </c>
      <c r="AJ13" s="1356">
        <f t="shared" si="5"/>
        <v>2.6265517241379315</v>
      </c>
    </row>
    <row r="14" spans="1:36" ht="15">
      <c r="A14" s="3534"/>
      <c r="B14" s="2201"/>
      <c r="C14" s="2202"/>
      <c r="D14" s="2203"/>
      <c r="E14" s="2203"/>
      <c r="F14" s="2204"/>
      <c r="G14" s="2205" t="s">
        <v>2634</v>
      </c>
      <c r="H14" s="2206"/>
      <c r="I14" s="2207"/>
      <c r="J14" s="2208"/>
      <c r="K14" s="1252"/>
      <c r="L14" s="1252"/>
      <c r="M14" s="1252"/>
      <c r="N14" s="1252"/>
      <c r="O14" s="1252"/>
      <c r="P14" s="1252"/>
      <c r="Q14" s="1252"/>
      <c r="R14" s="1345">
        <v>13</v>
      </c>
      <c r="S14" s="1346"/>
      <c r="T14" s="1345">
        <f t="shared" si="0"/>
        <v>0</v>
      </c>
      <c r="U14" s="1346"/>
      <c r="V14" s="1345">
        <f t="shared" si="1"/>
        <v>0</v>
      </c>
      <c r="W14" s="1349"/>
      <c r="X14" s="1349"/>
      <c r="Y14" s="1349"/>
      <c r="Z14" s="1349"/>
      <c r="AA14" s="1349"/>
      <c r="AB14" s="1349"/>
      <c r="AC14" s="1350"/>
      <c r="AD14" s="2989"/>
      <c r="AE14" s="2989"/>
      <c r="AF14" s="2989"/>
      <c r="AG14" s="2989"/>
      <c r="AH14" s="2989"/>
      <c r="AI14" s="2989"/>
      <c r="AJ14" s="2990"/>
    </row>
    <row r="15" spans="1:36" ht="15.75" thickBot="1">
      <c r="A15" s="3535"/>
      <c r="B15" s="2209" t="s">
        <v>2635</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5">
        <v>14</v>
      </c>
      <c r="S15" s="1346"/>
      <c r="T15" s="1345">
        <f t="shared" si="0"/>
        <v>0</v>
      </c>
      <c r="U15" s="1346"/>
      <c r="V15" s="1345">
        <f t="shared" si="1"/>
        <v>0</v>
      </c>
      <c r="W15" s="1349"/>
      <c r="X15" s="1349"/>
      <c r="Y15" s="1349"/>
      <c r="Z15" s="1349"/>
      <c r="AA15" s="1349"/>
      <c r="AB15" s="1349"/>
      <c r="AC15" s="1350"/>
      <c r="AD15" s="2989"/>
      <c r="AE15" s="2989"/>
      <c r="AF15" s="2989"/>
      <c r="AG15" s="2989"/>
      <c r="AH15" s="2989"/>
      <c r="AI15" s="2989"/>
      <c r="AJ15" s="2990"/>
    </row>
    <row r="16" spans="1:36" ht="24.6" customHeight="1">
      <c r="A16" s="3532" t="s">
        <v>2640</v>
      </c>
      <c r="B16" s="2178" t="s">
        <v>2641</v>
      </c>
      <c r="C16" s="2340">
        <f>ROUND(IF(F17="与级别开发程度一致",0,(G17-E17)/C17),0)</f>
        <v>0</v>
      </c>
      <c r="D16" s="3548" t="s">
        <v>2645</v>
      </c>
      <c r="E16" s="3549"/>
      <c r="F16" s="3548" t="s">
        <v>2642</v>
      </c>
      <c r="G16" s="3549"/>
      <c r="H16" s="2210"/>
      <c r="I16" s="2210"/>
      <c r="J16" s="2344"/>
      <c r="K16" s="2210"/>
      <c r="L16" s="2210"/>
      <c r="M16" s="2210"/>
      <c r="N16" s="2210"/>
      <c r="O16" s="2211"/>
      <c r="P16" s="2152"/>
      <c r="Q16" s="1252"/>
      <c r="R16" s="1345">
        <v>15</v>
      </c>
      <c r="S16" s="1346"/>
      <c r="T16" s="1345">
        <f t="shared" si="0"/>
        <v>0</v>
      </c>
      <c r="U16" s="1346"/>
      <c r="V16" s="1345">
        <f t="shared" si="1"/>
        <v>0</v>
      </c>
      <c r="W16" s="1349"/>
      <c r="X16" s="1349"/>
      <c r="Y16" s="1349"/>
      <c r="Z16" s="1349"/>
      <c r="AA16" s="1349"/>
      <c r="AB16" s="1349"/>
      <c r="AC16" s="1350"/>
      <c r="AD16" s="2989"/>
      <c r="AE16" s="2989"/>
      <c r="AF16" s="2989"/>
      <c r="AG16" s="2989"/>
      <c r="AH16" s="2989"/>
      <c r="AI16" s="2989"/>
      <c r="AJ16" s="2990"/>
    </row>
    <row r="17" spans="1:37" ht="26.25" thickBot="1">
      <c r="A17" s="3536"/>
      <c r="B17" s="2351" t="s">
        <v>2644</v>
      </c>
      <c r="C17" s="2352">
        <f>SUMPRODUCT((修正!A2:A5=E2)*(修正!B1:M1=G2)*(修正!B2:M5))</f>
        <v>1.2</v>
      </c>
      <c r="D17" s="193" t="str">
        <f>IF(OR(G2="八级",G2="九级",G2="十级",G2="十一级",G2="十二级"),"五通一平","七通一平")</f>
        <v>七通一平</v>
      </c>
      <c r="E17" s="2341">
        <f>SUMPRODUCT((修正!B1:M1=G2)*(修正!B15:M15))</f>
        <v>300</v>
      </c>
      <c r="F17" s="2342" t="s">
        <v>3250</v>
      </c>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2647</v>
      </c>
      <c r="C18" s="2347">
        <f>SUMIF(修正!C18:C39,E3,修正!E18:E39)</f>
        <v>1</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9.25" thickBot="1">
      <c r="A19" s="2215" t="s">
        <v>809</v>
      </c>
      <c r="B19" s="2216" t="s">
        <v>2648</v>
      </c>
      <c r="C19" s="863">
        <f>ROUND(IF(H19="按公示增长率计算",SUMPRODUCT((地价!A3:A37=YEAR(G19)&amp;"-"&amp;ROUNDUP(MONTH(G19)/3,0))*(地价!X2:AB2=E2)*(地价!X3:AB37)),IF(H19="地价指数",M20/M19,(1+I19)^O19)),4)</f>
        <v>1.4529000000000001</v>
      </c>
      <c r="D19" s="2220" t="s">
        <v>2649</v>
      </c>
      <c r="E19" s="864">
        <v>41640</v>
      </c>
      <c r="F19" s="2220" t="s">
        <v>2650</v>
      </c>
      <c r="G19" s="865">
        <f>'数据-取费表'!B2</f>
        <v>44645</v>
      </c>
      <c r="H19" s="2221" t="s">
        <v>3251</v>
      </c>
      <c r="I19" s="866" t="str">
        <f>IF(H19="季度增幅（自定义）",SUMIF(N21:N24,E2,O21:O24),"")</f>
        <v/>
      </c>
      <c r="J19" s="2218"/>
      <c r="K19" s="1259"/>
      <c r="L19" s="2222" t="s">
        <v>2651</v>
      </c>
      <c r="M19" s="1467">
        <f>ROUND(SUMIF(地价!B2:F2,E2,地价!B37:F37),0)</f>
        <v>230</v>
      </c>
      <c r="N19" s="2223" t="s">
        <v>2652</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2653</v>
      </c>
      <c r="C20" s="868">
        <f>ROUND(POWER(1+G20,J20-I20)*(POWER(1+G20,I20)-1)/(POWER(1+G20,J20)-1),4)</f>
        <v>0.90259999999999996</v>
      </c>
      <c r="D20" s="2227" t="s">
        <v>2654</v>
      </c>
      <c r="E20" s="1474">
        <f>存贷款利率!E20/100</f>
        <v>4.3499999999999997E-2</v>
      </c>
      <c r="F20" s="2227" t="s">
        <v>2646</v>
      </c>
      <c r="G20" s="873">
        <f>SUMIF(M26:P26,E2,M28:P28)</f>
        <v>4.8000000000000001E-2</v>
      </c>
      <c r="H20" s="2227" t="s">
        <v>2655</v>
      </c>
      <c r="I20" s="874">
        <f>SUMIF('数据-取费表'!C6:C15,E2,'数据-取费表'!F6:F15)/COUNTIF('数据-取费表'!C6:C15,E2)</f>
        <v>36.11</v>
      </c>
      <c r="J20" s="875">
        <f>IF(E2="住宅",70,IF(E2="商业",40,50))</f>
        <v>50</v>
      </c>
      <c r="K20" s="1259"/>
      <c r="L20" s="2228" t="s">
        <v>2656</v>
      </c>
      <c r="M20" s="1468">
        <f>ROUND(SUMPRODUCT((地价!A4:A37=YEAR(G19)&amp;"-"&amp;ROUNDUP(MONTH(G19)/3,0))*(地价!B2:F2=E2)*(地价!B4:F37)),0)</f>
        <v>334</v>
      </c>
      <c r="N20" s="2229" t="s">
        <v>2657</v>
      </c>
      <c r="O20" s="2230" t="s">
        <v>2658</v>
      </c>
      <c r="P20" s="2231" t="s">
        <v>2659</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3252</v>
      </c>
      <c r="C21" s="876">
        <f>IF(B21="容积率修正",IF(G3&lt;=10,D22,J22),C23)</f>
        <v>3.8913000000000002</v>
      </c>
      <c r="D21" s="2234"/>
      <c r="E21" s="2234"/>
      <c r="F21" s="2234"/>
      <c r="G21" s="2234"/>
      <c r="H21" s="2234"/>
      <c r="I21" s="2234"/>
      <c r="J21" s="2235"/>
      <c r="K21" s="1259"/>
      <c r="L21" s="2988"/>
      <c r="M21" s="2988"/>
      <c r="N21" s="2236" t="s">
        <v>2660</v>
      </c>
      <c r="O21" s="1307"/>
      <c r="P21" s="1308">
        <f>SUMPRODUCT((地价!A3:A37=YEAR(G19)&amp;"-"&amp;ROUNDUP(MONTH(G19)/3,0))*(地价!AD2:AH2=N21)*(地价!AD3:AH37))</f>
        <v>1.0200000000000001E-2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2661</v>
      </c>
      <c r="B22" s="2237" t="s">
        <v>2662</v>
      </c>
      <c r="C22" s="1505" t="s">
        <v>2663</v>
      </c>
      <c r="D22" s="1505">
        <f>IF(E22=G22,F22,IF(G3&lt;=10,ROUND(F22+(H22-F22)*(G3-E22)/(G22-E22),4),"——"))</f>
        <v>3.8913000000000002</v>
      </c>
      <c r="E22" s="855">
        <f>ROUNDDOWN(G3,1)</f>
        <v>0.2</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855">
        <f>ROUNDUP(G3,1)</f>
        <v>0.30000000000000004</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505" t="s">
        <v>155</v>
      </c>
      <c r="J22" s="877" t="str">
        <f>IF(G3&gt;10,D113,"——")</f>
        <v>——</v>
      </c>
      <c r="K22" s="1259"/>
      <c r="L22" s="2988"/>
      <c r="M22" s="2988"/>
      <c r="N22" s="2236" t="s">
        <v>2664</v>
      </c>
      <c r="O22" s="1307"/>
      <c r="P22" s="1308">
        <f>SUMPRODUCT((地价!A3:A37=YEAR(G19)&amp;"-"&amp;ROUNDUP(MONTH(G19)/3,0))*(地价!AD2:AH2=N22)*(地价!AD3:AH37))</f>
        <v>1.0200000000000001E-2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2665</v>
      </c>
      <c r="B23" s="2238" t="s">
        <v>2666</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2667</v>
      </c>
      <c r="O23" s="1307"/>
      <c r="P23" s="1308">
        <f>SUMPRODUCT((地价!A3:A37=YEAR(G19)&amp;"-"&amp;ROUNDUP(MONTH(G19)/3,0))*(地价!AD2:AH2=N23)*(地价!AD3:AH37))</f>
        <v>1.77E-2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2668</v>
      </c>
      <c r="C24" s="863">
        <f>SUMIF(A45:A88,E2,B45:B88)</f>
        <v>1</v>
      </c>
      <c r="D24" s="2217"/>
      <c r="E24" s="2244"/>
      <c r="F24" s="2244"/>
      <c r="G24" s="2244"/>
      <c r="H24" s="2244"/>
      <c r="I24" s="2244"/>
      <c r="J24" s="2245"/>
      <c r="K24" s="1259"/>
      <c r="L24" s="2988"/>
      <c r="M24" s="2988"/>
      <c r="N24" s="2246" t="s">
        <v>2669</v>
      </c>
      <c r="O24" s="1309"/>
      <c r="P24" s="1310">
        <f>SUMPRODUCT((地价!A3:A37=YEAR(G19)&amp;"-"&amp;ROUNDUP(MONTH(G19)/3,0))*(地价!AD2:AH2=N24)*(地价!AD3:AH37))</f>
        <v>1.18E-2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2670</v>
      </c>
      <c r="C25" s="869"/>
      <c r="D25" s="2181"/>
      <c r="E25" s="2181"/>
      <c r="F25" s="2248"/>
      <c r="G25" s="2181"/>
      <c r="H25" s="2181"/>
      <c r="I25" s="2181"/>
      <c r="J25" s="2182"/>
      <c r="K25" s="1252"/>
      <c r="L25" s="2152"/>
      <c r="M25" s="2152"/>
      <c r="N25" s="2983" t="s">
        <v>2671</v>
      </c>
      <c r="O25" s="2984"/>
      <c r="P25" s="2985">
        <f>SUMPRODUCT((地价!A3:A37=YEAR(G19)&amp;"-"&amp;ROUNDUP(MONTH(G19)/3,0))*(地价!AD2:AH2=N25)*(地价!AD3:AH37))</f>
        <v>1.61E-2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2672</v>
      </c>
      <c r="C26" s="2511">
        <f>IF(B21="容积率修正",E29+SUM(E33:E39),SUM(V2:V16)+SUM(E33:E39))</f>
        <v>3920</v>
      </c>
      <c r="D26" s="2250"/>
      <c r="E26" s="2206"/>
      <c r="F26" s="2251"/>
      <c r="G26" s="2206"/>
      <c r="H26" s="2206"/>
      <c r="I26" s="2206"/>
      <c r="J26" s="2252"/>
      <c r="K26" s="1252"/>
      <c r="L26" s="2986" t="s">
        <v>2572</v>
      </c>
      <c r="M26" s="2179" t="s">
        <v>2636</v>
      </c>
      <c r="N26" s="2179" t="s">
        <v>2637</v>
      </c>
      <c r="O26" s="2179" t="s">
        <v>2638</v>
      </c>
      <c r="P26" s="2987" t="s">
        <v>2639</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2673</v>
      </c>
      <c r="C27" s="870">
        <f>E30+SUM(I33:I39)</f>
        <v>94</v>
      </c>
      <c r="D27" s="2254"/>
      <c r="E27" s="2255"/>
      <c r="F27" s="2256"/>
      <c r="G27" s="2255"/>
      <c r="H27" s="2255"/>
      <c r="I27" s="2255"/>
      <c r="J27" s="2257"/>
      <c r="K27" s="1252"/>
      <c r="L27" s="2212" t="s">
        <v>2643</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2674</v>
      </c>
      <c r="C28" s="2260" t="s">
        <v>2675</v>
      </c>
      <c r="D28" s="2260" t="s">
        <v>2676</v>
      </c>
      <c r="E28" s="2261" t="s">
        <v>2677</v>
      </c>
      <c r="F28" s="2262"/>
      <c r="G28" s="2194"/>
      <c r="H28" s="2194"/>
      <c r="I28" s="2194"/>
      <c r="J28" s="2195"/>
      <c r="K28" s="1252"/>
      <c r="L28" s="2213" t="s">
        <v>2646</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2678</v>
      </c>
      <c r="C29" s="180">
        <f>ROUND(C5*C18*C19*C20*C21*C24,0)</f>
        <v>7552</v>
      </c>
      <c r="D29" s="2265">
        <f>'数据-汇总表'!F19</f>
        <v>4363.97</v>
      </c>
      <c r="E29" s="879">
        <f>ROUND(C29*D29/10000,0)</f>
        <v>3296</v>
      </c>
      <c r="F29" s="2266" t="s">
        <v>2679</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2680</v>
      </c>
      <c r="C30" s="193">
        <f>ROUND(IF(E2="工业",C29*M39,C29*M38),0)</f>
        <v>1133</v>
      </c>
      <c r="D30" s="2271"/>
      <c r="E30" s="879">
        <f>ROUND(C30*D30/10000,0)</f>
        <v>0</v>
      </c>
      <c r="F30" s="2272" t="s">
        <v>2681</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2682</v>
      </c>
      <c r="C31" s="2277" t="s">
        <v>2683</v>
      </c>
      <c r="D31" s="2194"/>
      <c r="E31" s="2277"/>
      <c r="F31" s="2277"/>
      <c r="G31" s="2192" t="s">
        <v>2684</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2675</v>
      </c>
      <c r="D32" s="455" t="s">
        <v>2676</v>
      </c>
      <c r="E32" s="455" t="s">
        <v>2677</v>
      </c>
      <c r="F32" s="348" t="s">
        <v>2685</v>
      </c>
      <c r="G32" s="2280" t="s">
        <v>2675</v>
      </c>
      <c r="H32" s="2280" t="s">
        <v>2676</v>
      </c>
      <c r="I32" s="2280" t="s">
        <v>2677</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45"/>
      <c r="B33" s="2281" t="s">
        <v>2686</v>
      </c>
      <c r="C33" s="180">
        <f>ROUND(D5*C19*C20*C24*F33,0)</f>
        <v>1359</v>
      </c>
      <c r="D33" s="2265"/>
      <c r="E33" s="176">
        <f>ROUND(C33*D33/10000,0)</f>
        <v>0</v>
      </c>
      <c r="F33" s="176">
        <f>SUMIF(修正!A45:A56,G2,修正!B45:B56)</f>
        <v>0.7</v>
      </c>
      <c r="G33" s="176">
        <f t="shared" ref="G33" si="6">ROUND(IF(E2="工业",C33*$M$39,C33*$M$38),0)</f>
        <v>204</v>
      </c>
      <c r="H33" s="176">
        <f>D33</f>
        <v>0</v>
      </c>
      <c r="I33" s="176">
        <f>ROUND(G33*H33/10000,0)</f>
        <v>0</v>
      </c>
      <c r="J33" s="3550" t="s">
        <v>2983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46"/>
      <c r="B34" s="2198" t="s">
        <v>2687</v>
      </c>
      <c r="C34" s="180">
        <f>ROUND(D5*C19*C20*C24*F34,0)</f>
        <v>776</v>
      </c>
      <c r="D34" s="2265"/>
      <c r="E34" s="176">
        <f t="shared" ref="E34:E39" si="7">ROUND(C34*D34/10000,0)</f>
        <v>0</v>
      </c>
      <c r="F34" s="176">
        <f>SUMIF(修正!A45:A56,G2,修正!C45:C56)</f>
        <v>0.4</v>
      </c>
      <c r="G34" s="176">
        <f>ROUND(IF(E2="工业",C34*$M$39,C34*$M$38),0)</f>
        <v>116</v>
      </c>
      <c r="H34" s="176">
        <f t="shared" ref="H34:H39" si="8">D34</f>
        <v>0</v>
      </c>
      <c r="I34" s="176">
        <f t="shared" ref="I34:I39" si="9">ROUND(G34*H34/10000,0)</f>
        <v>0</v>
      </c>
      <c r="J34" s="3546"/>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46"/>
      <c r="B35" s="2198" t="s">
        <v>2688</v>
      </c>
      <c r="C35" s="180">
        <f>ROUND(D5*C19*C20*C24*F35,0)</f>
        <v>543</v>
      </c>
      <c r="D35" s="2265"/>
      <c r="E35" s="176">
        <f t="shared" si="7"/>
        <v>0</v>
      </c>
      <c r="F35" s="176">
        <f>SUMIF(修正!A45:A56,G2,修正!D45:D56)</f>
        <v>0.28000000000000003</v>
      </c>
      <c r="G35" s="176">
        <f>ROUND(IF(E2="工业",C35*$M$39,C35*$M$38),0)</f>
        <v>81</v>
      </c>
      <c r="H35" s="176">
        <f t="shared" si="8"/>
        <v>0</v>
      </c>
      <c r="I35" s="176">
        <f t="shared" si="9"/>
        <v>0</v>
      </c>
      <c r="J35" s="3546"/>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47"/>
      <c r="B36" s="2198" t="s">
        <v>2689</v>
      </c>
      <c r="C36" s="180">
        <f>ROUND(D5*C19*C20*C24*F36,0)</f>
        <v>485</v>
      </c>
      <c r="D36" s="2265"/>
      <c r="E36" s="176">
        <f t="shared" si="7"/>
        <v>0</v>
      </c>
      <c r="F36" s="176">
        <f>SUMIF(修正!A45:A56,G2,修正!E45:E56)</f>
        <v>0.25</v>
      </c>
      <c r="G36" s="176">
        <f>ROUND(IF(E2="工业",C36*$M$39,C36*$M$38),0)</f>
        <v>73</v>
      </c>
      <c r="H36" s="176">
        <f t="shared" si="8"/>
        <v>0</v>
      </c>
      <c r="I36" s="176">
        <f t="shared" si="9"/>
        <v>0</v>
      </c>
      <c r="J36" s="3547"/>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2690</v>
      </c>
      <c r="C37" s="176">
        <f>ROUND(D5*C19*C20*C24*F37,0)</f>
        <v>485</v>
      </c>
      <c r="D37" s="2265">
        <f>'数据-基础表'!K5</f>
        <v>6241.54</v>
      </c>
      <c r="E37" s="176">
        <f t="shared" si="7"/>
        <v>303</v>
      </c>
      <c r="F37" s="180">
        <f>SUMIF(修正!A45:A56,G2,修正!F45:F56)</f>
        <v>0.25</v>
      </c>
      <c r="G37" s="176">
        <f>ROUND(IF(E2="工业",C37*$M$39,C37*$M$38),0)</f>
        <v>73</v>
      </c>
      <c r="H37" s="176">
        <f t="shared" si="8"/>
        <v>6241.54</v>
      </c>
      <c r="I37" s="176">
        <f t="shared" si="9"/>
        <v>46</v>
      </c>
      <c r="J37" s="2282"/>
      <c r="K37" s="1252"/>
      <c r="L37" s="2284" t="s">
        <v>2691</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2692</v>
      </c>
      <c r="C38" s="176">
        <f>ROUND(D5*C19*C41*C24*F38,0)</f>
        <v>485</v>
      </c>
      <c r="D38" s="2265"/>
      <c r="E38" s="176">
        <f t="shared" si="7"/>
        <v>0</v>
      </c>
      <c r="F38" s="180">
        <f>SUMIF(修正!A45:A56,G2,修正!G45:G56)</f>
        <v>0.25</v>
      </c>
      <c r="G38" s="176">
        <f>ROUND(IF(E2="工业",C38*$M$39,C38*$M$38),0)</f>
        <v>73</v>
      </c>
      <c r="H38" s="176">
        <f t="shared" si="8"/>
        <v>0</v>
      </c>
      <c r="I38" s="176">
        <f t="shared" si="9"/>
        <v>0</v>
      </c>
      <c r="J38" s="2282"/>
      <c r="K38" s="1252"/>
      <c r="L38" s="1574" t="s">
        <v>2693</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2694</v>
      </c>
      <c r="C39" s="193">
        <f>ROUND(D5*C19*C41*C24*F39,0)</f>
        <v>388</v>
      </c>
      <c r="D39" s="2271">
        <f>'数据-基础表'!M5</f>
        <v>8266.82</v>
      </c>
      <c r="E39" s="193">
        <f t="shared" si="7"/>
        <v>321</v>
      </c>
      <c r="F39" s="871">
        <f>SUMIF(修正!A45:A56,G2,修正!H45:H56)</f>
        <v>0.2</v>
      </c>
      <c r="G39" s="193">
        <f>ROUND(IF(E2="工业",C39*$M$39,C39*$M$38),0)</f>
        <v>58</v>
      </c>
      <c r="H39" s="193">
        <f t="shared" si="8"/>
        <v>8266.82</v>
      </c>
      <c r="I39" s="193">
        <f t="shared" si="9"/>
        <v>48</v>
      </c>
      <c r="J39" s="2288"/>
      <c r="K39" s="1252"/>
      <c r="L39" s="2289" t="s">
        <v>2639</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2799</v>
      </c>
      <c r="C41" s="348">
        <f>ROUND(POWER(1+E41,H41-G41)*(POWER(1+E41,G41)-1)/(POWER(1+E41,H41)-1),4)</f>
        <v>0.90259999999999996</v>
      </c>
      <c r="D41" s="176" t="s">
        <v>2646</v>
      </c>
      <c r="E41" s="2338">
        <f>G20</f>
        <v>4.8000000000000001E-2</v>
      </c>
      <c r="F41" s="176" t="s">
        <v>2655</v>
      </c>
      <c r="G41" s="189">
        <f>项目基本情况!I15</f>
        <v>36.11</v>
      </c>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2695</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2696</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2697</v>
      </c>
      <c r="B47" s="1504" t="s">
        <v>2698</v>
      </c>
      <c r="C47" s="1504" t="s">
        <v>2699</v>
      </c>
      <c r="D47" s="1504" t="s">
        <v>2700</v>
      </c>
      <c r="E47" s="758" t="s">
        <v>2701</v>
      </c>
      <c r="F47" s="2299" t="s">
        <v>2702</v>
      </c>
      <c r="G47" s="1504" t="s">
        <v>754</v>
      </c>
      <c r="H47" s="2300" t="s">
        <v>2703</v>
      </c>
      <c r="I47" s="1504" t="s">
        <v>2704</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24.75">
      <c r="A48" s="2298" t="s">
        <v>2705</v>
      </c>
      <c r="B48" s="2301">
        <f>估价对象房地状况!C4</f>
        <v>0</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8" t="s">
        <v>2706</v>
      </c>
      <c r="B49" s="2302">
        <f>估价对象房地状况!C18</f>
        <v>0</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2707</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2708</v>
      </c>
      <c r="B51" s="2303" t="s">
        <v>2709</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2710</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2711</v>
      </c>
      <c r="B53" s="2304" t="s">
        <v>2712</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5" t="s">
        <v>2713</v>
      </c>
      <c r="B54" s="1465">
        <f>估价对象房地状况!C21</f>
        <v>0</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5" t="s">
        <v>2714</v>
      </c>
      <c r="B55" s="2302">
        <f>估价对象房地状况!C22</f>
        <v>0</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6" t="s">
        <v>2715</v>
      </c>
      <c r="B56" s="2307">
        <f>估价对象房地状况!C20</f>
        <v>0</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2716</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2697</v>
      </c>
      <c r="B58" s="1504"/>
      <c r="C58" s="1504" t="s">
        <v>2699</v>
      </c>
      <c r="D58" s="1504" t="s">
        <v>2700</v>
      </c>
      <c r="E58" s="758" t="s">
        <v>2701</v>
      </c>
      <c r="F58" s="2299" t="s">
        <v>2717</v>
      </c>
      <c r="G58" s="1504" t="s">
        <v>754</v>
      </c>
      <c r="H58" s="2300" t="s">
        <v>2703</v>
      </c>
      <c r="I58" s="1504" t="s">
        <v>2704</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24">
      <c r="A59" s="2298" t="s">
        <v>2718</v>
      </c>
      <c r="B59" s="2301">
        <f>估价对象房地状况!C17</f>
        <v>0</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8" t="s">
        <v>2706</v>
      </c>
      <c r="B60" s="2302">
        <f>估价对象房地状况!C18</f>
        <v>0</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2707</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2708</v>
      </c>
      <c r="B62" s="2303" t="s">
        <v>2709</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2710</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2711</v>
      </c>
      <c r="B64" s="2304" t="s">
        <v>2712</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8" t="s">
        <v>2713</v>
      </c>
      <c r="B65" s="1465">
        <f>估价对象房地状况!C21</f>
        <v>0</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8" t="s">
        <v>2714</v>
      </c>
      <c r="B66" s="1465">
        <f>估价对象房地状况!C22</f>
        <v>0</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6" t="s">
        <v>2715</v>
      </c>
      <c r="B67" s="2308">
        <f>估价对象房地状况!C20</f>
        <v>0</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2719</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2697</v>
      </c>
      <c r="B69" s="1504"/>
      <c r="C69" s="1504" t="s">
        <v>2699</v>
      </c>
      <c r="D69" s="1504" t="s">
        <v>2700</v>
      </c>
      <c r="E69" s="758" t="s">
        <v>2701</v>
      </c>
      <c r="F69" s="2299" t="s">
        <v>2717</v>
      </c>
      <c r="G69" s="1504" t="s">
        <v>754</v>
      </c>
      <c r="H69" s="2300" t="s">
        <v>2703</v>
      </c>
      <c r="I69" s="1504" t="s">
        <v>2704</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24">
      <c r="A70" s="2298" t="s">
        <v>2720</v>
      </c>
      <c r="B70" s="2301">
        <f>估价对象房地状况!C15</f>
        <v>0</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8" t="s">
        <v>2706</v>
      </c>
      <c r="B71" s="2302">
        <f>估价对象房地状况!C18</f>
        <v>0</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2707</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2721</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8" t="s">
        <v>2713</v>
      </c>
      <c r="B74" s="1465">
        <f>估价对象房地状况!C21</f>
        <v>0</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8" t="s">
        <v>2714</v>
      </c>
      <c r="B75" s="1465">
        <f>估价对象房地状况!C22</f>
        <v>0</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2711</v>
      </c>
      <c r="B76" s="2304" t="s">
        <v>2712</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24">
      <c r="A77" s="2298" t="s">
        <v>2715</v>
      </c>
      <c r="B77" s="2301">
        <f>估价对象房地状况!C20</f>
        <v>0</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2722</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2723</v>
      </c>
      <c r="B79" s="2295">
        <f>1+E81</f>
        <v>1</v>
      </c>
      <c r="C79" s="753"/>
      <c r="D79" s="753"/>
      <c r="E79" s="754"/>
      <c r="F79" s="2297"/>
      <c r="G79" s="6"/>
      <c r="H79" s="6"/>
      <c r="I79" s="6"/>
      <c r="J79" s="7"/>
      <c r="K79" s="7"/>
      <c r="L79" s="7"/>
      <c r="M79" s="7"/>
      <c r="N79" s="7"/>
      <c r="Z79" s="2153"/>
      <c r="AA79" s="2219"/>
      <c r="AG79" s="1254"/>
      <c r="AK79" s="2219"/>
    </row>
    <row r="80" spans="1:37" ht="24.75">
      <c r="A80" s="2298" t="s">
        <v>2697</v>
      </c>
      <c r="B80" s="1504"/>
      <c r="C80" s="1504" t="s">
        <v>2699</v>
      </c>
      <c r="D80" s="1504" t="s">
        <v>2700</v>
      </c>
      <c r="E80" s="758" t="s">
        <v>2701</v>
      </c>
      <c r="F80" s="2299" t="s">
        <v>2717</v>
      </c>
      <c r="G80" s="1504" t="s">
        <v>754</v>
      </c>
      <c r="H80" s="2300" t="s">
        <v>2703</v>
      </c>
      <c r="I80" s="1504" t="s">
        <v>2704</v>
      </c>
      <c r="J80" s="560" t="s">
        <v>2356</v>
      </c>
      <c r="K80" s="560" t="s">
        <v>2357</v>
      </c>
      <c r="L80" s="560" t="s">
        <v>2358</v>
      </c>
      <c r="M80" s="560" t="s">
        <v>2359</v>
      </c>
      <c r="N80" s="560" t="s">
        <v>2360</v>
      </c>
      <c r="Z80" s="2153"/>
      <c r="AA80" s="2219"/>
      <c r="AG80" s="1254"/>
      <c r="AK80" s="2219"/>
    </row>
    <row r="81" spans="1:37" ht="24">
      <c r="A81" s="2298" t="s">
        <v>2724</v>
      </c>
      <c r="B81" s="2302">
        <f>估价对象房地状况!G15</f>
        <v>0</v>
      </c>
      <c r="C81" s="2203"/>
      <c r="D81" s="1196">
        <f t="shared" ref="D81:D88" si="25">SUMIF($J$80:$N$80,C81,J81:N81)</f>
        <v>0</v>
      </c>
      <c r="E81" s="760">
        <f>ROUND(SUM(D81:D88),4)</f>
        <v>0</v>
      </c>
      <c r="F81" s="1969">
        <f>IF(E2="工业",SUMIF(L1:L12,G2,N1:N12),"——")</f>
        <v>0.13</v>
      </c>
      <c r="G81" s="1194"/>
      <c r="H81" s="1198">
        <f t="shared" ref="H81:H88" si="26">IFERROR(ROUNDDOWN($F$81*I81/2,4),"——")</f>
        <v>1.6899999999999998E-2</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14.25">
      <c r="A82" s="2298" t="s">
        <v>2706</v>
      </c>
      <c r="B82" s="2302">
        <f>估价对象房地状况!G16</f>
        <v>0</v>
      </c>
      <c r="C82" s="2203"/>
      <c r="D82" s="1196">
        <f t="shared" si="25"/>
        <v>0</v>
      </c>
      <c r="E82" s="765"/>
      <c r="F82" s="1969"/>
      <c r="G82" s="1194"/>
      <c r="H82" s="1198">
        <f t="shared" si="26"/>
        <v>2.1399999999999999E-2</v>
      </c>
      <c r="I82" s="759">
        <v>0.33</v>
      </c>
      <c r="J82" s="1195">
        <f t="shared" si="27"/>
        <v>0</v>
      </c>
      <c r="K82" s="1195">
        <f t="shared" si="28"/>
        <v>0</v>
      </c>
      <c r="L82" s="1195">
        <v>0</v>
      </c>
      <c r="M82" s="1195">
        <f t="shared" si="29"/>
        <v>0</v>
      </c>
      <c r="N82" s="1195">
        <f t="shared" si="29"/>
        <v>0</v>
      </c>
      <c r="Z82" s="2153"/>
      <c r="AA82" s="2219"/>
      <c r="AG82" s="1254"/>
      <c r="AK82" s="2219"/>
    </row>
    <row r="83" spans="1:37" ht="24">
      <c r="A83" s="2298" t="s">
        <v>2707</v>
      </c>
      <c r="B83" s="2302">
        <f>估价对象房地状况!G17</f>
        <v>0</v>
      </c>
      <c r="C83" s="2203"/>
      <c r="D83" s="1196">
        <f t="shared" si="25"/>
        <v>0</v>
      </c>
      <c r="E83" s="765"/>
      <c r="F83" s="1969"/>
      <c r="G83" s="1194"/>
      <c r="H83" s="1198">
        <f t="shared" si="26"/>
        <v>3.2000000000000002E-3</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2721</v>
      </c>
      <c r="B84" s="2302">
        <f>估价对象房地状况!G22</f>
        <v>0</v>
      </c>
      <c r="C84" s="2203"/>
      <c r="D84" s="1196">
        <f t="shared" si="25"/>
        <v>0</v>
      </c>
      <c r="E84" s="765"/>
      <c r="F84" s="1969"/>
      <c r="G84" s="1194"/>
      <c r="H84" s="1198">
        <f t="shared" si="26"/>
        <v>2.5999999999999999E-3</v>
      </c>
      <c r="I84" s="759">
        <v>0.04</v>
      </c>
      <c r="J84" s="1195">
        <f t="shared" si="27"/>
        <v>0</v>
      </c>
      <c r="K84" s="1195">
        <f t="shared" si="28"/>
        <v>0</v>
      </c>
      <c r="L84" s="1195">
        <v>0</v>
      </c>
      <c r="M84" s="1195">
        <f t="shared" si="29"/>
        <v>0</v>
      </c>
      <c r="N84" s="1195">
        <f t="shared" si="29"/>
        <v>0</v>
      </c>
      <c r="Z84" s="2153"/>
      <c r="AA84" s="2219"/>
      <c r="AG84" s="1254"/>
      <c r="AK84" s="2219"/>
    </row>
    <row r="85" spans="1:37" ht="24">
      <c r="A85" s="2298" t="s">
        <v>2713</v>
      </c>
      <c r="B85" s="1465">
        <f>估价对象房地状况!G19</f>
        <v>0</v>
      </c>
      <c r="C85" s="2203"/>
      <c r="D85" s="1196">
        <f t="shared" si="25"/>
        <v>0</v>
      </c>
      <c r="E85" s="765"/>
      <c r="F85" s="1969"/>
      <c r="G85" s="1194"/>
      <c r="H85" s="1198">
        <f t="shared" si="26"/>
        <v>3.8999999999999998E-3</v>
      </c>
      <c r="I85" s="759">
        <v>0.06</v>
      </c>
      <c r="J85" s="1195">
        <f t="shared" si="27"/>
        <v>0</v>
      </c>
      <c r="K85" s="1195">
        <f t="shared" si="28"/>
        <v>0</v>
      </c>
      <c r="L85" s="1195">
        <v>0</v>
      </c>
      <c r="M85" s="1195">
        <f t="shared" si="29"/>
        <v>0</v>
      </c>
      <c r="N85" s="1195">
        <f t="shared" si="29"/>
        <v>0</v>
      </c>
      <c r="Z85" s="2153"/>
      <c r="AA85" s="2219"/>
      <c r="AG85" s="1254"/>
      <c r="AK85" s="2219"/>
    </row>
    <row r="86" spans="1:37" ht="24">
      <c r="A86" s="2298" t="s">
        <v>2714</v>
      </c>
      <c r="B86" s="1465">
        <f>估价对象房地状况!G20</f>
        <v>0</v>
      </c>
      <c r="C86" s="2203"/>
      <c r="D86" s="1196">
        <f t="shared" si="25"/>
        <v>0</v>
      </c>
      <c r="E86" s="765"/>
      <c r="F86" s="1969"/>
      <c r="G86" s="1194"/>
      <c r="H86" s="1198">
        <f t="shared" si="26"/>
        <v>9.7000000000000003E-3</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2711</v>
      </c>
      <c r="B87" s="2304" t="s">
        <v>2725</v>
      </c>
      <c r="C87" s="2203"/>
      <c r="D87" s="1196">
        <f t="shared" si="25"/>
        <v>0</v>
      </c>
      <c r="E87" s="765"/>
      <c r="F87" s="1969"/>
      <c r="G87" s="1194"/>
      <c r="H87" s="1198">
        <f t="shared" si="26"/>
        <v>3.2000000000000002E-3</v>
      </c>
      <c r="I87" s="759">
        <v>0.05</v>
      </c>
      <c r="J87" s="1195">
        <f t="shared" si="27"/>
        <v>0</v>
      </c>
      <c r="K87" s="1195">
        <f t="shared" si="28"/>
        <v>0</v>
      </c>
      <c r="L87" s="1195">
        <v>0</v>
      </c>
      <c r="M87" s="1195">
        <f t="shared" si="29"/>
        <v>0</v>
      </c>
      <c r="N87" s="1195">
        <f t="shared" si="29"/>
        <v>0</v>
      </c>
      <c r="Z87" s="2153"/>
      <c r="AA87" s="2219"/>
      <c r="AG87" s="1254"/>
      <c r="AK87" s="2219"/>
    </row>
    <row r="88" spans="1:37" ht="15" thickBot="1">
      <c r="A88" s="2306" t="s">
        <v>2726</v>
      </c>
      <c r="B88" s="2311">
        <f>估价对象房地状况!G18</f>
        <v>0</v>
      </c>
      <c r="C88" s="2203"/>
      <c r="D88" s="1196">
        <f t="shared" si="25"/>
        <v>0</v>
      </c>
      <c r="E88" s="766"/>
      <c r="F88" s="1969"/>
      <c r="G88" s="1194"/>
      <c r="H88" s="1198">
        <f t="shared" si="26"/>
        <v>3.8999999999999998E-3</v>
      </c>
      <c r="I88" s="763">
        <v>0.06</v>
      </c>
      <c r="J88" s="1195">
        <f t="shared" si="27"/>
        <v>0</v>
      </c>
      <c r="K88" s="1195">
        <f t="shared" si="28"/>
        <v>0</v>
      </c>
      <c r="L88" s="1195">
        <v>0</v>
      </c>
      <c r="M88" s="1195">
        <f t="shared" si="29"/>
        <v>0</v>
      </c>
      <c r="N88" s="1195">
        <f t="shared" si="29"/>
        <v>0</v>
      </c>
      <c r="Z88" s="2153"/>
      <c r="AA88" s="2219"/>
      <c r="AG88" s="1254"/>
      <c r="AK88" s="2219"/>
    </row>
    <row r="90" spans="1:37">
      <c r="A90" s="3537" t="s">
        <v>2727</v>
      </c>
      <c r="B90" s="3537"/>
      <c r="C90" s="3537"/>
      <c r="D90" s="3537"/>
      <c r="E90" s="3537"/>
      <c r="F90" s="3537"/>
      <c r="G90" s="3537"/>
      <c r="H90" s="3537"/>
      <c r="I90" s="3537"/>
      <c r="J90" s="3537"/>
      <c r="K90" s="2312"/>
      <c r="L90" s="2312"/>
      <c r="M90" s="2312"/>
      <c r="N90" s="2312"/>
    </row>
    <row r="91" spans="1:37">
      <c r="A91" s="3539" t="s">
        <v>2728</v>
      </c>
      <c r="B91" s="3539" t="s">
        <v>2729</v>
      </c>
      <c r="C91" s="2266" t="s">
        <v>2730</v>
      </c>
      <c r="D91" s="2267"/>
      <c r="E91" s="2267"/>
      <c r="F91" s="2267"/>
      <c r="G91" s="2267"/>
      <c r="H91" s="2267"/>
      <c r="I91" s="2267"/>
      <c r="J91" s="2313"/>
      <c r="K91" s="2314"/>
      <c r="L91" s="2314"/>
      <c r="M91" s="2314"/>
      <c r="N91" s="2314"/>
    </row>
    <row r="92" spans="1:37">
      <c r="A92" s="3539"/>
      <c r="B92" s="3539"/>
      <c r="C92" s="879" t="s">
        <v>2598</v>
      </c>
      <c r="D92" s="879" t="s">
        <v>2599</v>
      </c>
      <c r="E92" s="879" t="s">
        <v>2600</v>
      </c>
      <c r="F92" s="879" t="s">
        <v>2601</v>
      </c>
      <c r="G92" s="879" t="s">
        <v>2602</v>
      </c>
      <c r="H92" s="879" t="s">
        <v>2603</v>
      </c>
      <c r="I92" s="879" t="s">
        <v>2604</v>
      </c>
      <c r="J92" s="879" t="s">
        <v>2605</v>
      </c>
      <c r="K92" s="879" t="s">
        <v>2606</v>
      </c>
      <c r="L92" s="879" t="s">
        <v>2607</v>
      </c>
      <c r="M92" s="879" t="s">
        <v>2608</v>
      </c>
      <c r="N92" s="879" t="s">
        <v>2609</v>
      </c>
    </row>
    <row r="93" spans="1:37">
      <c r="A93" s="3540" t="s">
        <v>2731</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41"/>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41"/>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41"/>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41"/>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41"/>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41"/>
      <c r="B99" s="2315" t="s">
        <v>2614</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42"/>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40" t="s">
        <v>2732</v>
      </c>
      <c r="B101" s="2319" t="s">
        <v>2733</v>
      </c>
      <c r="C101" s="2320">
        <f>$G$3</f>
        <v>0.28999999999999998</v>
      </c>
      <c r="D101" s="2320">
        <f t="shared" ref="D101:N101" si="31">$G$3</f>
        <v>0.28999999999999998</v>
      </c>
      <c r="E101" s="2320">
        <f t="shared" si="31"/>
        <v>0.28999999999999998</v>
      </c>
      <c r="F101" s="2320">
        <f t="shared" si="31"/>
        <v>0.28999999999999998</v>
      </c>
      <c r="G101" s="2320">
        <f t="shared" si="31"/>
        <v>0.28999999999999998</v>
      </c>
      <c r="H101" s="2320">
        <f t="shared" si="31"/>
        <v>0.28999999999999998</v>
      </c>
      <c r="I101" s="2320">
        <f t="shared" si="31"/>
        <v>0.28999999999999998</v>
      </c>
      <c r="J101" s="2320">
        <f t="shared" si="31"/>
        <v>0.28999999999999998</v>
      </c>
      <c r="K101" s="2320">
        <f t="shared" si="31"/>
        <v>0.28999999999999998</v>
      </c>
      <c r="L101" s="2320">
        <f t="shared" si="31"/>
        <v>0.28999999999999998</v>
      </c>
      <c r="M101" s="2320">
        <f t="shared" si="31"/>
        <v>0.28999999999999998</v>
      </c>
      <c r="N101" s="2320">
        <f t="shared" si="31"/>
        <v>0.28999999999999998</v>
      </c>
    </row>
    <row r="102" spans="1:14">
      <c r="A102" s="3541"/>
      <c r="B102" s="2315">
        <v>1</v>
      </c>
      <c r="C102" s="2316">
        <f>1.9362/C101</f>
        <v>6.6765517241379309</v>
      </c>
      <c r="D102" s="2316">
        <f>1.9362/D101</f>
        <v>6.6765517241379309</v>
      </c>
      <c r="E102" s="2316">
        <f>1.8629/E101</f>
        <v>6.4237931034482765</v>
      </c>
      <c r="F102" s="2316">
        <f>1.8629/F101</f>
        <v>6.4237931034482765</v>
      </c>
      <c r="G102" s="2316">
        <f>1.8629/G101</f>
        <v>6.4237931034482765</v>
      </c>
      <c r="H102" s="2316">
        <f>1.8629/H101</f>
        <v>6.4237931034482765</v>
      </c>
      <c r="I102" s="2316">
        <f>1.8629/I101</f>
        <v>6.4237931034482765</v>
      </c>
      <c r="J102" s="2316">
        <f>1.942/J101</f>
        <v>6.6965517241379313</v>
      </c>
      <c r="K102" s="2316">
        <f>1.942/K101</f>
        <v>6.6965517241379313</v>
      </c>
      <c r="L102" s="2316">
        <f>1.942/L101</f>
        <v>6.6965517241379313</v>
      </c>
      <c r="M102" s="2316">
        <f>1.942/M101</f>
        <v>6.6965517241379313</v>
      </c>
      <c r="N102" s="2316">
        <f>1.942/N101</f>
        <v>6.6965517241379313</v>
      </c>
    </row>
    <row r="103" spans="1:14">
      <c r="A103" s="3541"/>
      <c r="B103" s="2315">
        <v>2</v>
      </c>
      <c r="C103" s="2316">
        <f>1.4198/C101</f>
        <v>4.895862068965517</v>
      </c>
      <c r="D103" s="2316">
        <f>1.4198/D101</f>
        <v>4.895862068965517</v>
      </c>
      <c r="E103" s="2316">
        <f>1.3372/E101</f>
        <v>4.6110344827586207</v>
      </c>
      <c r="F103" s="2316">
        <f>1.3372/F101</f>
        <v>4.6110344827586207</v>
      </c>
      <c r="G103" s="2316">
        <f>1.3372/G101</f>
        <v>4.6110344827586207</v>
      </c>
      <c r="H103" s="2316">
        <f>1.3372/H101</f>
        <v>4.6110344827586207</v>
      </c>
      <c r="I103" s="2316">
        <f>1.3372/I101</f>
        <v>4.6110344827586207</v>
      </c>
      <c r="J103" s="2316">
        <f>1.2799/J101</f>
        <v>4.413448275862069</v>
      </c>
      <c r="K103" s="2316">
        <f>1.2799/K101</f>
        <v>4.413448275862069</v>
      </c>
      <c r="L103" s="2316">
        <f>1.2799/L101</f>
        <v>4.413448275862069</v>
      </c>
      <c r="M103" s="2316">
        <f>1.2799/M101</f>
        <v>4.413448275862069</v>
      </c>
      <c r="N103" s="2316">
        <f>1.2799/N101</f>
        <v>4.413448275862069</v>
      </c>
    </row>
    <row r="104" spans="1:14">
      <c r="A104" s="3541"/>
      <c r="B104" s="2315">
        <v>3</v>
      </c>
      <c r="C104" s="2316">
        <f>1.1594/C101</f>
        <v>3.9979310344827588</v>
      </c>
      <c r="D104" s="2316">
        <f>1.1594/D101</f>
        <v>3.9979310344827588</v>
      </c>
      <c r="E104" s="2316">
        <f>1.0788/E101</f>
        <v>3.72</v>
      </c>
      <c r="F104" s="2316">
        <f>1.0788/F101</f>
        <v>3.72</v>
      </c>
      <c r="G104" s="2316">
        <f>1.0788/G101</f>
        <v>3.72</v>
      </c>
      <c r="H104" s="2316">
        <f>1.0788/H101</f>
        <v>3.72</v>
      </c>
      <c r="I104" s="2316">
        <f>1.0788/I101</f>
        <v>3.72</v>
      </c>
      <c r="J104" s="2316">
        <f>1.0072/J101</f>
        <v>3.4731034482758627</v>
      </c>
      <c r="K104" s="2316">
        <f>1.0072/K101</f>
        <v>3.4731034482758627</v>
      </c>
      <c r="L104" s="2316">
        <f>1.0072/L101</f>
        <v>3.4731034482758627</v>
      </c>
      <c r="M104" s="2316">
        <f>1.0072/M101</f>
        <v>3.4731034482758627</v>
      </c>
      <c r="N104" s="2316">
        <f>1.0072/N101</f>
        <v>3.4731034482758627</v>
      </c>
    </row>
    <row r="105" spans="1:14">
      <c r="A105" s="3541"/>
      <c r="B105" s="2315">
        <v>4</v>
      </c>
      <c r="C105" s="2316">
        <f>0.9622/C101</f>
        <v>3.3179310344827591</v>
      </c>
      <c r="D105" s="2316">
        <f>0.9622/D101</f>
        <v>3.3179310344827591</v>
      </c>
      <c r="E105" s="2316">
        <f>0.8656/E101</f>
        <v>2.9848275862068969</v>
      </c>
      <c r="F105" s="2316">
        <f>0.8656/F101</f>
        <v>2.9848275862068969</v>
      </c>
      <c r="G105" s="2316">
        <f>0.8656/G101</f>
        <v>2.9848275862068969</v>
      </c>
      <c r="H105" s="2316">
        <f>0.8656/H101</f>
        <v>2.9848275862068969</v>
      </c>
      <c r="I105" s="2316">
        <f>0.8656/I101</f>
        <v>2.9848275862068969</v>
      </c>
      <c r="J105" s="2316">
        <f>0.7525/J101</f>
        <v>2.5948275862068964</v>
      </c>
      <c r="K105" s="2316">
        <f>0.7525/K101</f>
        <v>2.5948275862068964</v>
      </c>
      <c r="L105" s="2316">
        <f>0.7525/L101</f>
        <v>2.5948275862068964</v>
      </c>
      <c r="M105" s="2316">
        <f>0.7525/M101</f>
        <v>2.5948275862068964</v>
      </c>
      <c r="N105" s="2316">
        <f>0.7525/N101</f>
        <v>2.5948275862068964</v>
      </c>
    </row>
    <row r="106" spans="1:14">
      <c r="A106" s="3541"/>
      <c r="B106" s="2315">
        <v>5</v>
      </c>
      <c r="C106" s="2316">
        <f>0.8417/C101</f>
        <v>2.9024137931034484</v>
      </c>
      <c r="D106" s="2316">
        <f>0.8417/D101</f>
        <v>2.9024137931034484</v>
      </c>
      <c r="E106" s="2316">
        <f>0.7371/E101</f>
        <v>2.5417241379310345</v>
      </c>
      <c r="F106" s="2316">
        <f>0.7371/F101</f>
        <v>2.5417241379310345</v>
      </c>
      <c r="G106" s="2316">
        <f>0.7371/G101</f>
        <v>2.5417241379310345</v>
      </c>
      <c r="H106" s="2316">
        <f>0.7371/H101</f>
        <v>2.5417241379310345</v>
      </c>
      <c r="I106" s="2316">
        <f>0.7371/I101</f>
        <v>2.5417241379310345</v>
      </c>
      <c r="J106" s="2316">
        <f>0.5659/J101</f>
        <v>1.9513793103448276</v>
      </c>
      <c r="K106" s="2316">
        <f>0.5659/K101</f>
        <v>1.9513793103448276</v>
      </c>
      <c r="L106" s="2316">
        <f>0.5659/L101</f>
        <v>1.9513793103448276</v>
      </c>
      <c r="M106" s="2316">
        <f>0.5659/M101</f>
        <v>1.9513793103448276</v>
      </c>
      <c r="N106" s="2316">
        <f>0.5659/N101</f>
        <v>1.9513793103448276</v>
      </c>
    </row>
    <row r="107" spans="1:14">
      <c r="A107" s="3541"/>
      <c r="B107" s="2315">
        <v>6</v>
      </c>
      <c r="C107" s="2316">
        <f>0.7608/C101</f>
        <v>2.6234482758620694</v>
      </c>
      <c r="D107" s="2316">
        <f>0.7608/D101</f>
        <v>2.6234482758620694</v>
      </c>
      <c r="E107" s="2316">
        <f>0.6482/E101</f>
        <v>2.2351724137931037</v>
      </c>
      <c r="F107" s="2316">
        <f>0.6482/F101</f>
        <v>2.2351724137931037</v>
      </c>
      <c r="G107" s="2316">
        <f>0.6482/G101</f>
        <v>2.2351724137931037</v>
      </c>
      <c r="H107" s="2316">
        <f>0.6482/H101</f>
        <v>2.2351724137931037</v>
      </c>
      <c r="I107" s="2316">
        <f>0.6482/I101</f>
        <v>2.2351724137931037</v>
      </c>
      <c r="J107" s="2316">
        <f>0.4525/J101</f>
        <v>1.5603448275862071</v>
      </c>
      <c r="K107" s="2316">
        <f>0.4525/K101</f>
        <v>1.5603448275862071</v>
      </c>
      <c r="L107" s="2316">
        <f>0.4525/L101</f>
        <v>1.5603448275862071</v>
      </c>
      <c r="M107" s="2316">
        <f>0.4525/M101</f>
        <v>1.5603448275862071</v>
      </c>
      <c r="N107" s="2316">
        <f>0.4525/N101</f>
        <v>1.5603448275862071</v>
      </c>
    </row>
    <row r="108" spans="1:14">
      <c r="A108" s="3541"/>
      <c r="B108" s="3543" t="s">
        <v>2734</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42"/>
      <c r="B109" s="3544"/>
      <c r="C109" s="2318">
        <f>(-0.163*(C108^2)-0.59*C108+7617)*(10^(-4))/C101</f>
        <v>2.6265517241379315</v>
      </c>
      <c r="D109" s="2318">
        <f>(-0.163*(D108^2)-0.59*D108+7617)*(10^(-4))/D101</f>
        <v>2.6265517241379315</v>
      </c>
      <c r="E109" s="2318">
        <f>(-0.161*(E108^2)-7.509*E108+6533)*(10^(-4))/E101</f>
        <v>2.2527586206896553</v>
      </c>
      <c r="F109" s="2318">
        <f>(-0.161*(F108^2)-7.509*F108+6533)*(10^(-4))/F101</f>
        <v>2.2527586206896553</v>
      </c>
      <c r="G109" s="2318">
        <f>(-0.161*(G108^2)-7.509*G108+6533)*(10^(-4))/G101</f>
        <v>2.2527586206896553</v>
      </c>
      <c r="H109" s="2318">
        <f>(-0.161*(H108^2)-7.509*H108+6533)*(10^(-4))/H101</f>
        <v>2.2527586206896553</v>
      </c>
      <c r="I109" s="2318">
        <f>(-0.161*(I108^2)-7.509*I108+6533)*(10^(-4))/I101</f>
        <v>2.2527586206896553</v>
      </c>
      <c r="J109" s="2318">
        <f>(-0.214*(J108^2)-21.991*J108+4665)*(10^(-4))/J101</f>
        <v>1.6086206896551727</v>
      </c>
      <c r="K109" s="2318">
        <f>(-0.214*(K108^2)-21.991*K108+4665)*(10^(-4))/K101</f>
        <v>1.6086206896551727</v>
      </c>
      <c r="L109" s="2318">
        <f>(-0.214*(L108^2)-21.991*L108+4665)*(10^(-4))/L101</f>
        <v>1.6086206896551727</v>
      </c>
      <c r="M109" s="2318">
        <f>(-0.214*(M108^2)-21.991*M108+4665)*(10^(-4))/M101</f>
        <v>1.6086206896551727</v>
      </c>
      <c r="N109" s="2318">
        <f>(-0.214*(N108^2)-21.991*N108+4665)*(10^(-4))/N101</f>
        <v>1.6086206896551727</v>
      </c>
    </row>
    <row r="110" spans="1:14">
      <c r="A110" s="3538" t="s">
        <v>2735</v>
      </c>
      <c r="B110" s="3538"/>
      <c r="C110" s="3538"/>
      <c r="D110" s="3538"/>
      <c r="E110" s="3538"/>
      <c r="F110" s="3538"/>
      <c r="G110" s="3538"/>
      <c r="H110" s="3538"/>
      <c r="I110" s="3538"/>
      <c r="J110" s="3538"/>
      <c r="K110" s="2321"/>
      <c r="L110" s="2321"/>
      <c r="M110" s="2321"/>
      <c r="N110" s="2321"/>
    </row>
    <row r="112" spans="1:14" ht="13.5" thickBot="1"/>
    <row r="113" spans="1:13" ht="25.5" thickBot="1">
      <c r="A113" s="842" t="s">
        <v>2736</v>
      </c>
      <c r="B113" s="1197">
        <f>G3</f>
        <v>0.28999999999999998</v>
      </c>
      <c r="C113" s="843" t="s">
        <v>2737</v>
      </c>
      <c r="D113" s="844">
        <f>SUMPRODUCT((A115:A118=F113)*(B114:M114=H113)*B115:M118)</f>
        <v>0.62639999999999996</v>
      </c>
      <c r="E113" s="2157" t="s">
        <v>2572</v>
      </c>
      <c r="F113" s="2323" t="str">
        <f>E2</f>
        <v>工业</v>
      </c>
      <c r="G113" s="2157" t="s">
        <v>2573</v>
      </c>
      <c r="H113" s="2323" t="str">
        <f>G2</f>
        <v>七级</v>
      </c>
      <c r="I113" s="2157"/>
      <c r="J113" s="2324"/>
      <c r="K113" s="2324"/>
      <c r="L113" s="2324"/>
      <c r="M113" s="2324"/>
    </row>
    <row r="114" spans="1:13">
      <c r="A114" s="847"/>
      <c r="B114" s="2325" t="s">
        <v>2738</v>
      </c>
      <c r="C114" s="2325" t="s">
        <v>2739</v>
      </c>
      <c r="D114" s="2325" t="s">
        <v>2740</v>
      </c>
      <c r="E114" s="2326" t="s">
        <v>2741</v>
      </c>
      <c r="F114" s="2326" t="s">
        <v>2742</v>
      </c>
      <c r="G114" s="2326" t="s">
        <v>2743</v>
      </c>
      <c r="H114" s="2327" t="s">
        <v>2744</v>
      </c>
      <c r="I114" s="2327" t="s">
        <v>2745</v>
      </c>
      <c r="J114" s="2328" t="s">
        <v>2746</v>
      </c>
      <c r="K114" s="2328" t="s">
        <v>2747</v>
      </c>
      <c r="L114" s="2328" t="s">
        <v>2748</v>
      </c>
      <c r="M114" s="2329" t="s">
        <v>2749</v>
      </c>
    </row>
    <row r="115" spans="1:13">
      <c r="A115" s="848" t="s">
        <v>2636</v>
      </c>
      <c r="B115" s="849">
        <f>ROUND(0.9335-0.0094*B113,4)</f>
        <v>0.93079999999999996</v>
      </c>
      <c r="C115" s="849">
        <f>B115</f>
        <v>0.93079999999999996</v>
      </c>
      <c r="D115" s="849">
        <f>ROUND(0.8331-0.0109*B113,4)</f>
        <v>0.82989999999999997</v>
      </c>
      <c r="E115" s="849">
        <f>D115</f>
        <v>0.82989999999999997</v>
      </c>
      <c r="F115" s="849">
        <f>E115</f>
        <v>0.82989999999999997</v>
      </c>
      <c r="G115" s="849">
        <f>F115</f>
        <v>0.82989999999999997</v>
      </c>
      <c r="H115" s="849">
        <f>G115</f>
        <v>0.82989999999999997</v>
      </c>
      <c r="I115" s="849">
        <f>ROUND(0.689-0.0155*B113,4)</f>
        <v>0.6845</v>
      </c>
      <c r="J115" s="849">
        <f t="shared" ref="J115:M118" si="33">I115</f>
        <v>0.6845</v>
      </c>
      <c r="K115" s="849">
        <f t="shared" si="33"/>
        <v>0.6845</v>
      </c>
      <c r="L115" s="849">
        <f t="shared" si="33"/>
        <v>0.6845</v>
      </c>
      <c r="M115" s="850">
        <f t="shared" si="33"/>
        <v>0.6845</v>
      </c>
    </row>
    <row r="116" spans="1:13">
      <c r="A116" s="848" t="s">
        <v>2637</v>
      </c>
      <c r="B116" s="849">
        <f>ROUND(0.949-0.012*B113,4)</f>
        <v>0.94550000000000001</v>
      </c>
      <c r="C116" s="849">
        <f>B116</f>
        <v>0.94550000000000001</v>
      </c>
      <c r="D116" s="849">
        <f>ROUND(0.8567-0.013*B113,4)</f>
        <v>0.85289999999999999</v>
      </c>
      <c r="E116" s="849">
        <f t="shared" ref="E116:H117" si="34">D116</f>
        <v>0.85289999999999999</v>
      </c>
      <c r="F116" s="849">
        <f t="shared" si="34"/>
        <v>0.85289999999999999</v>
      </c>
      <c r="G116" s="849">
        <f t="shared" si="34"/>
        <v>0.85289999999999999</v>
      </c>
      <c r="H116" s="849">
        <f t="shared" si="34"/>
        <v>0.85289999999999999</v>
      </c>
      <c r="I116" s="849">
        <f>ROUND(0.7694-0.014*B113,4)</f>
        <v>0.76529999999999998</v>
      </c>
      <c r="J116" s="849">
        <f t="shared" si="33"/>
        <v>0.76529999999999998</v>
      </c>
      <c r="K116" s="849">
        <f t="shared" si="33"/>
        <v>0.76529999999999998</v>
      </c>
      <c r="L116" s="849">
        <f t="shared" si="33"/>
        <v>0.76529999999999998</v>
      </c>
      <c r="M116" s="850">
        <f t="shared" si="33"/>
        <v>0.76529999999999998</v>
      </c>
    </row>
    <row r="117" spans="1:13">
      <c r="A117" s="848" t="s">
        <v>2638</v>
      </c>
      <c r="B117" s="849">
        <f>ROUND(0.8808-0.006*B113,4)</f>
        <v>0.87909999999999999</v>
      </c>
      <c r="C117" s="849">
        <f>B117</f>
        <v>0.87909999999999999</v>
      </c>
      <c r="D117" s="849">
        <f>ROUND(0.8748-0.008*B113,4)</f>
        <v>0.87250000000000005</v>
      </c>
      <c r="E117" s="849">
        <f t="shared" si="34"/>
        <v>0.87250000000000005</v>
      </c>
      <c r="F117" s="849">
        <f t="shared" si="34"/>
        <v>0.87250000000000005</v>
      </c>
      <c r="G117" s="849">
        <f t="shared" si="34"/>
        <v>0.87250000000000005</v>
      </c>
      <c r="H117" s="849">
        <f t="shared" si="34"/>
        <v>0.87250000000000005</v>
      </c>
      <c r="I117" s="849">
        <f>ROUND(0.7412-0.0095*B113,4)</f>
        <v>0.73839999999999995</v>
      </c>
      <c r="J117" s="849">
        <f t="shared" si="33"/>
        <v>0.73839999999999995</v>
      </c>
      <c r="K117" s="849">
        <f t="shared" si="33"/>
        <v>0.73839999999999995</v>
      </c>
      <c r="L117" s="849">
        <f t="shared" si="33"/>
        <v>0.73839999999999995</v>
      </c>
      <c r="M117" s="850">
        <f t="shared" si="33"/>
        <v>0.73839999999999995</v>
      </c>
    </row>
    <row r="118" spans="1:13" ht="13.5" thickBot="1">
      <c r="A118" s="670" t="s">
        <v>2639</v>
      </c>
      <c r="B118" s="851">
        <f>ROUND(0.7275-0.01*B113,4)</f>
        <v>0.72460000000000002</v>
      </c>
      <c r="C118" s="851">
        <f>B118</f>
        <v>0.72460000000000002</v>
      </c>
      <c r="D118" s="851">
        <f>ROUND(0.7043-0.012*B113,4)</f>
        <v>0.70079999999999998</v>
      </c>
      <c r="E118" s="851">
        <f>D118</f>
        <v>0.70079999999999998</v>
      </c>
      <c r="F118" s="851">
        <f>E118</f>
        <v>0.70079999999999998</v>
      </c>
      <c r="G118" s="851">
        <f>ROUND(0.6299-0.0122*B113,4)</f>
        <v>0.62639999999999996</v>
      </c>
      <c r="H118" s="851">
        <f>G118</f>
        <v>0.62639999999999996</v>
      </c>
      <c r="I118" s="851">
        <f>ROUND(0.5667-0.0136*B113,4)</f>
        <v>0.56279999999999997</v>
      </c>
      <c r="J118" s="851">
        <f t="shared" si="33"/>
        <v>0.56279999999999997</v>
      </c>
      <c r="K118" s="851">
        <f t="shared" si="33"/>
        <v>0.56279999999999997</v>
      </c>
      <c r="L118" s="851">
        <f t="shared" si="33"/>
        <v>0.56279999999999997</v>
      </c>
      <c r="M118" s="852">
        <f t="shared" si="33"/>
        <v>0.56279999999999997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2801</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51" t="s">
        <v>183</v>
      </c>
      <c r="B18" s="821" t="s">
        <v>560</v>
      </c>
      <c r="C18" s="822" t="s">
        <v>561</v>
      </c>
      <c r="D18" s="823"/>
      <c r="E18" s="821">
        <v>1</v>
      </c>
      <c r="F18" s="824" t="s">
        <v>562</v>
      </c>
      <c r="G18" s="825"/>
      <c r="H18" s="817"/>
      <c r="I18" s="817"/>
    </row>
    <row r="19" spans="1:9" s="826" customFormat="1" ht="19.5" customHeight="1">
      <c r="A19" s="3551"/>
      <c r="B19" s="3551" t="s">
        <v>563</v>
      </c>
      <c r="C19" s="822" t="s">
        <v>564</v>
      </c>
      <c r="D19" s="823"/>
      <c r="E19" s="821">
        <v>0.9</v>
      </c>
      <c r="F19" s="824" t="s">
        <v>565</v>
      </c>
      <c r="G19" s="825"/>
      <c r="H19" s="817"/>
      <c r="I19" s="817"/>
    </row>
    <row r="20" spans="1:9" s="826" customFormat="1" ht="19.5" customHeight="1">
      <c r="A20" s="3551"/>
      <c r="B20" s="3551"/>
      <c r="C20" s="822" t="s">
        <v>566</v>
      </c>
      <c r="D20" s="823"/>
      <c r="E20" s="821">
        <v>1.1000000000000001</v>
      </c>
      <c r="F20" s="824" t="s">
        <v>567</v>
      </c>
      <c r="G20" s="825"/>
      <c r="H20" s="817"/>
      <c r="I20" s="817"/>
    </row>
    <row r="21" spans="1:9" s="826" customFormat="1" ht="19.5" customHeight="1">
      <c r="A21" s="3551"/>
      <c r="B21" s="3551"/>
      <c r="C21" s="822" t="s">
        <v>568</v>
      </c>
      <c r="D21" s="823"/>
      <c r="E21" s="821">
        <v>0.8</v>
      </c>
      <c r="F21" s="824" t="s">
        <v>569</v>
      </c>
      <c r="G21" s="825"/>
      <c r="H21" s="817"/>
      <c r="I21" s="817"/>
    </row>
    <row r="22" spans="1:9" s="826" customFormat="1" ht="19.5" customHeight="1">
      <c r="A22" s="3551"/>
      <c r="B22" s="3551"/>
      <c r="C22" s="822" t="s">
        <v>570</v>
      </c>
      <c r="D22" s="823"/>
      <c r="E22" s="821">
        <v>0.5</v>
      </c>
      <c r="F22" s="824"/>
      <c r="G22" s="825"/>
      <c r="H22" s="817"/>
      <c r="I22" s="817"/>
    </row>
    <row r="23" spans="1:9" s="826" customFormat="1" ht="19.5" customHeight="1">
      <c r="A23" s="3551" t="s">
        <v>184</v>
      </c>
      <c r="B23" s="821" t="s">
        <v>560</v>
      </c>
      <c r="C23" s="822" t="s">
        <v>571</v>
      </c>
      <c r="D23" s="823"/>
      <c r="E23" s="821">
        <v>1</v>
      </c>
      <c r="F23" s="824" t="s">
        <v>572</v>
      </c>
      <c r="G23" s="825"/>
      <c r="H23" s="817"/>
      <c r="I23" s="817"/>
    </row>
    <row r="24" spans="1:9" s="826" customFormat="1" ht="19.5" customHeight="1">
      <c r="A24" s="3551"/>
      <c r="B24" s="3551" t="s">
        <v>563</v>
      </c>
      <c r="C24" s="822" t="s">
        <v>573</v>
      </c>
      <c r="D24" s="823"/>
      <c r="E24" s="821">
        <v>0.5</v>
      </c>
      <c r="F24" s="824"/>
      <c r="G24" s="825"/>
      <c r="H24" s="817"/>
      <c r="I24" s="817"/>
    </row>
    <row r="25" spans="1:9" s="826" customFormat="1" ht="19.5" customHeight="1">
      <c r="A25" s="3551"/>
      <c r="B25" s="3551"/>
      <c r="C25" s="822" t="s">
        <v>574</v>
      </c>
      <c r="D25" s="823"/>
      <c r="E25" s="821">
        <v>1.1000000000000001</v>
      </c>
      <c r="F25" s="824"/>
      <c r="G25" s="825"/>
      <c r="H25" s="817"/>
      <c r="I25" s="817"/>
    </row>
    <row r="26" spans="1:9" s="826" customFormat="1" ht="19.5" customHeight="1">
      <c r="A26" s="3551"/>
      <c r="B26" s="3551"/>
      <c r="C26" s="822" t="s">
        <v>575</v>
      </c>
      <c r="D26" s="823"/>
      <c r="E26" s="821">
        <v>1.1000000000000001</v>
      </c>
      <c r="F26" s="824"/>
      <c r="G26" s="825"/>
      <c r="H26" s="817"/>
      <c r="I26" s="817"/>
    </row>
    <row r="27" spans="1:9" s="826" customFormat="1" ht="19.5" customHeight="1">
      <c r="A27" s="3551"/>
      <c r="B27" s="3551"/>
      <c r="C27" s="822" t="s">
        <v>576</v>
      </c>
      <c r="D27" s="823"/>
      <c r="E27" s="821">
        <v>0.9</v>
      </c>
      <c r="F27" s="824" t="s">
        <v>577</v>
      </c>
      <c r="G27" s="825"/>
      <c r="H27" s="817"/>
      <c r="I27" s="817"/>
    </row>
    <row r="28" spans="1:9" s="826" customFormat="1" ht="19.5" customHeight="1">
      <c r="A28" s="3551"/>
      <c r="B28" s="3551"/>
      <c r="C28" s="822" t="s">
        <v>578</v>
      </c>
      <c r="D28" s="823"/>
      <c r="E28" s="821">
        <v>0.9</v>
      </c>
      <c r="F28" s="824" t="s">
        <v>579</v>
      </c>
      <c r="G28" s="825"/>
      <c r="H28" s="817"/>
      <c r="I28" s="817"/>
    </row>
    <row r="29" spans="1:9" s="826" customFormat="1" ht="19.5" customHeight="1">
      <c r="A29" s="3551"/>
      <c r="B29" s="3551"/>
      <c r="C29" s="822" t="s">
        <v>580</v>
      </c>
      <c r="D29" s="823"/>
      <c r="E29" s="821">
        <v>0.9</v>
      </c>
      <c r="F29" s="824" t="s">
        <v>581</v>
      </c>
      <c r="G29" s="825"/>
      <c r="H29" s="817"/>
      <c r="I29" s="817"/>
    </row>
    <row r="30" spans="1:9" s="826" customFormat="1" ht="19.5" customHeight="1">
      <c r="A30" s="3551"/>
      <c r="B30" s="3551"/>
      <c r="C30" s="822" t="s">
        <v>582</v>
      </c>
      <c r="D30" s="823"/>
      <c r="E30" s="821">
        <v>0.9</v>
      </c>
      <c r="F30" s="824" t="s">
        <v>583</v>
      </c>
      <c r="G30" s="825"/>
      <c r="H30" s="817"/>
      <c r="I30" s="817"/>
    </row>
    <row r="31" spans="1:9" s="826" customFormat="1" ht="19.5" customHeight="1">
      <c r="A31" s="3551"/>
      <c r="B31" s="3551"/>
      <c r="C31" s="822" t="s">
        <v>584</v>
      </c>
      <c r="D31" s="823"/>
      <c r="E31" s="821">
        <v>0.8</v>
      </c>
      <c r="F31" s="824" t="s">
        <v>585</v>
      </c>
      <c r="G31" s="825"/>
      <c r="H31" s="817"/>
      <c r="I31" s="817"/>
    </row>
    <row r="32" spans="1:9" s="826" customFormat="1" ht="19.5" customHeight="1">
      <c r="A32" s="3551"/>
      <c r="B32" s="3551"/>
      <c r="C32" s="822" t="s">
        <v>586</v>
      </c>
      <c r="D32" s="823"/>
      <c r="E32" s="821">
        <v>0.8</v>
      </c>
      <c r="F32" s="824" t="s">
        <v>587</v>
      </c>
      <c r="G32" s="825"/>
      <c r="H32" s="817"/>
      <c r="I32" s="817"/>
    </row>
    <row r="33" spans="1:9" s="826" customFormat="1" ht="19.5" customHeight="1">
      <c r="A33" s="3551" t="s">
        <v>185</v>
      </c>
      <c r="B33" s="821" t="s">
        <v>560</v>
      </c>
      <c r="C33" s="822" t="s">
        <v>588</v>
      </c>
      <c r="D33" s="823"/>
      <c r="E33" s="821">
        <v>1</v>
      </c>
      <c r="F33" s="824" t="s">
        <v>589</v>
      </c>
      <c r="G33" s="825"/>
      <c r="H33" s="817"/>
      <c r="I33" s="817"/>
    </row>
    <row r="34" spans="1:9" s="826" customFormat="1" ht="19.5" customHeight="1">
      <c r="A34" s="3551"/>
      <c r="B34" s="821" t="s">
        <v>563</v>
      </c>
      <c r="C34" s="822" t="s">
        <v>590</v>
      </c>
      <c r="D34" s="823"/>
      <c r="E34" s="821">
        <v>1.5</v>
      </c>
      <c r="F34" s="824" t="s">
        <v>591</v>
      </c>
      <c r="G34" s="825"/>
      <c r="H34" s="817"/>
      <c r="I34" s="817"/>
    </row>
    <row r="35" spans="1:9" s="826" customFormat="1" ht="19.5" customHeight="1">
      <c r="A35" s="3551" t="s">
        <v>186</v>
      </c>
      <c r="B35" s="821" t="s">
        <v>560</v>
      </c>
      <c r="C35" s="822" t="s">
        <v>592</v>
      </c>
      <c r="D35" s="823"/>
      <c r="E35" s="821">
        <v>1</v>
      </c>
      <c r="F35" s="824" t="s">
        <v>593</v>
      </c>
      <c r="G35" s="825"/>
      <c r="H35" s="817"/>
      <c r="I35" s="817"/>
    </row>
    <row r="36" spans="1:9" s="826" customFormat="1" ht="19.5" customHeight="1">
      <c r="A36" s="3551"/>
      <c r="B36" s="3551" t="s">
        <v>563</v>
      </c>
      <c r="C36" s="822" t="s">
        <v>594</v>
      </c>
      <c r="D36" s="823"/>
      <c r="E36" s="821">
        <v>1</v>
      </c>
      <c r="F36" s="824" t="s">
        <v>595</v>
      </c>
      <c r="G36" s="825"/>
      <c r="H36" s="817"/>
      <c r="I36" s="817"/>
    </row>
    <row r="37" spans="1:9" s="826" customFormat="1" ht="19.5" customHeight="1">
      <c r="A37" s="3551"/>
      <c r="B37" s="3551"/>
      <c r="C37" s="822" t="s">
        <v>596</v>
      </c>
      <c r="D37" s="823"/>
      <c r="E37" s="821">
        <v>1.5</v>
      </c>
      <c r="F37" s="824" t="s">
        <v>597</v>
      </c>
      <c r="G37" s="825"/>
      <c r="H37" s="817"/>
      <c r="I37" s="817"/>
    </row>
    <row r="38" spans="1:9" s="826" customFormat="1" ht="19.5" customHeight="1">
      <c r="A38" s="3551"/>
      <c r="B38" s="3551"/>
      <c r="C38" s="822" t="s">
        <v>598</v>
      </c>
      <c r="D38" s="823"/>
      <c r="E38" s="821">
        <v>1</v>
      </c>
      <c r="F38" s="824" t="s">
        <v>599</v>
      </c>
      <c r="G38" s="825"/>
      <c r="H38" s="817"/>
      <c r="I38" s="817"/>
    </row>
    <row r="39" spans="1:9" s="826" customFormat="1" ht="19.5" customHeight="1">
      <c r="A39" s="3551"/>
      <c r="B39" s="355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51" t="s">
        <v>614</v>
      </c>
      <c r="C61" s="757" t="s">
        <v>615</v>
      </c>
      <c r="D61" s="757" t="s">
        <v>616</v>
      </c>
      <c r="E61" s="834">
        <v>0.5</v>
      </c>
      <c r="F61" s="821">
        <v>80</v>
      </c>
    </row>
    <row r="62" spans="1:8" s="817" customFormat="1" ht="24">
      <c r="A62" s="821">
        <v>2</v>
      </c>
      <c r="B62" s="3551"/>
      <c r="C62" s="757" t="s">
        <v>617</v>
      </c>
      <c r="D62" s="757" t="s">
        <v>618</v>
      </c>
      <c r="E62" s="834">
        <v>0.5</v>
      </c>
      <c r="F62" s="821">
        <v>80</v>
      </c>
    </row>
    <row r="63" spans="1:8" s="817" customFormat="1" ht="36">
      <c r="A63" s="821">
        <v>3</v>
      </c>
      <c r="B63" s="3551"/>
      <c r="C63" s="757" t="s">
        <v>619</v>
      </c>
      <c r="D63" s="757" t="s">
        <v>620</v>
      </c>
      <c r="E63" s="834">
        <v>0.5</v>
      </c>
      <c r="F63" s="821">
        <v>80</v>
      </c>
    </row>
    <row r="64" spans="1:8" s="817" customFormat="1" ht="36">
      <c r="A64" s="821">
        <v>4</v>
      </c>
      <c r="B64" s="3551"/>
      <c r="C64" s="757" t="s">
        <v>621</v>
      </c>
      <c r="D64" s="757" t="s">
        <v>622</v>
      </c>
      <c r="E64" s="834">
        <v>0.4</v>
      </c>
      <c r="F64" s="821">
        <v>60</v>
      </c>
    </row>
    <row r="65" spans="1:6" s="817" customFormat="1" ht="36">
      <c r="A65" s="821">
        <v>5</v>
      </c>
      <c r="B65" s="3551"/>
      <c r="C65" s="757" t="s">
        <v>623</v>
      </c>
      <c r="D65" s="757" t="s">
        <v>624</v>
      </c>
      <c r="E65" s="834">
        <v>0.2</v>
      </c>
      <c r="F65" s="821">
        <v>30</v>
      </c>
    </row>
    <row r="66" spans="1:6" s="817" customFormat="1" ht="36">
      <c r="A66" s="821">
        <v>6</v>
      </c>
      <c r="B66" s="3551"/>
      <c r="C66" s="757" t="s">
        <v>625</v>
      </c>
      <c r="D66" s="757" t="s">
        <v>626</v>
      </c>
      <c r="E66" s="834">
        <v>0.3</v>
      </c>
      <c r="F66" s="821">
        <v>50</v>
      </c>
    </row>
    <row r="67" spans="1:6" s="817" customFormat="1" ht="36">
      <c r="A67" s="821">
        <v>7</v>
      </c>
      <c r="B67" s="3551"/>
      <c r="C67" s="757" t="s">
        <v>627</v>
      </c>
      <c r="D67" s="757" t="s">
        <v>628</v>
      </c>
      <c r="E67" s="834">
        <v>0.2</v>
      </c>
      <c r="F67" s="821">
        <v>30</v>
      </c>
    </row>
    <row r="68" spans="1:6" s="817" customFormat="1" ht="36">
      <c r="A68" s="821">
        <v>8</v>
      </c>
      <c r="B68" s="3551"/>
      <c r="C68" s="757" t="s">
        <v>629</v>
      </c>
      <c r="D68" s="757" t="s">
        <v>630</v>
      </c>
      <c r="E68" s="834">
        <v>0.2</v>
      </c>
      <c r="F68" s="821">
        <v>30</v>
      </c>
    </row>
    <row r="69" spans="1:6" s="817" customFormat="1" ht="36">
      <c r="A69" s="821">
        <v>9</v>
      </c>
      <c r="B69" s="3551"/>
      <c r="C69" s="757" t="s">
        <v>631</v>
      </c>
      <c r="D69" s="757" t="s">
        <v>632</v>
      </c>
      <c r="E69" s="834">
        <v>0.2</v>
      </c>
      <c r="F69" s="821">
        <v>30</v>
      </c>
    </row>
    <row r="70" spans="1:6" s="817" customFormat="1" ht="48">
      <c r="A70" s="821">
        <v>10</v>
      </c>
      <c r="B70" s="3551"/>
      <c r="C70" s="757" t="s">
        <v>633</v>
      </c>
      <c r="D70" s="757" t="s">
        <v>634</v>
      </c>
      <c r="E70" s="834">
        <v>0.2</v>
      </c>
      <c r="F70" s="821">
        <v>30</v>
      </c>
    </row>
    <row r="71" spans="1:6" s="817" customFormat="1" ht="48">
      <c r="A71" s="821">
        <v>11</v>
      </c>
      <c r="B71" s="3551"/>
      <c r="C71" s="757" t="s">
        <v>635</v>
      </c>
      <c r="D71" s="757" t="s">
        <v>636</v>
      </c>
      <c r="E71" s="834">
        <v>0.2</v>
      </c>
      <c r="F71" s="821">
        <v>30</v>
      </c>
    </row>
    <row r="72" spans="1:6" s="817" customFormat="1" ht="36">
      <c r="A72" s="821">
        <v>12</v>
      </c>
      <c r="B72" s="3551"/>
      <c r="C72" s="757" t="s">
        <v>637</v>
      </c>
      <c r="D72" s="757" t="s">
        <v>638</v>
      </c>
      <c r="E72" s="834">
        <v>0.5</v>
      </c>
      <c r="F72" s="821">
        <v>80</v>
      </c>
    </row>
    <row r="73" spans="1:6" s="817" customFormat="1" ht="24">
      <c r="A73" s="821">
        <v>13</v>
      </c>
      <c r="B73" s="3551"/>
      <c r="C73" s="757" t="s">
        <v>639</v>
      </c>
      <c r="D73" s="757" t="s">
        <v>640</v>
      </c>
      <c r="E73" s="834">
        <v>0.4</v>
      </c>
      <c r="F73" s="821">
        <v>60</v>
      </c>
    </row>
    <row r="74" spans="1:6" s="817" customFormat="1" ht="24">
      <c r="A74" s="821">
        <v>14</v>
      </c>
      <c r="B74" s="3551"/>
      <c r="C74" s="757" t="s">
        <v>641</v>
      </c>
      <c r="D74" s="757" t="s">
        <v>642</v>
      </c>
      <c r="E74" s="834">
        <v>0.2</v>
      </c>
      <c r="F74" s="821">
        <v>30</v>
      </c>
    </row>
    <row r="75" spans="1:6" s="817" customFormat="1" ht="24">
      <c r="A75" s="821">
        <v>15</v>
      </c>
      <c r="B75" s="3551"/>
      <c r="C75" s="757" t="s">
        <v>643</v>
      </c>
      <c r="D75" s="757" t="s">
        <v>644</v>
      </c>
      <c r="E75" s="834">
        <v>0.2</v>
      </c>
      <c r="F75" s="821">
        <v>30</v>
      </c>
    </row>
    <row r="76" spans="1:6" s="817" customFormat="1" ht="24">
      <c r="A76" s="821">
        <v>16</v>
      </c>
      <c r="B76" s="3551" t="s">
        <v>645</v>
      </c>
      <c r="C76" s="757" t="s">
        <v>646</v>
      </c>
      <c r="D76" s="757" t="s">
        <v>647</v>
      </c>
      <c r="E76" s="834">
        <v>0.5</v>
      </c>
      <c r="F76" s="821">
        <v>80</v>
      </c>
    </row>
    <row r="77" spans="1:6" s="817" customFormat="1" ht="24">
      <c r="A77" s="821">
        <v>17</v>
      </c>
      <c r="B77" s="3551"/>
      <c r="C77" s="757" t="s">
        <v>648</v>
      </c>
      <c r="D77" s="757" t="s">
        <v>649</v>
      </c>
      <c r="E77" s="834">
        <v>0.5</v>
      </c>
      <c r="F77" s="821">
        <v>80</v>
      </c>
    </row>
    <row r="78" spans="1:6" s="817" customFormat="1" ht="24">
      <c r="A78" s="821">
        <v>18</v>
      </c>
      <c r="B78" s="3551"/>
      <c r="C78" s="757" t="s">
        <v>650</v>
      </c>
      <c r="D78" s="757" t="s">
        <v>651</v>
      </c>
      <c r="E78" s="834">
        <v>0.2</v>
      </c>
      <c r="F78" s="821">
        <v>30</v>
      </c>
    </row>
    <row r="79" spans="1:6" s="817" customFormat="1" ht="24">
      <c r="A79" s="821">
        <v>19</v>
      </c>
      <c r="B79" s="3551"/>
      <c r="C79" s="757" t="s">
        <v>652</v>
      </c>
      <c r="D79" s="757" t="s">
        <v>653</v>
      </c>
      <c r="E79" s="834">
        <v>0.5</v>
      </c>
      <c r="F79" s="821">
        <v>80</v>
      </c>
    </row>
    <row r="80" spans="1:6" s="817" customFormat="1" ht="36">
      <c r="A80" s="821">
        <v>20</v>
      </c>
      <c r="B80" s="3551"/>
      <c r="C80" s="757" t="s">
        <v>654</v>
      </c>
      <c r="D80" s="757" t="s">
        <v>655</v>
      </c>
      <c r="E80" s="834">
        <v>0.2</v>
      </c>
      <c r="F80" s="821">
        <v>30</v>
      </c>
    </row>
    <row r="81" spans="1:6" s="817" customFormat="1" ht="36">
      <c r="A81" s="821">
        <v>21</v>
      </c>
      <c r="B81" s="3551"/>
      <c r="C81" s="757" t="s">
        <v>656</v>
      </c>
      <c r="D81" s="757" t="s">
        <v>657</v>
      </c>
      <c r="E81" s="834">
        <v>0.2</v>
      </c>
      <c r="F81" s="821">
        <v>30</v>
      </c>
    </row>
    <row r="82" spans="1:6" s="817" customFormat="1" ht="48">
      <c r="A82" s="821">
        <v>22</v>
      </c>
      <c r="B82" s="3551"/>
      <c r="C82" s="757" t="s">
        <v>658</v>
      </c>
      <c r="D82" s="757" t="s">
        <v>659</v>
      </c>
      <c r="E82" s="834">
        <v>0.2</v>
      </c>
      <c r="F82" s="821">
        <v>30</v>
      </c>
    </row>
    <row r="83" spans="1:6" s="817" customFormat="1" ht="48">
      <c r="A83" s="821">
        <v>23</v>
      </c>
      <c r="B83" s="3551"/>
      <c r="C83" s="757" t="s">
        <v>660</v>
      </c>
      <c r="D83" s="757" t="s">
        <v>661</v>
      </c>
      <c r="E83" s="834">
        <v>0.2</v>
      </c>
      <c r="F83" s="821">
        <v>30</v>
      </c>
    </row>
    <row r="84" spans="1:6" s="817" customFormat="1" ht="36">
      <c r="A84" s="821">
        <v>24</v>
      </c>
      <c r="B84" s="3551"/>
      <c r="C84" s="757" t="s">
        <v>662</v>
      </c>
      <c r="D84" s="757" t="s">
        <v>663</v>
      </c>
      <c r="E84" s="834">
        <v>0.2</v>
      </c>
      <c r="F84" s="821">
        <v>30</v>
      </c>
    </row>
    <row r="85" spans="1:6" s="817" customFormat="1" ht="36">
      <c r="A85" s="821">
        <v>25</v>
      </c>
      <c r="B85" s="3551"/>
      <c r="C85" s="757" t="s">
        <v>664</v>
      </c>
      <c r="D85" s="757" t="s">
        <v>665</v>
      </c>
      <c r="E85" s="834">
        <v>0.5</v>
      </c>
      <c r="F85" s="821">
        <v>80</v>
      </c>
    </row>
    <row r="86" spans="1:6" s="817" customFormat="1" ht="36">
      <c r="A86" s="821">
        <v>26</v>
      </c>
      <c r="B86" s="3551"/>
      <c r="C86" s="757" t="s">
        <v>666</v>
      </c>
      <c r="D86" s="757" t="s">
        <v>667</v>
      </c>
      <c r="E86" s="834">
        <v>0.2</v>
      </c>
      <c r="F86" s="821">
        <v>30</v>
      </c>
    </row>
    <row r="87" spans="1:6" s="817" customFormat="1" ht="36">
      <c r="A87" s="821">
        <v>27</v>
      </c>
      <c r="B87" s="3551"/>
      <c r="C87" s="757" t="s">
        <v>668</v>
      </c>
      <c r="D87" s="757" t="s">
        <v>669</v>
      </c>
      <c r="E87" s="834">
        <v>0.2</v>
      </c>
      <c r="F87" s="821">
        <v>30</v>
      </c>
    </row>
    <row r="88" spans="1:6" s="817" customFormat="1" ht="36">
      <c r="A88" s="821">
        <v>28</v>
      </c>
      <c r="B88" s="3551"/>
      <c r="C88" s="757" t="s">
        <v>670</v>
      </c>
      <c r="D88" s="757" t="s">
        <v>671</v>
      </c>
      <c r="E88" s="834">
        <v>0.2</v>
      </c>
      <c r="F88" s="821">
        <v>30</v>
      </c>
    </row>
    <row r="89" spans="1:6" s="817" customFormat="1" ht="24">
      <c r="A89" s="821">
        <v>29</v>
      </c>
      <c r="B89" s="3551"/>
      <c r="C89" s="757" t="s">
        <v>672</v>
      </c>
      <c r="D89" s="757" t="s">
        <v>673</v>
      </c>
      <c r="E89" s="834">
        <v>0.2</v>
      </c>
      <c r="F89" s="821">
        <v>30</v>
      </c>
    </row>
    <row r="90" spans="1:6" s="817" customFormat="1" ht="24">
      <c r="A90" s="821">
        <v>30</v>
      </c>
      <c r="B90" s="3551"/>
      <c r="C90" s="757" t="s">
        <v>674</v>
      </c>
      <c r="D90" s="757" t="s">
        <v>675</v>
      </c>
      <c r="E90" s="834">
        <v>0.2</v>
      </c>
      <c r="F90" s="821">
        <v>30</v>
      </c>
    </row>
    <row r="91" spans="1:6" s="817" customFormat="1" ht="36">
      <c r="A91" s="821">
        <v>31</v>
      </c>
      <c r="B91" s="3551"/>
      <c r="C91" s="757" t="s">
        <v>676</v>
      </c>
      <c r="D91" s="757" t="s">
        <v>677</v>
      </c>
      <c r="E91" s="834">
        <v>0.2</v>
      </c>
      <c r="F91" s="821">
        <v>30</v>
      </c>
    </row>
    <row r="92" spans="1:6" s="817" customFormat="1" ht="24">
      <c r="A92" s="821">
        <v>32</v>
      </c>
      <c r="B92" s="3551" t="s">
        <v>678</v>
      </c>
      <c r="C92" s="821" t="s">
        <v>679</v>
      </c>
      <c r="D92" s="757" t="s">
        <v>680</v>
      </c>
      <c r="E92" s="834">
        <v>0.2</v>
      </c>
      <c r="F92" s="821">
        <v>30</v>
      </c>
    </row>
    <row r="93" spans="1:6" s="817" customFormat="1" ht="36">
      <c r="A93" s="821">
        <v>33</v>
      </c>
      <c r="B93" s="3551"/>
      <c r="C93" s="821" t="s">
        <v>681</v>
      </c>
      <c r="D93" s="757" t="s">
        <v>682</v>
      </c>
      <c r="E93" s="834">
        <v>0.2</v>
      </c>
      <c r="F93" s="821">
        <v>30</v>
      </c>
    </row>
    <row r="94" spans="1:6" s="817" customFormat="1" ht="48">
      <c r="A94" s="821">
        <v>34</v>
      </c>
      <c r="B94" s="3551"/>
      <c r="C94" s="821" t="s">
        <v>683</v>
      </c>
      <c r="D94" s="757" t="s">
        <v>684</v>
      </c>
      <c r="E94" s="834">
        <v>0.2</v>
      </c>
      <c r="F94" s="821">
        <v>30</v>
      </c>
    </row>
    <row r="95" spans="1:6" s="817" customFormat="1" ht="36">
      <c r="A95" s="821">
        <v>35</v>
      </c>
      <c r="B95" s="3551"/>
      <c r="C95" s="821" t="s">
        <v>685</v>
      </c>
      <c r="D95" s="757" t="s">
        <v>686</v>
      </c>
      <c r="E95" s="834">
        <v>0.2</v>
      </c>
      <c r="F95" s="821">
        <v>30</v>
      </c>
    </row>
    <row r="96" spans="1:6" s="817" customFormat="1" ht="48">
      <c r="A96" s="821">
        <v>36</v>
      </c>
      <c r="B96" s="3551"/>
      <c r="C96" s="757" t="s">
        <v>687</v>
      </c>
      <c r="D96" s="757" t="s">
        <v>688</v>
      </c>
      <c r="E96" s="834">
        <v>0.2</v>
      </c>
      <c r="F96" s="821">
        <v>30</v>
      </c>
    </row>
    <row r="97" spans="1:6" s="817" customFormat="1" ht="36">
      <c r="A97" s="821">
        <v>37</v>
      </c>
      <c r="B97" s="3551"/>
      <c r="C97" s="821" t="s">
        <v>689</v>
      </c>
      <c r="D97" s="757" t="s">
        <v>690</v>
      </c>
      <c r="E97" s="834">
        <v>0.2</v>
      </c>
      <c r="F97" s="821">
        <v>30</v>
      </c>
    </row>
    <row r="98" spans="1:6" s="817" customFormat="1" ht="36">
      <c r="A98" s="821">
        <v>38</v>
      </c>
      <c r="B98" s="3551"/>
      <c r="C98" s="821" t="s">
        <v>691</v>
      </c>
      <c r="D98" s="757" t="s">
        <v>692</v>
      </c>
      <c r="E98" s="834">
        <v>0.2</v>
      </c>
      <c r="F98" s="821">
        <v>30</v>
      </c>
    </row>
    <row r="99" spans="1:6" s="817" customFormat="1" ht="36">
      <c r="A99" s="821">
        <v>39</v>
      </c>
      <c r="B99" s="3551" t="s">
        <v>693</v>
      </c>
      <c r="C99" s="821" t="s">
        <v>694</v>
      </c>
      <c r="D99" s="757" t="s">
        <v>695</v>
      </c>
      <c r="E99" s="834">
        <v>0.3</v>
      </c>
      <c r="F99" s="821">
        <v>50</v>
      </c>
    </row>
    <row r="100" spans="1:6" s="817" customFormat="1" ht="24">
      <c r="A100" s="821">
        <v>40</v>
      </c>
      <c r="B100" s="3551"/>
      <c r="C100" s="821" t="s">
        <v>696</v>
      </c>
      <c r="D100" s="757" t="s">
        <v>697</v>
      </c>
      <c r="E100" s="834">
        <v>0.2</v>
      </c>
      <c r="F100" s="821">
        <v>30</v>
      </c>
    </row>
    <row r="101" spans="1:6" s="817" customFormat="1" ht="36">
      <c r="A101" s="821">
        <v>41</v>
      </c>
      <c r="B101" s="355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51" t="s">
        <v>708</v>
      </c>
      <c r="C105" s="821" t="s">
        <v>709</v>
      </c>
      <c r="D105" s="757" t="s">
        <v>710</v>
      </c>
      <c r="E105" s="834">
        <v>0.2</v>
      </c>
      <c r="F105" s="821">
        <v>30</v>
      </c>
    </row>
    <row r="106" spans="1:6" s="817" customFormat="1" ht="36">
      <c r="A106" s="821">
        <v>46</v>
      </c>
      <c r="B106" s="3551"/>
      <c r="C106" s="821" t="s">
        <v>711</v>
      </c>
      <c r="D106" s="757" t="s">
        <v>712</v>
      </c>
      <c r="E106" s="834">
        <v>0.2</v>
      </c>
      <c r="F106" s="821">
        <v>30</v>
      </c>
    </row>
    <row r="107" spans="1:6" s="817" customFormat="1" ht="36">
      <c r="A107" s="821">
        <v>47</v>
      </c>
      <c r="B107" s="3551" t="s">
        <v>713</v>
      </c>
      <c r="C107" s="821" t="s">
        <v>714</v>
      </c>
      <c r="D107" s="757" t="s">
        <v>715</v>
      </c>
      <c r="E107" s="834">
        <v>0.3</v>
      </c>
      <c r="F107" s="821">
        <v>50</v>
      </c>
    </row>
    <row r="108" spans="1:6" s="817" customFormat="1" ht="36">
      <c r="A108" s="821">
        <v>48</v>
      </c>
      <c r="B108" s="355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51" t="s">
        <v>724</v>
      </c>
      <c r="C111" s="821" t="s">
        <v>725</v>
      </c>
      <c r="D111" s="757" t="s">
        <v>726</v>
      </c>
      <c r="E111" s="834">
        <v>0.2</v>
      </c>
      <c r="F111" s="821">
        <v>30</v>
      </c>
    </row>
    <row r="112" spans="1:6" s="817" customFormat="1" ht="24">
      <c r="A112" s="821">
        <v>52</v>
      </c>
      <c r="B112" s="3551"/>
      <c r="C112" s="821" t="s">
        <v>727</v>
      </c>
      <c r="D112" s="757" t="s">
        <v>728</v>
      </c>
      <c r="E112" s="834">
        <v>0.2</v>
      </c>
      <c r="F112" s="821">
        <v>30</v>
      </c>
    </row>
    <row r="113" spans="1:6" s="817" customFormat="1" ht="24">
      <c r="A113" s="821">
        <v>53</v>
      </c>
      <c r="B113" s="355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51" t="s">
        <v>737</v>
      </c>
      <c r="C116" s="821" t="s">
        <v>738</v>
      </c>
      <c r="D116" s="757" t="s">
        <v>739</v>
      </c>
      <c r="E116" s="834">
        <v>0.2</v>
      </c>
      <c r="F116" s="821">
        <v>30</v>
      </c>
    </row>
    <row r="117" spans="1:6" ht="36">
      <c r="A117" s="821">
        <v>57</v>
      </c>
      <c r="B117" s="355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6.3935000000000004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2758</v>
      </c>
      <c r="B1" s="2332"/>
      <c r="C1" s="2332"/>
      <c r="D1" s="2332"/>
      <c r="E1" s="2332"/>
      <c r="F1" s="2993"/>
      <c r="G1" s="2993"/>
      <c r="H1" s="2993"/>
      <c r="I1" s="2993"/>
      <c r="J1" s="2993"/>
      <c r="K1" s="2993"/>
      <c r="L1" s="2993"/>
      <c r="M1" s="2993"/>
      <c r="N1" s="2993"/>
      <c r="O1" s="2993"/>
      <c r="P1" s="2993"/>
    </row>
    <row r="2" spans="1:16" ht="15.75">
      <c r="A2" s="2330" t="s">
        <v>2750</v>
      </c>
      <c r="B2" s="2797">
        <f ca="1">SUMIF(B6:B13,"&lt;&gt;#ref!",B6:B13)</f>
        <v>3920</v>
      </c>
      <c r="C2" s="2330" t="s">
        <v>2751</v>
      </c>
      <c r="D2" s="2330" t="s">
        <v>2752</v>
      </c>
      <c r="E2" s="2807">
        <f ca="1">SUMIF(E6:E13,"&lt;&gt;#ref!",E6:E13)</f>
        <v>18872.330000000002</v>
      </c>
      <c r="F2" s="2993"/>
      <c r="G2" s="2993"/>
      <c r="H2" s="2993"/>
      <c r="I2" s="2993"/>
      <c r="J2" s="2993"/>
      <c r="K2" s="2993"/>
      <c r="L2" s="2993"/>
      <c r="M2" s="2993"/>
      <c r="N2" s="2993"/>
      <c r="O2" s="2993"/>
      <c r="P2" s="2993"/>
    </row>
    <row r="3" spans="1:16" ht="15.75">
      <c r="A3" s="2330" t="s">
        <v>2753</v>
      </c>
      <c r="B3" s="2797">
        <f ca="1">ROUND(B2*10000/E2,0)</f>
        <v>2077</v>
      </c>
      <c r="C3" s="2330" t="s">
        <v>2759</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2754</v>
      </c>
      <c r="B5" s="2805" t="s">
        <v>2755</v>
      </c>
      <c r="C5" s="2331"/>
      <c r="D5" s="2993"/>
      <c r="E5" s="2806" t="s">
        <v>2756</v>
      </c>
      <c r="F5" s="2993"/>
      <c r="G5" s="2993"/>
      <c r="H5" s="2993"/>
      <c r="I5" s="2993"/>
      <c r="J5" s="2993"/>
      <c r="K5" s="2993"/>
      <c r="L5" s="2993"/>
      <c r="M5" s="2993"/>
      <c r="N5" s="2993"/>
      <c r="O5" s="2993"/>
      <c r="P5" s="2993"/>
    </row>
    <row r="6" spans="1:16" ht="15.75">
      <c r="A6" s="2804" t="s">
        <v>2757</v>
      </c>
      <c r="B6" s="2797">
        <f ca="1">SUMIF(INDIRECT("'"&amp;A6&amp;"'"&amp;"!A:A"),"总价",INDIRECT("'"&amp;A6&amp;"'"&amp;"!B:B"))</f>
        <v>3920</v>
      </c>
      <c r="C6" s="2330" t="s">
        <v>2751</v>
      </c>
      <c r="D6" s="2993"/>
      <c r="E6" s="2807">
        <f ca="1">SUMIF(INDIRECT("'"&amp;A6&amp;"'"&amp;"!C:C"),"建筑面积",INDIRECT("'"&amp;A6&amp;"'"&amp;"!D:D"))</f>
        <v>18872.330000000002</v>
      </c>
      <c r="F6" s="2993"/>
      <c r="G6" s="2993"/>
      <c r="H6" s="2993"/>
      <c r="I6" s="2993"/>
      <c r="J6" s="2993"/>
      <c r="K6" s="2993"/>
      <c r="L6" s="2993"/>
      <c r="M6" s="2993"/>
      <c r="N6" s="2993"/>
      <c r="O6" s="2993"/>
      <c r="P6" s="2993"/>
    </row>
    <row r="7" spans="1:16" ht="15.75">
      <c r="A7" s="2804"/>
      <c r="B7" s="2797" t="e">
        <f ca="1">SUMIF(INDIRECT("'"&amp;A7&amp;"'"&amp;"!A:A"),"总价",INDIRECT("'"&amp;A7&amp;"'"&amp;"!B:B"))</f>
        <v>#REF!</v>
      </c>
      <c r="C7" s="2330" t="s">
        <v>2751</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2751</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2751</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2751</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2751</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2751</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2751</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E21" sqref="E21"/>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57" t="s">
        <v>1058</v>
      </c>
      <c r="C1" s="3557"/>
      <c r="D1" s="3557"/>
      <c r="E1" s="3557"/>
      <c r="F1" s="3557"/>
      <c r="G1" s="3556" t="s">
        <v>1059</v>
      </c>
      <c r="H1" s="3556"/>
      <c r="I1" s="3556"/>
      <c r="J1" s="3556"/>
      <c r="K1" s="3556"/>
      <c r="L1" s="3556"/>
      <c r="N1" s="3556" t="s">
        <v>1060</v>
      </c>
      <c r="O1" s="3556"/>
      <c r="P1" s="3556"/>
      <c r="Q1" s="3556"/>
      <c r="S1" s="3556" t="s">
        <v>1061</v>
      </c>
      <c r="T1" s="3556"/>
      <c r="U1" s="3556"/>
      <c r="V1" s="3556"/>
      <c r="X1" s="3555" t="s">
        <v>1062</v>
      </c>
      <c r="Y1" s="3556"/>
      <c r="Z1" s="3556"/>
      <c r="AA1" s="3556"/>
      <c r="AB1" s="3556"/>
      <c r="AD1" s="3555" t="s">
        <v>1063</v>
      </c>
      <c r="AE1" s="3556"/>
      <c r="AF1" s="3556"/>
      <c r="AG1" s="3556"/>
      <c r="AH1" s="3556"/>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2791</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3114</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2792</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3113</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5">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2990</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2989</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2988</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2986</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2985</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2808</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2806</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2805</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2804</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2802</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2800</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2803</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53">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2798</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53"/>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2797</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53"/>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2790</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62"/>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2788</v>
      </c>
      <c r="B22" s="2407">
        <v>439</v>
      </c>
      <c r="C22" s="2407">
        <v>327</v>
      </c>
      <c r="D22" s="2407">
        <f>C22</f>
        <v>327</v>
      </c>
      <c r="E22" s="2407">
        <v>627</v>
      </c>
      <c r="F22" s="2408">
        <v>283</v>
      </c>
      <c r="G22" s="3558">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2789</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53"/>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53"/>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62"/>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58">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53"/>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53"/>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54"/>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52">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53"/>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53"/>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54"/>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52">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53"/>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53"/>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54"/>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59">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60"/>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60"/>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61"/>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52">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53"/>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53"/>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54"/>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52">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53">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53">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54">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52">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53">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53">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54">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52">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53">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53">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54">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52">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53">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53">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54">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52">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53">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53">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54">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52">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53">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53">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54">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52">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53">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53">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54">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52">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53">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53">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54">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52">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53">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53">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54">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52">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53">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53">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54">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E21" sqref="E21"/>
      <selection pane="bottomLeft" activeCell="E21" sqref="E21"/>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2760</v>
      </c>
      <c r="C1" s="3566" t="s">
        <v>2761</v>
      </c>
      <c r="D1" s="3567"/>
      <c r="E1" s="3567"/>
      <c r="F1" s="3567"/>
      <c r="G1" s="3567"/>
      <c r="H1" s="3567"/>
      <c r="I1" s="3567"/>
      <c r="J1" s="3567"/>
      <c r="K1" s="3567"/>
      <c r="L1" s="3567"/>
      <c r="M1" s="3567"/>
      <c r="N1" s="3567"/>
      <c r="O1" s="3567"/>
      <c r="P1" s="3567"/>
      <c r="Q1" s="3567"/>
      <c r="R1" s="3567"/>
      <c r="S1" s="3568"/>
      <c r="T1" s="1114" t="s">
        <v>2762</v>
      </c>
    </row>
    <row r="2" spans="1:45" s="663" customFormat="1">
      <c r="A2" s="1115"/>
      <c r="B2" s="659" t="s">
        <v>2763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4"/>
      <c r="G3" s="1444"/>
      <c r="H3" s="1444"/>
      <c r="I3" s="1444"/>
      <c r="J3" s="1444"/>
      <c r="K3" s="1444"/>
      <c r="L3" s="1445"/>
      <c r="M3" s="1446"/>
      <c r="N3" s="1446"/>
      <c r="O3" s="1444"/>
      <c r="P3" s="1444"/>
      <c r="Q3" s="1444"/>
      <c r="R3" s="1444"/>
      <c r="S3" s="144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8"/>
      <c r="G4" s="1448"/>
      <c r="H4" s="1448"/>
      <c r="I4" s="1448"/>
      <c r="J4" s="1448"/>
      <c r="K4" s="1448"/>
      <c r="L4" s="1448"/>
      <c r="M4" s="1449"/>
      <c r="N4" s="1449"/>
      <c r="O4" s="1448"/>
      <c r="P4" s="1448"/>
      <c r="Q4" s="1448"/>
      <c r="R4" s="1448"/>
      <c r="S4" s="145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5" t="s">
        <v>2764</v>
      </c>
      <c r="C5" s="1126"/>
      <c r="D5" s="1127"/>
      <c r="E5" s="1127"/>
      <c r="F5" s="1451"/>
      <c r="G5" s="1451"/>
      <c r="H5" s="1451"/>
      <c r="I5" s="1451"/>
      <c r="J5" s="1451"/>
      <c r="K5" s="1451"/>
      <c r="L5" s="1452"/>
      <c r="M5" s="1453"/>
      <c r="N5" s="1453"/>
      <c r="O5" s="1451"/>
      <c r="P5" s="1451"/>
      <c r="Q5" s="1451"/>
      <c r="R5" s="1451"/>
      <c r="S5" s="145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6" t="s">
        <v>2765</v>
      </c>
      <c r="C7" s="1035"/>
      <c r="D7" s="1029"/>
      <c r="E7" s="1029"/>
      <c r="F7" s="1456"/>
      <c r="G7" s="1456"/>
      <c r="H7" s="1456"/>
      <c r="I7" s="1456"/>
      <c r="J7" s="1456"/>
      <c r="K7" s="1456"/>
      <c r="L7" s="1456"/>
      <c r="M7" s="1457"/>
      <c r="N7" s="1458"/>
      <c r="O7" s="1459"/>
      <c r="P7" s="1460"/>
      <c r="Q7" s="1461"/>
      <c r="R7" s="1462"/>
      <c r="S7" s="146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6" t="s">
        <v>2766</v>
      </c>
      <c r="C9" s="1035"/>
      <c r="D9" s="1029"/>
      <c r="E9" s="1029"/>
      <c r="F9" s="1456"/>
      <c r="G9" s="1456"/>
      <c r="H9" s="1456"/>
      <c r="I9" s="1456"/>
      <c r="J9" s="1456"/>
      <c r="K9" s="1456"/>
      <c r="L9" s="1464"/>
      <c r="M9" s="1457"/>
      <c r="N9" s="1458"/>
      <c r="O9" s="1459"/>
      <c r="P9" s="1460"/>
      <c r="Q9" s="1461"/>
      <c r="R9" s="1462"/>
      <c r="S9" s="146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5" t="s">
        <v>2767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5" t="s">
        <v>2768</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5" t="s">
        <v>2769</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2770</v>
      </c>
      <c r="B17" s="2334" t="s">
        <v>2771</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2772</v>
      </c>
      <c r="E19" s="1493"/>
      <c r="F19" s="1493"/>
      <c r="G19" s="1493"/>
      <c r="H19" s="1190"/>
      <c r="I19" s="164"/>
      <c r="J19" s="164"/>
      <c r="K19" s="164"/>
      <c r="L19" s="164"/>
      <c r="M19" s="164"/>
      <c r="N19" s="164"/>
      <c r="O19" s="164"/>
      <c r="P19" s="164"/>
      <c r="Q19" s="164"/>
      <c r="R19" s="727"/>
      <c r="S19" s="134"/>
    </row>
    <row r="20" spans="1:45" ht="16.5" thickBot="1">
      <c r="A20" s="671" t="s">
        <v>2773</v>
      </c>
      <c r="B20" s="300" t="e">
        <f ca="1">IF(D20="——",S22,S22-F20)</f>
        <v>#REF!</v>
      </c>
      <c r="C20" s="164"/>
      <c r="D20" s="2336"/>
      <c r="E20" s="1494"/>
      <c r="F20" s="1114" t="e">
        <f ca="1">SUMIF(INDIRECT("'"&amp;H20&amp;"'"&amp;"!A:A"),"承租人权益价值",INDIRECT("'"&amp;H20&amp;"'"&amp;"!c:c"))</f>
        <v>#REF!</v>
      </c>
      <c r="G20" s="1114" t="s">
        <v>2774</v>
      </c>
      <c r="H20" s="2337"/>
      <c r="I20" s="164"/>
      <c r="J20" s="164"/>
      <c r="K20" s="164"/>
      <c r="L20" s="164"/>
      <c r="M20" s="164"/>
      <c r="N20" s="164"/>
      <c r="O20" s="164"/>
      <c r="P20" s="164"/>
      <c r="Q20" s="164"/>
      <c r="R20" s="727"/>
      <c r="S20" s="134"/>
    </row>
    <row r="21" spans="1:45" ht="15.75">
      <c r="A21" s="671" t="s">
        <v>2775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2776</v>
      </c>
      <c r="B22" s="24">
        <f>SUM(B24:B10000)</f>
        <v>100</v>
      </c>
      <c r="C22" s="3563" t="s">
        <v>33</v>
      </c>
      <c r="D22" s="3564"/>
      <c r="E22" s="3564"/>
      <c r="F22" s="3564"/>
      <c r="G22" s="3564"/>
      <c r="H22" s="3564"/>
      <c r="I22" s="3564"/>
      <c r="J22" s="3564"/>
      <c r="K22" s="3564"/>
      <c r="L22" s="3564"/>
      <c r="M22" s="3564"/>
      <c r="N22" s="3564"/>
      <c r="O22" s="3564"/>
      <c r="P22" s="3564"/>
      <c r="Q22" s="3565"/>
      <c r="R22" s="672">
        <f>ROUND(S22*10000/B22,0)</f>
        <v>10000</v>
      </c>
      <c r="S22" s="24">
        <f>SUM(S24:S10000)</f>
        <v>100</v>
      </c>
    </row>
    <row r="23" spans="1:45" s="12" customFormat="1" ht="24">
      <c r="A23" s="11" t="s">
        <v>2777</v>
      </c>
      <c r="B23" s="11" t="s">
        <v>2778</v>
      </c>
      <c r="C23" s="11" t="s">
        <v>2779</v>
      </c>
      <c r="D23" s="11" t="str">
        <f>B5</f>
        <v>修正项2</v>
      </c>
      <c r="E23" s="11" t="s">
        <v>2779</v>
      </c>
      <c r="F23" s="11" t="str">
        <f>B7</f>
        <v>修正项3</v>
      </c>
      <c r="G23" s="11" t="s">
        <v>2779</v>
      </c>
      <c r="H23" s="11" t="str">
        <f>B9</f>
        <v>修正项4</v>
      </c>
      <c r="I23" s="11" t="s">
        <v>2779</v>
      </c>
      <c r="J23" s="11" t="str">
        <f>B11</f>
        <v>修正项5</v>
      </c>
      <c r="K23" s="11" t="s">
        <v>2779</v>
      </c>
      <c r="L23" s="11" t="str">
        <f>B13</f>
        <v>修正项6</v>
      </c>
      <c r="M23" s="11" t="s">
        <v>2779</v>
      </c>
      <c r="N23" s="11" t="str">
        <f>B15</f>
        <v>修正项7</v>
      </c>
      <c r="O23" s="11" t="s">
        <v>2779</v>
      </c>
      <c r="P23" s="11" t="str">
        <f>B17</f>
        <v>楼层</v>
      </c>
      <c r="Q23" s="11" t="s">
        <v>2779</v>
      </c>
      <c r="R23" s="673" t="s">
        <v>2780</v>
      </c>
      <c r="S23" s="11" t="s">
        <v>2781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2782</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33229</v>
      </c>
      <c r="C2" s="2" t="s">
        <v>133</v>
      </c>
      <c r="D2" s="205"/>
      <c r="E2" s="205"/>
      <c r="F2" s="205"/>
      <c r="G2" s="205"/>
    </row>
    <row r="3" spans="1:7" s="206" customFormat="1" ht="18" customHeight="1" thickBot="1">
      <c r="A3" s="209" t="s">
        <v>85</v>
      </c>
      <c r="B3" s="210">
        <f ca="1">ROUND(B2*10000/'数据-汇总表'!E3,0)</f>
        <v>17575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18907.05</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378</v>
      </c>
      <c r="D19" s="958">
        <f>'数据-汇总表'!E3</f>
        <v>18907.05</v>
      </c>
      <c r="E19" s="217">
        <f>'数据-取费表'!B31</f>
        <v>200</v>
      </c>
      <c r="F19" s="237"/>
      <c r="G19" s="1" t="s">
        <v>1042</v>
      </c>
    </row>
    <row r="20" spans="1:7" s="220" customFormat="1" ht="13.5" customHeight="1">
      <c r="A20" s="885" t="s">
        <v>1025</v>
      </c>
      <c r="B20" s="216" t="s">
        <v>104</v>
      </c>
      <c r="C20" s="238">
        <f>ROUND((C5+C19)*F20,0)</f>
        <v>420</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891</v>
      </c>
      <c r="D22" s="241">
        <f ca="1">C26</f>
        <v>4.0000000000000002E-4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1427</v>
      </c>
      <c r="D27" s="241">
        <f>C29</f>
        <v>1.2999999999999999E-3</v>
      </c>
      <c r="E27" s="242" t="s">
        <v>126</v>
      </c>
      <c r="F27" s="252">
        <f>'数据-取费表'!Q16</f>
        <v>0.1</v>
      </c>
      <c r="G27" s="253" t="s">
        <v>1037</v>
      </c>
    </row>
    <row r="28" spans="1:7" s="220" customFormat="1" ht="13.5" customHeight="1">
      <c r="A28" s="888" t="s">
        <v>794</v>
      </c>
      <c r="B28" s="254" t="s">
        <v>1030</v>
      </c>
      <c r="C28" s="255">
        <f>ROUND((C5+C19+C20)*F27*'数据-取费表'!B21/'数据-取费表'!B20,0)</f>
        <v>1427</v>
      </c>
      <c r="D28" s="241"/>
      <c r="E28" s="242"/>
      <c r="F28" s="252"/>
      <c r="G28" s="253"/>
    </row>
    <row r="29" spans="1:7" s="220" customFormat="1" ht="13.5" customHeight="1">
      <c r="A29" s="888" t="s">
        <v>792</v>
      </c>
      <c r="B29" s="254" t="s">
        <v>1031</v>
      </c>
      <c r="C29" s="244">
        <f>ROUND(C21*F27*'数据-取费表'!B21/'数据-取费表'!B20,4)</f>
        <v>1.2999999999999999E-3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25624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6154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5672</v>
      </c>
      <c r="D34" s="223"/>
      <c r="E34" s="226"/>
      <c r="F34" s="263">
        <f>IF('数据-取费表'!B24=0,1,'数据-取费表'!N16)</f>
        <v>0.6</v>
      </c>
      <c r="G34" s="225" t="s">
        <v>116</v>
      </c>
    </row>
    <row r="35" spans="1:7" ht="13.5" customHeight="1">
      <c r="A35" s="888" t="s">
        <v>796</v>
      </c>
      <c r="B35" s="221" t="s">
        <v>60</v>
      </c>
      <c r="C35" s="226">
        <f>ROUND(C34*F35,0)</f>
        <v>170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227</v>
      </c>
      <c r="D37" s="223">
        <f>'数据-汇总表'!E3</f>
        <v>18907.05</v>
      </c>
      <c r="E37" s="255">
        <f>'数据-取费表'!B35</f>
        <v>200</v>
      </c>
      <c r="F37" s="265"/>
      <c r="G37" s="267" t="s">
        <v>119</v>
      </c>
    </row>
    <row r="38" spans="1:7" ht="13.5" customHeight="1">
      <c r="A38" s="888" t="s">
        <v>799</v>
      </c>
      <c r="B38" s="221" t="s">
        <v>63</v>
      </c>
      <c r="C38" s="226">
        <f>ROUND(C34*F38,0)</f>
        <v>85</v>
      </c>
      <c r="D38" s="226"/>
      <c r="E38" s="226"/>
      <c r="F38" s="265">
        <f>'数据-取费表'!B36</f>
        <v>1.4999999999999999E-2</v>
      </c>
      <c r="G38" s="225" t="s">
        <v>117</v>
      </c>
    </row>
    <row r="39" spans="1:7" s="220" customFormat="1" ht="13.5" customHeight="1">
      <c r="A39" s="885" t="s">
        <v>783</v>
      </c>
      <c r="B39" s="216" t="s">
        <v>104</v>
      </c>
      <c r="C39" s="238">
        <f>ROUND(C33*F20,0)</f>
        <v>123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131</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128</v>
      </c>
      <c r="D42" s="244"/>
      <c r="E42" s="244"/>
      <c r="F42" s="245"/>
      <c r="G42" s="3425" t="s">
        <v>121</v>
      </c>
    </row>
    <row r="43" spans="1:7" ht="13.5" customHeight="1">
      <c r="A43" s="888" t="s">
        <v>792</v>
      </c>
      <c r="B43" s="221" t="s">
        <v>1032</v>
      </c>
      <c r="C43" s="244">
        <f ca="1">ROUND(IF('数据-取费表'!B22&lt;=1,C39*F22*'数据-取费表'!B21/2,C39*(POWER((1+F22),'数据-取费表'!B21/2)-1)),0)</f>
        <v>3</v>
      </c>
      <c r="D43" s="244"/>
      <c r="E43" s="244"/>
      <c r="F43" s="245"/>
      <c r="G43" s="3426"/>
    </row>
    <row r="44" spans="1:7" ht="13.5" customHeight="1">
      <c r="A44" s="888" t="s">
        <v>793</v>
      </c>
      <c r="B44" s="221" t="s">
        <v>1034</v>
      </c>
      <c r="C44" s="244">
        <f ca="1">ROUND(IF('数据-取费表'!B22&lt;=1,C40*F22*'数据-取费表'!B21/2,C40*(POWER((1+F22),'数据-取费表'!B21/2)-1)),4)</f>
        <v>4.0000000000000002E-4</v>
      </c>
      <c r="D44" s="244"/>
      <c r="E44" s="244"/>
      <c r="F44" s="245"/>
      <c r="G44" s="3427"/>
    </row>
    <row r="45" spans="1:7" s="220" customFormat="1" ht="13.5" customHeight="1">
      <c r="A45" s="885" t="s">
        <v>786</v>
      </c>
      <c r="B45" s="250" t="s">
        <v>112</v>
      </c>
      <c r="C45" s="251">
        <f>C46</f>
        <v>628</v>
      </c>
      <c r="D45" s="241">
        <f>C47</f>
        <v>2E-3</v>
      </c>
      <c r="E45" s="242" t="s">
        <v>129</v>
      </c>
      <c r="F45" s="252"/>
      <c r="G45" s="253" t="s">
        <v>1040</v>
      </c>
    </row>
    <row r="46" spans="1:7" s="220" customFormat="1" ht="13.5" customHeight="1">
      <c r="A46" s="888" t="s">
        <v>794</v>
      </c>
      <c r="B46" s="254" t="s">
        <v>1033</v>
      </c>
      <c r="C46" s="255">
        <f>ROUND((C33+C39)*F27,0)</f>
        <v>628</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7605</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7605</v>
      </c>
      <c r="D51" s="238"/>
      <c r="E51" s="238"/>
      <c r="F51" s="270"/>
      <c r="G51" s="240" t="s">
        <v>64</v>
      </c>
    </row>
    <row r="52" spans="1:7" s="214" customFormat="1" ht="16.5" thickBot="1">
      <c r="A52" s="271" t="s">
        <v>65</v>
      </c>
      <c r="B52" s="272"/>
      <c r="C52" s="273">
        <f ca="1">C31+C51</f>
        <v>33229</v>
      </c>
      <c r="D52" s="272"/>
      <c r="E52" s="272"/>
      <c r="F52" s="272"/>
      <c r="G52" s="274"/>
    </row>
    <row r="55" spans="1:7" ht="15">
      <c r="B55" s="276" t="s">
        <v>66</v>
      </c>
      <c r="C55" s="277"/>
    </row>
    <row r="56" spans="1:7">
      <c r="B56" s="279" t="s">
        <v>67</v>
      </c>
      <c r="C56" s="280">
        <f ca="1">ROUND(C51/C52,3)</f>
        <v>0.22900000000000001</v>
      </c>
    </row>
    <row r="57" spans="1:7">
      <c r="B57" s="279" t="s">
        <v>68</v>
      </c>
      <c r="C57" s="281">
        <f ca="1">1-C56</f>
        <v>0.77100000000000002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69" t="s">
        <v>156</v>
      </c>
      <c r="B1" s="3569"/>
      <c r="C1" s="3569"/>
      <c r="D1" s="3569"/>
      <c r="E1" s="3569"/>
      <c r="F1" s="356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0" t="s">
        <v>169</v>
      </c>
      <c r="B2" s="3570"/>
      <c r="C2" s="3570"/>
      <c r="D2" s="3570"/>
      <c r="E2" s="3570"/>
      <c r="F2" s="357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7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69" t="s">
        <v>839</v>
      </c>
      <c r="B1" s="356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44645</v>
      </c>
      <c r="D1" s="1441" t="s">
        <v>1209</v>
      </c>
      <c r="E1" s="1436">
        <f>'数据-取费表'!B22</f>
        <v>1.5</v>
      </c>
      <c r="F1" s="1441" t="s">
        <v>1210</v>
      </c>
      <c r="G1" s="1437">
        <f ca="1">INDIRECT("d"&amp;$K$1)/100</f>
        <v>3.7000000000000005E-2</v>
      </c>
      <c r="H1" s="1441" t="s">
        <v>1240</v>
      </c>
      <c r="I1" s="1437">
        <f ca="1">F4/100</f>
        <v>1.4999999999999999E-2</v>
      </c>
      <c r="J1" s="1442">
        <f>IF(C1&gt;C13,0,MATCH(C1,C$13:C$107,-1))+IF(SUMIF(C13:C107,C1,D13:D107)=0,13,12)</f>
        <v>13</v>
      </c>
      <c r="K1" s="1442">
        <f>MATCH(E1,C3:C7,1)+IF(SUMIF(C3:C7,E1,D3:D7)=0,2,1)</f>
        <v>5</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3.7</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3.7</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3.7</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3.7</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4.5999999999999996</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21">
        <v>44581</v>
      </c>
      <c r="D13" s="3022">
        <v>3.7</v>
      </c>
      <c r="E13" s="3022">
        <f>D13</f>
        <v>3.7</v>
      </c>
      <c r="F13" s="3022">
        <f>D13</f>
        <v>3.7</v>
      </c>
      <c r="G13" s="3022">
        <f>D13</f>
        <v>3.7</v>
      </c>
      <c r="H13" s="3022">
        <v>4.5999999999999996</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17"/>
      <c r="C14" s="3018">
        <v>44550</v>
      </c>
      <c r="D14" s="3017">
        <v>3.8</v>
      </c>
      <c r="E14" s="3017">
        <f>D14</f>
        <v>3.8</v>
      </c>
      <c r="F14" s="3017">
        <f>D14</f>
        <v>3.8</v>
      </c>
      <c r="G14" s="3017">
        <f>D14</f>
        <v>3.8</v>
      </c>
      <c r="H14" s="3017">
        <v>4.6500000000000004</v>
      </c>
      <c r="I14" s="3017"/>
      <c r="J14" s="3022"/>
      <c r="K14" s="1423"/>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17"/>
      <c r="C15" s="3018">
        <v>43941</v>
      </c>
      <c r="D15" s="3017">
        <v>3.85</v>
      </c>
      <c r="E15" s="3017">
        <v>3.85</v>
      </c>
      <c r="F15" s="3017">
        <v>3.85</v>
      </c>
      <c r="G15" s="3017">
        <v>3.85</v>
      </c>
      <c r="H15" s="3017">
        <v>4.6500000000000004</v>
      </c>
      <c r="I15" s="3017"/>
      <c r="J15" s="3017"/>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17"/>
      <c r="C16" s="3018">
        <v>43881</v>
      </c>
      <c r="D16" s="3017">
        <v>4.05</v>
      </c>
      <c r="E16" s="3017">
        <v>4.05</v>
      </c>
      <c r="F16" s="3017">
        <v>4.05</v>
      </c>
      <c r="G16" s="3017">
        <v>4.05</v>
      </c>
      <c r="H16" s="3017">
        <v>4.75</v>
      </c>
      <c r="I16" s="3017"/>
      <c r="J16" s="3017"/>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17"/>
      <c r="C17" s="3018">
        <v>43789</v>
      </c>
      <c r="D17" s="3017">
        <v>4.1500000000000004</v>
      </c>
      <c r="E17" s="3017">
        <v>4.1500000000000004</v>
      </c>
      <c r="F17" s="3017">
        <v>4.1500000000000004</v>
      </c>
      <c r="G17" s="3017">
        <v>4.1500000000000004</v>
      </c>
      <c r="H17" s="3017">
        <v>4.8</v>
      </c>
      <c r="I17" s="3017"/>
      <c r="J17" s="3017"/>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ht="15">
      <c r="A18" s="1423"/>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1423"/>
      <c r="B19" s="3016" t="s">
        <v>2987</v>
      </c>
      <c r="C19" s="3019">
        <v>43697</v>
      </c>
      <c r="D19" s="3020">
        <v>4.25</v>
      </c>
      <c r="E19" s="3020">
        <v>4.25</v>
      </c>
      <c r="F19" s="3020">
        <v>4.25</v>
      </c>
      <c r="G19" s="3020">
        <v>4.25</v>
      </c>
      <c r="H19" s="3020">
        <v>4.8499999999999996</v>
      </c>
      <c r="I19" s="3020"/>
      <c r="J19" s="3020"/>
      <c r="K19" s="1381"/>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c r="AA19" s="1422"/>
      <c r="AB19" s="1422"/>
      <c r="AC19" s="1422"/>
      <c r="AD19" s="1422"/>
      <c r="AE19" s="1422"/>
      <c r="AF19" s="1422"/>
      <c r="AG19" s="1422"/>
      <c r="AH19" s="1422"/>
      <c r="AI19" s="1422"/>
      <c r="AJ19" s="1422"/>
      <c r="AK19" s="1422"/>
      <c r="AL19" s="1422"/>
      <c r="AM19" s="1422"/>
      <c r="AN19" s="1422"/>
      <c r="AO19" s="1422"/>
      <c r="AP19" s="1422"/>
      <c r="AQ19" s="1422"/>
      <c r="AR19" s="1422"/>
      <c r="AS19" s="1422"/>
      <c r="AT19" s="1422"/>
      <c r="AU19" s="1422"/>
      <c r="AV19" s="1422"/>
      <c r="AW19" s="1422"/>
      <c r="AX19" s="1422"/>
      <c r="AY19" s="1422"/>
      <c r="AZ19" s="1422"/>
      <c r="BA19" s="1422"/>
      <c r="BB19" s="1422"/>
      <c r="BC19" s="1422"/>
      <c r="BD19" s="1422"/>
      <c r="BE19" s="1422"/>
      <c r="BF19" s="1422"/>
      <c r="BG19" s="1422"/>
      <c r="BH19" s="1422"/>
      <c r="BI19" s="1422"/>
      <c r="BJ19" s="1422"/>
      <c r="BK19" s="1422"/>
      <c r="BL19" s="1422"/>
      <c r="BM19" s="1422"/>
      <c r="BN19" s="1422"/>
      <c r="BO19" s="1422"/>
      <c r="BP19" s="1422"/>
      <c r="BQ19" s="1422"/>
      <c r="BR19" s="1422"/>
      <c r="BS19" s="1422"/>
      <c r="BT19" s="1422"/>
      <c r="BU19" s="1422"/>
      <c r="BV19" s="1422"/>
      <c r="BW19" s="1422"/>
      <c r="BX19" s="1422"/>
      <c r="BY19" s="1422"/>
      <c r="BZ19" s="1422"/>
      <c r="CA19" s="1422"/>
      <c r="CB19" s="1422"/>
      <c r="CC19" s="1422"/>
      <c r="CD19" s="1422"/>
      <c r="CE19" s="1422"/>
      <c r="CF19" s="1422"/>
      <c r="CG19" s="1422"/>
      <c r="CH19" s="1422"/>
      <c r="CI19" s="1422"/>
      <c r="CJ19" s="1422"/>
      <c r="CK19" s="1422"/>
      <c r="CL19" s="1422"/>
      <c r="CM19" s="1422"/>
      <c r="CN19" s="1422"/>
      <c r="CO19" s="1422"/>
      <c r="CP19" s="1422"/>
      <c r="CQ19" s="1422"/>
      <c r="CR19" s="1422"/>
      <c r="CS19" s="1422"/>
      <c r="CT19" s="1422"/>
      <c r="CU19" s="1422"/>
      <c r="CV19" s="1422"/>
      <c r="CW19" s="1422"/>
      <c r="CX19" s="1422"/>
      <c r="CY19" s="1422"/>
      <c r="CZ19" s="1422"/>
      <c r="DA19" s="1422"/>
      <c r="DB19" s="1422"/>
      <c r="DC19" s="1422"/>
      <c r="DD19" s="1422"/>
      <c r="DE19" s="1422"/>
      <c r="DF19" s="1422"/>
      <c r="DG19" s="1422"/>
      <c r="DH19" s="1422"/>
      <c r="DI19" s="1422"/>
      <c r="DJ19" s="1422"/>
      <c r="DK19" s="1422"/>
      <c r="DL19" s="1422"/>
      <c r="DM19" s="1422"/>
      <c r="DN19" s="1422"/>
      <c r="DO19" s="1422"/>
      <c r="DP19" s="1422"/>
      <c r="DQ19" s="1422"/>
      <c r="DR19" s="1422"/>
      <c r="DS19" s="1422"/>
      <c r="DT19" s="1422"/>
      <c r="DU19" s="1422"/>
      <c r="DV19" s="1422"/>
      <c r="DW19" s="1422"/>
      <c r="DX19" s="1422"/>
      <c r="DY19" s="1422"/>
      <c r="DZ19" s="1422"/>
      <c r="EA19" s="1422"/>
      <c r="EB19" s="1422"/>
      <c r="EC19" s="1422"/>
      <c r="ED19" s="1422"/>
      <c r="EE19" s="1422"/>
      <c r="EF19" s="1422"/>
      <c r="EG19" s="1422"/>
      <c r="EH19" s="1422"/>
      <c r="EI19" s="1422"/>
      <c r="EJ19" s="1422"/>
      <c r="EK19" s="1422"/>
      <c r="EL19" s="1422"/>
      <c r="EM19" s="1422"/>
      <c r="EN19" s="1422"/>
      <c r="EO19" s="1422"/>
      <c r="EP19" s="1422"/>
      <c r="EQ19" s="1422"/>
      <c r="ER19" s="1422"/>
      <c r="ES19" s="1422"/>
      <c r="ET19" s="1422"/>
      <c r="EU19" s="1422"/>
      <c r="EV19" s="1422"/>
      <c r="EW19" s="1422"/>
      <c r="EX19" s="1422"/>
      <c r="EY19" s="1422"/>
      <c r="EZ19" s="1422"/>
      <c r="FA19" s="1422"/>
      <c r="FB19" s="1422"/>
      <c r="FC19" s="1422"/>
      <c r="FD19" s="1422"/>
      <c r="FE19" s="1422"/>
      <c r="FF19" s="1422"/>
      <c r="FG19" s="1422"/>
      <c r="FH19" s="1422"/>
      <c r="FI19" s="1422"/>
      <c r="FJ19" s="1422"/>
      <c r="FK19" s="1422"/>
      <c r="FL19" s="1422"/>
      <c r="FM19" s="1422"/>
      <c r="FN19" s="1422"/>
      <c r="FO19" s="1422"/>
      <c r="FP19" s="1422"/>
      <c r="FQ19" s="1422"/>
      <c r="FR19" s="1422"/>
      <c r="FS19" s="1422"/>
      <c r="FT19" s="1422"/>
      <c r="FU19" s="1422"/>
      <c r="FV19" s="1422"/>
      <c r="FW19" s="1422"/>
      <c r="FX19" s="1422"/>
      <c r="FY19" s="1422"/>
      <c r="FZ19" s="1422"/>
      <c r="GA19" s="1422"/>
      <c r="GB19" s="1422"/>
      <c r="GC19" s="1422"/>
      <c r="GD19" s="1422"/>
      <c r="GE19" s="1422"/>
      <c r="GF19" s="1422"/>
      <c r="GG19" s="1422"/>
      <c r="GH19" s="1422"/>
      <c r="GI19" s="1422"/>
      <c r="GJ19" s="1422"/>
      <c r="GK19" s="1422"/>
      <c r="GL19" s="1422"/>
      <c r="GM19" s="1422"/>
      <c r="GN19" s="1422"/>
      <c r="GO19" s="1422"/>
      <c r="GP19" s="1422"/>
      <c r="GQ19" s="1422"/>
      <c r="GR19" s="1422"/>
      <c r="GS19" s="1422"/>
      <c r="GT19" s="1422"/>
      <c r="GU19" s="1422"/>
      <c r="GV19" s="1422"/>
      <c r="GW19" s="1422"/>
      <c r="GX19" s="1422"/>
      <c r="GY19" s="1422"/>
      <c r="GZ19" s="1422"/>
      <c r="HA19" s="1422"/>
      <c r="HB19" s="1422"/>
      <c r="HC19" s="1422"/>
      <c r="HD19" s="1422"/>
      <c r="HE19" s="1422"/>
      <c r="HF19" s="1422"/>
      <c r="HG19" s="1422"/>
      <c r="HH19" s="1422"/>
      <c r="HI19" s="1422"/>
      <c r="HJ19" s="1422"/>
      <c r="HK19" s="1422"/>
      <c r="HL19" s="1422"/>
      <c r="HM19" s="1422"/>
      <c r="HN19" s="1422"/>
      <c r="HO19" s="1422"/>
      <c r="HP19" s="1422"/>
      <c r="HQ19" s="1422"/>
      <c r="HR19" s="1422"/>
      <c r="HS19" s="1422"/>
      <c r="HT19" s="1422"/>
      <c r="HU19" s="1422"/>
      <c r="HV19" s="1422"/>
      <c r="HW19" s="1422"/>
      <c r="HX19" s="1422"/>
      <c r="HY19" s="1422"/>
      <c r="HZ19" s="1422"/>
      <c r="IA19" s="1422"/>
      <c r="IB19" s="1422"/>
      <c r="IC19" s="1422"/>
      <c r="ID19" s="1422"/>
      <c r="IE19" s="1422"/>
      <c r="IF19" s="1422"/>
      <c r="IG19" s="1422"/>
      <c r="IH19" s="1422"/>
      <c r="II19" s="1422"/>
      <c r="IJ19" s="1422"/>
      <c r="IK19" s="1422"/>
      <c r="IL19" s="1422"/>
      <c r="IM19" s="1422"/>
      <c r="IN19" s="1422"/>
      <c r="IO19" s="1422"/>
      <c r="IP19" s="1422"/>
      <c r="IQ19" s="1422"/>
      <c r="IR19" s="1422"/>
      <c r="IS19" s="1422"/>
      <c r="IT19" s="1422"/>
      <c r="IU19" s="1422"/>
      <c r="IV19" s="1422"/>
    </row>
    <row r="20" spans="1:256" ht="14.25">
      <c r="A20" s="3023"/>
      <c r="B20" s="3024"/>
      <c r="C20" s="3025">
        <v>42301</v>
      </c>
      <c r="D20" s="3026">
        <v>4.3499999999999996</v>
      </c>
      <c r="E20" s="3026">
        <v>4.3499999999999996</v>
      </c>
      <c r="F20" s="3026">
        <v>4.75</v>
      </c>
      <c r="G20" s="3026">
        <v>4.75</v>
      </c>
      <c r="H20" s="3026">
        <v>4.9000000000000004</v>
      </c>
      <c r="I20" s="3026"/>
      <c r="J20" s="3026"/>
      <c r="K20" s="1417"/>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42242</v>
      </c>
      <c r="D21" s="1429">
        <v>4.5999999999999996</v>
      </c>
      <c r="E21" s="1429">
        <v>4.5999999999999996</v>
      </c>
      <c r="F21" s="1429">
        <v>5</v>
      </c>
      <c r="G21" s="1429">
        <v>5</v>
      </c>
      <c r="H21" s="1429">
        <v>5.15</v>
      </c>
      <c r="I21" s="1429">
        <v>2.75</v>
      </c>
      <c r="J21" s="1429">
        <v>3.25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42183</v>
      </c>
      <c r="D22" s="1429">
        <v>4.8499999999999996</v>
      </c>
      <c r="E22" s="1429">
        <v>4.8499999999999996</v>
      </c>
      <c r="F22" s="1429">
        <v>5.25</v>
      </c>
      <c r="G22" s="1429">
        <v>5.25</v>
      </c>
      <c r="H22" s="1429">
        <v>5.4</v>
      </c>
      <c r="I22" s="1429">
        <v>3</v>
      </c>
      <c r="J22" s="1429">
        <v>3.5</v>
      </c>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42135</v>
      </c>
      <c r="D23" s="1429">
        <v>5.0999999999999996</v>
      </c>
      <c r="E23" s="1429">
        <v>5.0999999999999996</v>
      </c>
      <c r="F23" s="1429">
        <v>5.5</v>
      </c>
      <c r="G23" s="1429">
        <v>5.5</v>
      </c>
      <c r="H23" s="1429">
        <v>5.65</v>
      </c>
      <c r="I23" s="1429">
        <v>3.25</v>
      </c>
      <c r="J23" s="1429">
        <v>3.75</v>
      </c>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42064</v>
      </c>
      <c r="D24" s="1429">
        <v>5.35</v>
      </c>
      <c r="E24" s="1429">
        <v>5.35</v>
      </c>
      <c r="F24" s="1429">
        <v>5.75</v>
      </c>
      <c r="G24" s="1429">
        <v>5.75</v>
      </c>
      <c r="H24" s="1429">
        <v>5.9</v>
      </c>
      <c r="I24" s="1429"/>
      <c r="J24" s="1429"/>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41965</v>
      </c>
      <c r="D25" s="1429">
        <v>5.6</v>
      </c>
      <c r="E25" s="1429">
        <v>5.6</v>
      </c>
      <c r="F25" s="1429">
        <v>6</v>
      </c>
      <c r="G25" s="1429">
        <v>6</v>
      </c>
      <c r="H25" s="1429">
        <v>6.15</v>
      </c>
      <c r="I25" s="1429"/>
      <c r="J25" s="1429"/>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41096</v>
      </c>
      <c r="D26" s="1429">
        <v>5.6</v>
      </c>
      <c r="E26" s="1429">
        <v>6</v>
      </c>
      <c r="F26" s="1429">
        <v>6.15</v>
      </c>
      <c r="G26" s="1429">
        <v>6.4</v>
      </c>
      <c r="H26" s="1429">
        <v>6.55</v>
      </c>
      <c r="I26" s="1429">
        <v>4</v>
      </c>
      <c r="J26" s="1429">
        <v>4.5</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41068</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40731</v>
      </c>
      <c r="D28" s="1429">
        <v>6.1</v>
      </c>
      <c r="E28" s="1429">
        <v>6.56</v>
      </c>
      <c r="F28" s="1429">
        <v>6.65</v>
      </c>
      <c r="G28" s="1429">
        <v>6.9</v>
      </c>
      <c r="H28" s="1429">
        <v>7.05</v>
      </c>
      <c r="I28" s="1429">
        <v>4.45</v>
      </c>
      <c r="J28" s="1429">
        <v>4.9000000000000004</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40639</v>
      </c>
      <c r="D29" s="1429">
        <v>5.85</v>
      </c>
      <c r="E29" s="1429">
        <v>6.31</v>
      </c>
      <c r="F29" s="1429">
        <v>6.4</v>
      </c>
      <c r="G29" s="1429">
        <v>6.65</v>
      </c>
      <c r="H29" s="1429">
        <v>6.8</v>
      </c>
      <c r="I29" s="1429">
        <v>4.2</v>
      </c>
      <c r="J29" s="1429">
        <v>4.7</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40583</v>
      </c>
      <c r="D30" s="1429">
        <v>5.6</v>
      </c>
      <c r="E30" s="1429">
        <v>6.06</v>
      </c>
      <c r="F30" s="1429">
        <v>6.1</v>
      </c>
      <c r="G30" s="1429">
        <v>6.45</v>
      </c>
      <c r="H30" s="1429">
        <v>6.6</v>
      </c>
      <c r="I30" s="1429">
        <v>4</v>
      </c>
      <c r="J30" s="1429">
        <v>4.5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40538</v>
      </c>
      <c r="D31" s="1429">
        <v>5.35</v>
      </c>
      <c r="E31" s="1429">
        <v>5.81</v>
      </c>
      <c r="F31" s="1429">
        <v>5.85</v>
      </c>
      <c r="G31" s="1429">
        <v>6.22</v>
      </c>
      <c r="H31" s="1429">
        <v>6.4</v>
      </c>
      <c r="I31" s="1429">
        <v>3.75</v>
      </c>
      <c r="J31" s="1429">
        <v>4.3</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40471</v>
      </c>
      <c r="D32" s="1429">
        <v>5.0999999999999996</v>
      </c>
      <c r="E32" s="1429">
        <v>5.56</v>
      </c>
      <c r="F32" s="1429">
        <v>5.6</v>
      </c>
      <c r="G32" s="1429">
        <v>5.96</v>
      </c>
      <c r="H32" s="1429">
        <v>6.14</v>
      </c>
      <c r="I32" s="1429">
        <v>3.5</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39805</v>
      </c>
      <c r="D33" s="1429">
        <v>4.8600000000000003</v>
      </c>
      <c r="E33" s="1429">
        <v>5.31</v>
      </c>
      <c r="F33" s="1429">
        <v>5.4</v>
      </c>
      <c r="G33" s="1429">
        <v>5.76</v>
      </c>
      <c r="H33" s="1429">
        <v>5.94</v>
      </c>
      <c r="I33" s="1429">
        <v>3.33</v>
      </c>
      <c r="J33" s="1429">
        <v>3.87</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0">
        <v>39779</v>
      </c>
      <c r="D34" s="1429">
        <v>5.04</v>
      </c>
      <c r="E34" s="1429">
        <v>5.58</v>
      </c>
      <c r="F34" s="1429">
        <v>5.67</v>
      </c>
      <c r="G34" s="1429">
        <v>5.94</v>
      </c>
      <c r="H34" s="1429">
        <v>6.12</v>
      </c>
      <c r="I34" s="1429">
        <v>3.51</v>
      </c>
      <c r="J34" s="1429">
        <v>4.05</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39751</v>
      </c>
      <c r="D35" s="1429">
        <v>6.03</v>
      </c>
      <c r="E35" s="1429">
        <v>6.66</v>
      </c>
      <c r="F35" s="1429">
        <v>6.75</v>
      </c>
      <c r="G35" s="1429">
        <v>7.02</v>
      </c>
      <c r="H35" s="1429">
        <v>7.2</v>
      </c>
      <c r="I35" s="1429">
        <v>4.05</v>
      </c>
      <c r="J35" s="1429">
        <v>4.59</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1">
        <v>39748</v>
      </c>
      <c r="D36" s="1429">
        <v>6.12</v>
      </c>
      <c r="E36" s="1429">
        <v>6.93</v>
      </c>
      <c r="F36" s="1429">
        <v>7.02</v>
      </c>
      <c r="G36" s="1429">
        <v>7.29</v>
      </c>
      <c r="H36" s="1429">
        <v>7.47</v>
      </c>
      <c r="I36" s="1429">
        <v>4.05</v>
      </c>
      <c r="J36" s="1429">
        <v>4.59</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39730</v>
      </c>
      <c r="D37" s="1429">
        <v>6.12</v>
      </c>
      <c r="E37" s="1429">
        <v>6.93</v>
      </c>
      <c r="F37" s="1429">
        <v>7.02</v>
      </c>
      <c r="G37" s="1429">
        <v>7.29</v>
      </c>
      <c r="H37" s="1429">
        <v>7.47</v>
      </c>
      <c r="I37" s="1429">
        <v>4.32</v>
      </c>
      <c r="J37" s="1429">
        <v>4.8600000000000003</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39707</v>
      </c>
      <c r="D38" s="1429">
        <v>6.21</v>
      </c>
      <c r="E38" s="1429">
        <v>7.2</v>
      </c>
      <c r="F38" s="1429">
        <v>7.29</v>
      </c>
      <c r="G38" s="1429">
        <v>7.56</v>
      </c>
      <c r="H38" s="1429">
        <v>7.74</v>
      </c>
      <c r="I38" s="1429">
        <v>4.59</v>
      </c>
      <c r="J38" s="1429">
        <v>5.13</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39437</v>
      </c>
      <c r="D39" s="1429">
        <v>6.57</v>
      </c>
      <c r="E39" s="1429">
        <v>7.47</v>
      </c>
      <c r="F39" s="1429">
        <v>7.56</v>
      </c>
      <c r="G39" s="1429">
        <v>7.74</v>
      </c>
      <c r="H39" s="1429">
        <v>7.83</v>
      </c>
      <c r="I39" s="1429">
        <v>4.7699999999999996</v>
      </c>
      <c r="J39" s="1429">
        <v>5.22</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39340</v>
      </c>
      <c r="D40" s="1429">
        <v>6.48</v>
      </c>
      <c r="E40" s="1429">
        <v>7.29</v>
      </c>
      <c r="F40" s="1429">
        <v>7.47</v>
      </c>
      <c r="G40" s="1429">
        <v>7.65</v>
      </c>
      <c r="H40" s="1429">
        <v>7.83</v>
      </c>
      <c r="I40" s="1429">
        <v>4.7699999999999996</v>
      </c>
      <c r="J40" s="1429">
        <v>5.22</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39316</v>
      </c>
      <c r="D41" s="1429">
        <v>6.21</v>
      </c>
      <c r="E41" s="1429">
        <v>7.02</v>
      </c>
      <c r="F41" s="1429">
        <v>7.2</v>
      </c>
      <c r="G41" s="1429">
        <v>7.38</v>
      </c>
      <c r="H41" s="1429">
        <v>7.56</v>
      </c>
      <c r="I41" s="1429">
        <v>4.59</v>
      </c>
      <c r="J41" s="1429">
        <v>5.04</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39284</v>
      </c>
      <c r="D42" s="1429">
        <v>6.03</v>
      </c>
      <c r="E42" s="1429">
        <v>6.84</v>
      </c>
      <c r="F42" s="1429">
        <v>7.02</v>
      </c>
      <c r="G42" s="1429">
        <v>7.2</v>
      </c>
      <c r="H42" s="1429">
        <v>7.38</v>
      </c>
      <c r="I42" s="1429">
        <v>4.5</v>
      </c>
      <c r="J42" s="1429">
        <v>4.95</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39221</v>
      </c>
      <c r="D43" s="1429">
        <v>5.85</v>
      </c>
      <c r="E43" s="1429">
        <v>6.57</v>
      </c>
      <c r="F43" s="1429">
        <v>6.75</v>
      </c>
      <c r="G43" s="1429">
        <v>6.93</v>
      </c>
      <c r="H43" s="1429">
        <v>7.2</v>
      </c>
      <c r="I43" s="1429">
        <v>4.41</v>
      </c>
      <c r="J43" s="1429">
        <v>4.8600000000000003</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39159</v>
      </c>
      <c r="D44" s="1429">
        <v>5.67</v>
      </c>
      <c r="E44" s="1429">
        <v>6.39</v>
      </c>
      <c r="F44" s="1429">
        <v>6.57</v>
      </c>
      <c r="G44" s="1429">
        <v>6.75</v>
      </c>
      <c r="H44" s="1429">
        <v>7.11</v>
      </c>
      <c r="I44" s="1429">
        <v>4.32</v>
      </c>
      <c r="J44" s="1429">
        <v>4.7699999999999996</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38948</v>
      </c>
      <c r="D45" s="1429">
        <v>5.58</v>
      </c>
      <c r="E45" s="1429">
        <v>6.12</v>
      </c>
      <c r="F45" s="1429">
        <v>6.3</v>
      </c>
      <c r="G45" s="1429">
        <v>6.48</v>
      </c>
      <c r="H45" s="1429">
        <v>6.84</v>
      </c>
      <c r="I45" s="1429">
        <v>4.1399999999999997</v>
      </c>
      <c r="J45" s="1429">
        <v>4.59</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38835</v>
      </c>
      <c r="D46" s="1429">
        <v>5.4</v>
      </c>
      <c r="E46" s="1429">
        <v>5.85</v>
      </c>
      <c r="F46" s="1429">
        <v>6.03</v>
      </c>
      <c r="G46" s="1429">
        <v>6.12</v>
      </c>
      <c r="H46" s="1429">
        <v>6.39</v>
      </c>
      <c r="I46" s="1429">
        <v>4.1399999999999997</v>
      </c>
      <c r="J46" s="1429">
        <v>4.59</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38428</v>
      </c>
      <c r="D47" s="1429">
        <v>5.22</v>
      </c>
      <c r="E47" s="1429">
        <v>5.58</v>
      </c>
      <c r="F47" s="1429">
        <v>5.76</v>
      </c>
      <c r="G47" s="1429">
        <v>5.85</v>
      </c>
      <c r="H47" s="1429">
        <v>6.12</v>
      </c>
      <c r="I47" s="1429">
        <v>3.96</v>
      </c>
      <c r="J47" s="1429">
        <v>4.41</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38289</v>
      </c>
      <c r="D48" s="1429">
        <v>5.22</v>
      </c>
      <c r="E48" s="1429">
        <v>5.58</v>
      </c>
      <c r="F48" s="1429">
        <v>5.76</v>
      </c>
      <c r="G48" s="1429">
        <v>5.85</v>
      </c>
      <c r="H48" s="1429">
        <v>6.12</v>
      </c>
      <c r="I48" s="1429">
        <v>3.78</v>
      </c>
      <c r="J48" s="1429">
        <v>4.2300000000000004</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37308</v>
      </c>
      <c r="D49" s="1429">
        <v>5.04</v>
      </c>
      <c r="E49" s="1429">
        <v>5.31</v>
      </c>
      <c r="F49" s="1429">
        <v>5.49</v>
      </c>
      <c r="G49" s="1429">
        <v>5.58</v>
      </c>
      <c r="H49" s="1429">
        <v>5.76</v>
      </c>
      <c r="I49" s="1429">
        <v>3.6</v>
      </c>
      <c r="J49" s="1429">
        <v>4.05</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36321</v>
      </c>
      <c r="D50" s="1429">
        <v>5.58</v>
      </c>
      <c r="E50" s="1429">
        <v>5.85</v>
      </c>
      <c r="F50" s="1429">
        <v>5.94</v>
      </c>
      <c r="G50" s="1429">
        <v>6.03</v>
      </c>
      <c r="H50" s="1429">
        <v>6.21</v>
      </c>
      <c r="I50" s="1429">
        <v>4.1399999999999997</v>
      </c>
      <c r="J50" s="1429">
        <v>4.59</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36136</v>
      </c>
      <c r="D51" s="1429">
        <v>6.12</v>
      </c>
      <c r="E51" s="1429">
        <v>6.39</v>
      </c>
      <c r="F51" s="1429">
        <v>6.66</v>
      </c>
      <c r="G51" s="1429">
        <v>7.2</v>
      </c>
      <c r="H51" s="1429">
        <v>7.56</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35977</v>
      </c>
      <c r="D52" s="1429">
        <v>6.57</v>
      </c>
      <c r="E52" s="1429">
        <v>6.93</v>
      </c>
      <c r="F52" s="1429">
        <v>7.11</v>
      </c>
      <c r="G52" s="1429">
        <v>7.65</v>
      </c>
      <c r="H52" s="1429">
        <v>8.01</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35879</v>
      </c>
      <c r="D53" s="1429">
        <v>7.02</v>
      </c>
      <c r="E53" s="1429">
        <v>7.92</v>
      </c>
      <c r="F53" s="1429">
        <v>9</v>
      </c>
      <c r="G53" s="1429">
        <v>9.7200000000000006</v>
      </c>
      <c r="H53" s="1429">
        <v>10.35</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35726</v>
      </c>
      <c r="D54" s="1429">
        <v>7.65</v>
      </c>
      <c r="E54" s="1429">
        <v>8.64</v>
      </c>
      <c r="F54" s="1429">
        <v>9.36</v>
      </c>
      <c r="G54" s="1429">
        <v>9.9</v>
      </c>
      <c r="H54" s="1429">
        <v>10.53</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35300</v>
      </c>
      <c r="D55" s="1429">
        <v>9.18</v>
      </c>
      <c r="E55" s="1429">
        <v>10.08</v>
      </c>
      <c r="F55" s="1429">
        <v>10.98</v>
      </c>
      <c r="G55" s="1429">
        <v>11.7</v>
      </c>
      <c r="H55" s="1429">
        <v>12.42</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35186</v>
      </c>
      <c r="D56" s="1429">
        <v>9.7200000000000006</v>
      </c>
      <c r="E56" s="1429">
        <v>10.98</v>
      </c>
      <c r="F56" s="1429">
        <v>13.14</v>
      </c>
      <c r="G56" s="1429">
        <v>14.94</v>
      </c>
      <c r="H56" s="1429">
        <v>15.12</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34881</v>
      </c>
      <c r="D57" s="1429">
        <v>10.08</v>
      </c>
      <c r="E57" s="1429">
        <v>12.06</v>
      </c>
      <c r="F57" s="1429">
        <v>13.5</v>
      </c>
      <c r="G57" s="1429">
        <v>15.12</v>
      </c>
      <c r="H57" s="1429">
        <v>15.3</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34700</v>
      </c>
      <c r="D58" s="1429">
        <v>9</v>
      </c>
      <c r="E58" s="1429">
        <v>10.98</v>
      </c>
      <c r="F58" s="1429">
        <v>12.96</v>
      </c>
      <c r="G58" s="1429">
        <v>14.58</v>
      </c>
      <c r="H58" s="1429">
        <v>14.76</v>
      </c>
      <c r="I58" s="1429">
        <v>0</v>
      </c>
      <c r="J58" s="1429">
        <v>0</v>
      </c>
    </row>
    <row r="59" spans="2:26">
      <c r="B59" s="1429"/>
      <c r="C59" s="1430">
        <v>34161</v>
      </c>
      <c r="D59" s="1429">
        <v>9</v>
      </c>
      <c r="E59" s="1429">
        <v>10.98</v>
      </c>
      <c r="F59" s="1429">
        <v>12.24</v>
      </c>
      <c r="G59" s="1429">
        <v>13.86</v>
      </c>
      <c r="H59" s="1429">
        <v>14.04</v>
      </c>
      <c r="I59" s="1429">
        <v>0</v>
      </c>
      <c r="J59" s="1429">
        <v>0</v>
      </c>
    </row>
    <row r="60" spans="2:26">
      <c r="B60" s="1429"/>
      <c r="C60" s="1430">
        <v>34104</v>
      </c>
      <c r="D60" s="1429">
        <v>8.82</v>
      </c>
      <c r="E60" s="1429">
        <v>9.36</v>
      </c>
      <c r="F60" s="1429">
        <v>10.8</v>
      </c>
      <c r="G60" s="1429">
        <v>12.06</v>
      </c>
      <c r="H60" s="1429">
        <v>12.24</v>
      </c>
      <c r="I60" s="1429">
        <v>0</v>
      </c>
      <c r="J60" s="1429">
        <v>0</v>
      </c>
    </row>
    <row r="61" spans="2:26">
      <c r="B61" s="1429"/>
      <c r="C61" s="1430">
        <v>33349</v>
      </c>
      <c r="D61" s="1429">
        <v>8.1</v>
      </c>
      <c r="E61" s="1429">
        <v>8.64</v>
      </c>
      <c r="F61" s="1429">
        <v>9</v>
      </c>
      <c r="G61" s="1429">
        <v>9.5399999999999991</v>
      </c>
      <c r="H61" s="1429">
        <v>9.7200000000000006</v>
      </c>
      <c r="I61" s="1429">
        <v>0</v>
      </c>
      <c r="J61" s="1429">
        <v>0</v>
      </c>
    </row>
    <row r="62" spans="2:26">
      <c r="B62" s="1429"/>
      <c r="C62" s="1430">
        <v>33318</v>
      </c>
      <c r="D62" s="1429">
        <v>9</v>
      </c>
      <c r="E62" s="1429">
        <v>10.08</v>
      </c>
      <c r="F62" s="1429">
        <v>10.8</v>
      </c>
      <c r="G62" s="1429">
        <v>11.52</v>
      </c>
      <c r="H62" s="1429">
        <v>11.88</v>
      </c>
      <c r="I62" s="1429" t="s">
        <v>1239</v>
      </c>
      <c r="J62" s="1429" t="s">
        <v>1239</v>
      </c>
    </row>
    <row r="63" spans="2:26">
      <c r="B63" s="1429"/>
      <c r="C63" s="1430">
        <v>33106</v>
      </c>
      <c r="D63" s="1429">
        <v>8.64</v>
      </c>
      <c r="E63" s="1429">
        <v>9.36</v>
      </c>
      <c r="F63" s="1429">
        <v>10.08</v>
      </c>
      <c r="G63" s="1429">
        <v>10.8</v>
      </c>
      <c r="H63" s="1429">
        <v>11.16</v>
      </c>
      <c r="I63" s="1429">
        <v>0</v>
      </c>
      <c r="J63" s="1429">
        <v>0</v>
      </c>
    </row>
    <row r="64" spans="2:26">
      <c r="B64" s="1429"/>
      <c r="C64" s="1430">
        <v>32540</v>
      </c>
      <c r="D64" s="1429">
        <v>11.34</v>
      </c>
      <c r="E64" s="1429">
        <v>11.34</v>
      </c>
      <c r="F64" s="1429">
        <v>12.78</v>
      </c>
      <c r="G64" s="1429">
        <v>14.4</v>
      </c>
      <c r="H64" s="1429">
        <v>19.260000000000002</v>
      </c>
      <c r="I64" s="1429">
        <v>0</v>
      </c>
      <c r="J64" s="1429">
        <v>0</v>
      </c>
    </row>
    <row r="65" spans="2:10">
      <c r="B65" s="1429"/>
      <c r="C65" s="1430"/>
      <c r="D65" s="1429"/>
      <c r="E65" s="1429"/>
      <c r="F65" s="1429"/>
      <c r="G65" s="1429"/>
      <c r="H65" s="1429"/>
      <c r="I65" s="1429"/>
      <c r="J65" s="1429"/>
    </row>
    <row r="66" spans="2:10">
      <c r="B66" s="1432"/>
      <c r="C66" s="1433"/>
      <c r="D66" s="1432"/>
      <c r="E66" s="1432"/>
      <c r="F66" s="1432"/>
      <c r="G66" s="1432"/>
      <c r="H66" s="1432"/>
      <c r="I66" s="1432"/>
      <c r="J66" s="1432"/>
    </row>
    <row r="67" spans="2:10">
      <c r="B67" s="1432"/>
      <c r="C67" s="1433"/>
      <c r="D67" s="1432"/>
      <c r="E67" s="1432"/>
      <c r="F67" s="1432"/>
      <c r="G67" s="1432"/>
      <c r="H67" s="1432"/>
      <c r="I67" s="1432"/>
      <c r="J67" s="1432"/>
    </row>
    <row r="68" spans="2:10">
      <c r="B68" s="1432"/>
      <c r="C68" s="1433"/>
      <c r="D68" s="1432"/>
      <c r="E68" s="1432"/>
      <c r="F68" s="1432"/>
      <c r="G68" s="1432"/>
      <c r="H68" s="1432"/>
      <c r="I68" s="1432"/>
      <c r="J68" s="1432"/>
    </row>
    <row r="69" spans="2:10">
      <c r="B69" s="1381"/>
      <c r="C69" s="1381"/>
      <c r="D69" s="1381"/>
      <c r="E69" s="1381"/>
      <c r="F69" s="1381"/>
      <c r="G69" s="1381"/>
      <c r="H69" s="1381"/>
      <c r="I69" s="1381"/>
      <c r="J69" s="1381"/>
    </row>
    <row r="70" spans="2:10">
      <c r="B70" s="1381"/>
      <c r="C70" s="1381"/>
      <c r="D70" s="1381"/>
      <c r="E70" s="1381"/>
      <c r="F70" s="1381"/>
      <c r="G70" s="1381"/>
      <c r="H70" s="1381"/>
      <c r="I70" s="1381"/>
      <c r="J70" s="1381"/>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0" workbookViewId="0">
      <selection activeCell="A28" sqref="A28:E35"/>
    </sheetView>
  </sheetViews>
  <sheetFormatPr defaultRowHeight="13.5"/>
  <cols>
    <col min="5" max="6" width="15.25" customWidth="1"/>
    <col min="7" max="7" width="12.75" customWidth="1"/>
  </cols>
  <sheetData>
    <row r="1" spans="1:12" ht="25.5" customHeight="1" thickTop="1">
      <c r="A1" s="3578" t="s">
        <v>3292</v>
      </c>
      <c r="B1" s="3578" t="s">
        <v>3293</v>
      </c>
      <c r="C1" s="3578" t="s">
        <v>3294</v>
      </c>
      <c r="D1" s="3580" t="s">
        <v>3284</v>
      </c>
      <c r="E1" s="3581"/>
      <c r="F1" s="3580" t="s">
        <v>3285</v>
      </c>
      <c r="G1" s="3581"/>
      <c r="H1" s="3580" t="s">
        <v>3286</v>
      </c>
      <c r="I1" s="3581"/>
    </row>
    <row r="2" spans="1:12">
      <c r="A2" s="3579"/>
      <c r="B2" s="3579"/>
      <c r="C2" s="3579"/>
      <c r="D2" s="3575" t="s">
        <v>3271</v>
      </c>
      <c r="E2" s="3575" t="s">
        <v>3287</v>
      </c>
      <c r="F2" s="3575" t="s">
        <v>3295</v>
      </c>
      <c r="G2" s="3575" t="s">
        <v>3287</v>
      </c>
      <c r="H2" s="3575" t="s">
        <v>3295</v>
      </c>
      <c r="I2" s="3575" t="s">
        <v>3287</v>
      </c>
    </row>
    <row r="3" spans="1:12" ht="127.5">
      <c r="A3" s="3576" t="s">
        <v>3296</v>
      </c>
      <c r="B3" s="3577">
        <v>18907.05</v>
      </c>
      <c r="C3" s="3577">
        <v>15415.9</v>
      </c>
      <c r="D3" s="3577">
        <v>5704</v>
      </c>
      <c r="E3" s="3577">
        <v>3017</v>
      </c>
      <c r="F3" s="3577">
        <v>5659</v>
      </c>
      <c r="G3" s="3577">
        <v>2993</v>
      </c>
      <c r="H3" s="3577">
        <v>11363</v>
      </c>
      <c r="I3" s="3577">
        <v>6010</v>
      </c>
    </row>
    <row r="4" spans="1:12" ht="25.5" customHeight="1">
      <c r="A4" s="3582" t="s">
        <v>3288</v>
      </c>
      <c r="B4" s="3583"/>
      <c r="C4" s="3584"/>
      <c r="D4" s="3582" t="s">
        <v>3289</v>
      </c>
      <c r="E4" s="3584"/>
      <c r="F4" s="3582" t="s">
        <v>3290</v>
      </c>
      <c r="G4" s="3584"/>
      <c r="H4" s="3582" t="s">
        <v>3291</v>
      </c>
      <c r="I4" s="3584"/>
    </row>
    <row r="5" spans="1:12">
      <c r="A5" s="3585" t="s">
        <v>3297</v>
      </c>
      <c r="B5" s="3586"/>
      <c r="C5" s="3587"/>
      <c r="D5" s="3588">
        <v>0</v>
      </c>
      <c r="E5" s="3589"/>
      <c r="F5" s="3589"/>
      <c r="G5" s="3589"/>
      <c r="H5" s="3589"/>
      <c r="I5" s="3590"/>
    </row>
    <row r="6" spans="1:12">
      <c r="A6" s="3582" t="s">
        <v>3288</v>
      </c>
      <c r="B6" s="3583"/>
      <c r="C6" s="3584"/>
      <c r="D6" s="3582" t="s">
        <v>3298</v>
      </c>
      <c r="E6" s="3583"/>
      <c r="F6" s="3583"/>
      <c r="G6" s="3583"/>
      <c r="H6" s="3583"/>
      <c r="I6" s="3584"/>
    </row>
    <row r="7" spans="1:12">
      <c r="A7" s="3585" t="s">
        <v>3119</v>
      </c>
      <c r="B7" s="3586"/>
      <c r="C7" s="3587"/>
      <c r="D7" s="3588">
        <v>11363</v>
      </c>
      <c r="E7" s="3589"/>
      <c r="F7" s="3589"/>
      <c r="G7" s="3589"/>
      <c r="H7" s="3589"/>
      <c r="I7" s="3590"/>
    </row>
    <row r="8" spans="1:12">
      <c r="A8" s="3582" t="s">
        <v>3288</v>
      </c>
      <c r="B8" s="3583"/>
      <c r="C8" s="3584"/>
      <c r="D8" s="3582" t="s">
        <v>3291</v>
      </c>
      <c r="E8" s="3583"/>
      <c r="F8" s="3583"/>
      <c r="G8" s="3583"/>
      <c r="H8" s="3583"/>
      <c r="I8" s="3584"/>
    </row>
    <row r="9" spans="1:12">
      <c r="A9" s="3592"/>
      <c r="B9" s="3592"/>
      <c r="C9" s="3592"/>
      <c r="D9" s="3592"/>
      <c r="E9" s="3592"/>
      <c r="F9" s="3592"/>
      <c r="G9" s="3592"/>
      <c r="H9" s="3592"/>
      <c r="I9" s="3592"/>
    </row>
    <row r="10" spans="1:12">
      <c r="A10" s="3593" t="s">
        <v>3304</v>
      </c>
      <c r="B10" s="3594"/>
      <c r="C10" s="3594" t="s">
        <v>3301</v>
      </c>
      <c r="D10" s="3594" t="s">
        <v>3305</v>
      </c>
      <c r="E10" s="3592"/>
      <c r="F10" s="3592"/>
      <c r="G10" s="3592"/>
      <c r="H10" s="3592"/>
      <c r="I10" s="3592"/>
    </row>
    <row r="11" spans="1:12">
      <c r="A11" s="3593" t="s">
        <v>3299</v>
      </c>
      <c r="B11" s="3594"/>
      <c r="C11" s="3594">
        <f>D3</f>
        <v>5704</v>
      </c>
      <c r="D11" s="3594">
        <f>ROUND(C11/(B15+B16+B17+B18)*10000,0)</f>
        <v>5378</v>
      </c>
      <c r="E11" s="3592"/>
      <c r="F11" s="3592"/>
      <c r="G11" s="3592"/>
      <c r="H11" s="3592"/>
      <c r="I11" s="3592"/>
    </row>
    <row r="12" spans="1:12">
      <c r="A12" s="3593" t="s">
        <v>3300</v>
      </c>
      <c r="B12" s="3594"/>
      <c r="C12" s="3594">
        <f>F3</f>
        <v>5659</v>
      </c>
      <c r="D12" s="3594">
        <f>G3</f>
        <v>2993</v>
      </c>
      <c r="E12" s="3592">
        <f>C12-F19</f>
        <v>4357</v>
      </c>
      <c r="F12" s="3592">
        <f>ROUND(E12/(C16+C17+C18)*10000,0)</f>
        <v>6033</v>
      </c>
      <c r="G12" s="3592"/>
      <c r="H12" s="3592"/>
      <c r="I12" s="3592"/>
    </row>
    <row r="13" spans="1:12">
      <c r="A13" s="3591"/>
      <c r="B13" s="3592"/>
      <c r="C13" s="3592"/>
      <c r="D13" s="3592"/>
      <c r="E13" s="3592"/>
      <c r="F13" s="3592"/>
      <c r="G13" s="3592"/>
      <c r="H13" s="3592"/>
      <c r="I13" s="3592"/>
    </row>
    <row r="14" spans="1:12">
      <c r="A14" s="3597" t="s">
        <v>3302</v>
      </c>
      <c r="B14" s="3597" t="s">
        <v>3303</v>
      </c>
      <c r="C14" s="3597" t="s">
        <v>3313</v>
      </c>
      <c r="D14" s="3597" t="s">
        <v>3306</v>
      </c>
      <c r="E14" s="3597" t="s">
        <v>3320</v>
      </c>
      <c r="F14" s="3597" t="s">
        <v>3322</v>
      </c>
      <c r="G14" s="3599" t="s">
        <v>3321</v>
      </c>
    </row>
    <row r="15" spans="1:12">
      <c r="A15" s="3595" t="s">
        <v>3309</v>
      </c>
      <c r="B15" s="3595">
        <v>2745.55</v>
      </c>
      <c r="C15" s="3595">
        <v>0</v>
      </c>
      <c r="D15" s="3596" t="s">
        <v>3307</v>
      </c>
      <c r="E15" s="3597">
        <f>ROUND(B15*D11/10000,0)</f>
        <v>1477</v>
      </c>
      <c r="F15" s="3597">
        <v>0</v>
      </c>
      <c r="G15" s="3599">
        <f>F15+E15</f>
        <v>1477</v>
      </c>
      <c r="H15" s="3591"/>
      <c r="I15" s="3591"/>
      <c r="J15" s="3591"/>
      <c r="K15" s="3591"/>
      <c r="L15" s="3591"/>
    </row>
    <row r="16" spans="1:12">
      <c r="A16" s="3595" t="s">
        <v>3310</v>
      </c>
      <c r="B16" s="3595">
        <v>1994.6</v>
      </c>
      <c r="C16" s="3595">
        <v>1896.4</v>
      </c>
      <c r="D16" s="3596" t="s">
        <v>3308</v>
      </c>
      <c r="E16" s="3597">
        <f>ROUND(B16*D11/10000,0)</f>
        <v>1073</v>
      </c>
      <c r="F16" s="3597">
        <f>ROUND(F12*C16/10000,0)</f>
        <v>1144</v>
      </c>
      <c r="G16" s="3599">
        <f t="shared" ref="G16:G19" si="0">F16+E16</f>
        <v>2217</v>
      </c>
    </row>
    <row r="17" spans="1:9">
      <c r="A17" s="3595" t="s">
        <v>3311</v>
      </c>
      <c r="B17" s="3595">
        <v>2902.3100000000004</v>
      </c>
      <c r="C17" s="3595">
        <v>2585.81</v>
      </c>
      <c r="D17" s="3596" t="s">
        <v>3308</v>
      </c>
      <c r="E17" s="3597">
        <f>ROUND(B17*D11/10000,0)</f>
        <v>1561</v>
      </c>
      <c r="F17" s="3597">
        <f>ROUND(F12*C17/10000,0)</f>
        <v>1560</v>
      </c>
      <c r="G17" s="3599">
        <f t="shared" si="0"/>
        <v>3121</v>
      </c>
    </row>
    <row r="18" spans="1:9">
      <c r="A18" s="3595" t="s">
        <v>3312</v>
      </c>
      <c r="B18" s="3595">
        <v>2963.05</v>
      </c>
      <c r="C18" s="3595">
        <v>2739.39</v>
      </c>
      <c r="D18" s="3596" t="s">
        <v>3308</v>
      </c>
      <c r="E18" s="3597">
        <f>C11-E15-E16-E17</f>
        <v>1593</v>
      </c>
      <c r="F18" s="3597">
        <f>ROUND(F12*C18/10000,0)</f>
        <v>1653</v>
      </c>
      <c r="G18" s="3599">
        <f t="shared" si="0"/>
        <v>3246</v>
      </c>
    </row>
    <row r="19" spans="1:9" ht="24">
      <c r="A19" s="3596" t="s">
        <v>48</v>
      </c>
      <c r="B19" s="3596">
        <v>8301.5399999999991</v>
      </c>
      <c r="C19" s="3596">
        <v>4339.2</v>
      </c>
      <c r="D19" s="3596" t="s">
        <v>3315</v>
      </c>
      <c r="E19" s="3597">
        <v>0</v>
      </c>
      <c r="F19" s="3597">
        <f>ROUND(I19*C19/10000,0)</f>
        <v>1302</v>
      </c>
      <c r="G19" s="3599">
        <f t="shared" si="0"/>
        <v>1302</v>
      </c>
      <c r="H19" s="3591" t="s">
        <v>3316</v>
      </c>
      <c r="I19">
        <v>3000</v>
      </c>
    </row>
    <row r="20" spans="1:9" s="3601" customFormat="1">
      <c r="A20" s="3599" t="s">
        <v>3314</v>
      </c>
      <c r="B20" s="3599">
        <f>SUM(B15:B19)</f>
        <v>18907.05</v>
      </c>
      <c r="C20" s="3600">
        <v>11560.8</v>
      </c>
      <c r="D20" s="3599"/>
      <c r="E20" s="3599">
        <f>SUM(E15:E19)</f>
        <v>5704</v>
      </c>
      <c r="F20" s="3599">
        <f>SUM(F15:F19)</f>
        <v>5659</v>
      </c>
      <c r="G20" s="3599">
        <f>SUM(G15:G19)</f>
        <v>11363</v>
      </c>
    </row>
    <row r="22" spans="1:9">
      <c r="A22" s="3598" t="s">
        <v>1119</v>
      </c>
      <c r="B22" s="3591" t="s">
        <v>3317</v>
      </c>
    </row>
    <row r="23" spans="1:9">
      <c r="B23" s="3591" t="s">
        <v>3318</v>
      </c>
    </row>
    <row r="24" spans="1:9">
      <c r="B24" s="3591" t="s">
        <v>3319</v>
      </c>
    </row>
    <row r="25" spans="1:9">
      <c r="B25" s="3591"/>
    </row>
    <row r="27" spans="1:9" ht="15.75" thickBot="1">
      <c r="A27" s="3602" t="s">
        <v>3323</v>
      </c>
    </row>
    <row r="28" spans="1:9" ht="14.25" customHeight="1" thickTop="1">
      <c r="A28" s="3606" t="s">
        <v>3324</v>
      </c>
      <c r="B28" s="3597" t="s">
        <v>3303</v>
      </c>
      <c r="C28" s="3597" t="s">
        <v>3313</v>
      </c>
      <c r="D28" s="3608" t="s">
        <v>3325</v>
      </c>
      <c r="E28" s="3609"/>
    </row>
    <row r="29" spans="1:9">
      <c r="A29" s="3607"/>
      <c r="B29" s="3597"/>
      <c r="C29" s="3597"/>
      <c r="D29" s="3603" t="s">
        <v>3271</v>
      </c>
      <c r="E29" s="3603" t="s">
        <v>3287</v>
      </c>
    </row>
    <row r="30" spans="1:9">
      <c r="A30" s="3595" t="s">
        <v>3309</v>
      </c>
      <c r="B30" s="3595">
        <v>2745.55</v>
      </c>
      <c r="C30" s="3595">
        <v>0</v>
      </c>
      <c r="D30" s="3605">
        <v>1477</v>
      </c>
      <c r="E30" s="3605">
        <f>ROUND(D30*10000/B30,0)</f>
        <v>5380</v>
      </c>
    </row>
    <row r="31" spans="1:9">
      <c r="A31" s="3595" t="s">
        <v>3310</v>
      </c>
      <c r="B31" s="3595">
        <v>1994.6</v>
      </c>
      <c r="C31" s="3595">
        <v>1896.4</v>
      </c>
      <c r="D31" s="3605">
        <v>2217</v>
      </c>
      <c r="E31" s="3605">
        <f>ROUND(D31*10000/B31,0)</f>
        <v>11115</v>
      </c>
    </row>
    <row r="32" spans="1:9">
      <c r="A32" s="3595" t="s">
        <v>3311</v>
      </c>
      <c r="B32" s="3595">
        <v>2902.3100000000004</v>
      </c>
      <c r="C32" s="3595">
        <v>2585.81</v>
      </c>
      <c r="D32" s="3605">
        <v>3121</v>
      </c>
      <c r="E32" s="3605">
        <f>ROUND(D32*10000/B32,0)</f>
        <v>10754</v>
      </c>
    </row>
    <row r="33" spans="1:5">
      <c r="A33" s="3595" t="s">
        <v>3312</v>
      </c>
      <c r="B33" s="3595">
        <v>2963.05</v>
      </c>
      <c r="C33" s="3595">
        <v>2739.39</v>
      </c>
      <c r="D33" s="3605">
        <v>3246</v>
      </c>
      <c r="E33" s="3605">
        <f>ROUND(D33*10000/B33,0)</f>
        <v>10955</v>
      </c>
    </row>
    <row r="34" spans="1:5">
      <c r="A34" s="3596" t="s">
        <v>48</v>
      </c>
      <c r="B34" s="3596">
        <v>8301.5399999999991</v>
      </c>
      <c r="C34" s="3596">
        <v>4339.2</v>
      </c>
      <c r="D34" s="3605">
        <v>1302</v>
      </c>
      <c r="E34" s="3605">
        <f>ROUND(D34*10000/B34,0)</f>
        <v>1568</v>
      </c>
    </row>
    <row r="35" spans="1:5">
      <c r="A35" s="3604">
        <v>6</v>
      </c>
      <c r="B35" s="3599">
        <f>SUM(B30:B34)</f>
        <v>18907.05</v>
      </c>
      <c r="C35" s="3600">
        <v>11560.8</v>
      </c>
      <c r="D35" s="3605">
        <v>11363</v>
      </c>
      <c r="E35" s="3605">
        <f>ROUND(D35*10000/B35,0)</f>
        <v>6010</v>
      </c>
    </row>
    <row r="36" spans="1:5">
      <c r="B36" s="3605"/>
      <c r="C36" s="3605"/>
    </row>
  </sheetData>
  <mergeCells count="20">
    <mergeCell ref="A28:A29"/>
    <mergeCell ref="D28:E28"/>
    <mergeCell ref="A6:C6"/>
    <mergeCell ref="D6:I6"/>
    <mergeCell ref="A7:C7"/>
    <mergeCell ref="D7:I7"/>
    <mergeCell ref="A8:C8"/>
    <mergeCell ref="D8:I8"/>
    <mergeCell ref="A4:C4"/>
    <mergeCell ref="D4:E4"/>
    <mergeCell ref="F4:G4"/>
    <mergeCell ref="H4:I4"/>
    <mergeCell ref="A5:C5"/>
    <mergeCell ref="D5:I5"/>
    <mergeCell ref="A1:A2"/>
    <mergeCell ref="B1:B2"/>
    <mergeCell ref="C1:C2"/>
    <mergeCell ref="D1:E1"/>
    <mergeCell ref="F1:G1"/>
    <mergeCell ref="H1:I1"/>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造价</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各楼幢价值</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2022-03-29T08:24:17Z</dcterms:modified>
</cp:coreProperties>
</file>