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2026\博瑞大厦\"/>
    </mc:Choice>
  </mc:AlternateContent>
  <xr:revisionPtr revIDLastSave="0" documentId="13_ncr:1_{CF9DEB69-8BD7-44E2-B7DB-43482D2CD074}" xr6:coauthVersionLast="47" xr6:coauthVersionMax="47" xr10:uidLastSave="{00000000-0000-0000-0000-000000000000}"/>
  <bookViews>
    <workbookView xWindow="-120" yWindow="-120" windowWidth="21840" windowHeight="13140" tabRatio="917" firstSheet="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Sheet1" sheetId="84" r:id="rId8"/>
    <sheet name="使用说明" sheetId="41" state="hidden" r:id="rId9"/>
    <sheet name="估价师及机构信息" sheetId="49" state="hidden" r:id="rId10"/>
    <sheet name="定义" sheetId="10" state="hidden" r:id="rId11"/>
    <sheet name="常用公式" sheetId="78" state="hidden"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租金比较法-商业" sheetId="86" r:id="rId29"/>
    <sheet name="Sheet2" sheetId="85" r:id="rId30"/>
    <sheet name="Sheet3" sheetId="87"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成本法 (元)" sheetId="80" r:id="rId41"/>
    <sheet name="基准地价修正" sheetId="43"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2" hidden="1">'比较法-商业'!$A$1:$L$49</definedName>
    <definedName name="_xlnm._FilterDatabase" localSheetId="31" hidden="1">'比较法-住宅'!$A$1:$L$49</definedName>
    <definedName name="_xlnm._FilterDatabase" localSheetId="43" hidden="1">成本逼近法!$A$2:$G$33</definedName>
    <definedName name="_xlnm._FilterDatabase" localSheetId="13"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2" hidden="1">项目基本情况!$A$42:$N$42</definedName>
    <definedName name="_xlnm._FilterDatabase" localSheetId="28" hidden="1">'租金比较法-商业'!$A$1:$L$49</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2">'比较法-商业'!$A$1:$K$54,'比较法-商业'!$A$57:$M$131</definedName>
    <definedName name="_xlnm.Print_Area" localSheetId="31">'比较法-住宅'!$A$1:$K$54,'比较法-住宅'!$A$57:$M$131</definedName>
    <definedName name="_xlnm.Print_Area" localSheetId="43">成本逼近法!$A$1:$G$36</definedName>
    <definedName name="_xlnm.Print_Area" localSheetId="19">成本法!$A$1:$G$64</definedName>
    <definedName name="_xlnm.Print_Area" localSheetId="40">'成本法 (元)'!$A$1:$G$64</definedName>
    <definedName name="_xlnm.Print_Area" localSheetId="20">'成本法 (元)-fei'!$A$1:$G$57</definedName>
    <definedName name="_xlnm.Print_Area" localSheetId="16">估价对象房地状况!$A$1:$G$24</definedName>
    <definedName name="_xlnm.Print_Area" localSheetId="9">估价师及机构信息!$A$1:$G$22</definedName>
    <definedName name="_xlnm.Print_Area" localSheetId="39">'基准地价（汇总）'!$A$1:$E$13</definedName>
    <definedName name="_xlnm.Print_Area" localSheetId="41">基准地价修正!$A$1:$J$44,基准地价修正!$A$47:$H$101,基准地价修正!$R$1:$V$16</definedName>
    <definedName name="_xlnm.Print_Area" localSheetId="38">假设开发法!$A$1:$K$37</definedName>
    <definedName name="_xlnm.Print_Area" localSheetId="18">结果表!$A$1:$I$127</definedName>
    <definedName name="_xlnm.Print_Area" localSheetId="42">'剩余法（现房）'!$A$1:$K$34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7">系统读取表!$A$1:$I$26</definedName>
    <definedName name="_xlnm.Print_Area" localSheetId="12">项目基本情况!$A$1:$I$38</definedName>
    <definedName name="_xlnm.Print_Area" localSheetId="28">'租金比较法-商业'!$A$1:$K$54,'租金比较法-商业'!$A$57:$M$131</definedName>
    <definedName name="八级">区片价!$P$1:$P$44</definedName>
    <definedName name="办公">定义!$Y$2</definedName>
    <definedName name="办公层高" localSheetId="7">'[1]比较法-办公'!$B$119:$M$119</definedName>
    <definedName name="办公层高" localSheetId="29">'[1]比较法-办公'!$B$119:$M$119</definedName>
    <definedName name="办公层高">'比较法-办公'!$B$119:$M$119</definedName>
    <definedName name="办公朝向" localSheetId="7">'[1]比较法-办公'!$B$91:$M$91</definedName>
    <definedName name="办公朝向" localSheetId="29">'[1]比较法-办公'!$B$91:$M$91</definedName>
    <definedName name="办公朝向">'比较法-办公'!$B$91:$M$91</definedName>
    <definedName name="办公道路级别" localSheetId="7">'[1]比较法-办公'!$B$87:$M$87</definedName>
    <definedName name="办公道路级别" localSheetId="29">'[1]比较法-办公'!$B$87:$M$87</definedName>
    <definedName name="办公道路级别">'比较法-办公'!$B$87:$M$87</definedName>
    <definedName name="办公公共部分装修" localSheetId="7">'[1]比较法-办公'!$B$108:$M$108</definedName>
    <definedName name="办公公共部分装修" localSheetId="29">'[1]比较法-办公'!$B$108:$M$108</definedName>
    <definedName name="办公公共部分装修">'比较法-办公'!$B$108:$M$108</definedName>
    <definedName name="办公基础设施水平" localSheetId="7">'[1]比较法-办公'!$B$117:$M$117</definedName>
    <definedName name="办公基础设施水平" localSheetId="29">'[1]比较法-办公'!$B$117:$M$117</definedName>
    <definedName name="办公基础设施水平">'比较法-办公'!$B$117:$M$117</definedName>
    <definedName name="办公集聚程度" localSheetId="7">[1]定义!$M$1:$M$6</definedName>
    <definedName name="办公集聚程度" localSheetId="29">[1]定义!$M$1:$M$6</definedName>
    <definedName name="办公集聚程度">定义!$M$1:$M$6</definedName>
    <definedName name="办公建筑结构" localSheetId="7">'[1]比较法-办公'!$B$106:$M$106</definedName>
    <definedName name="办公建筑结构" localSheetId="29">'[1]比较法-办公'!$B$106:$M$106</definedName>
    <definedName name="办公建筑结构">'比较法-办公'!$B$106:$M$106</definedName>
    <definedName name="办公建筑类型" localSheetId="7">'[1]比较法-办公'!$B$101:$M$101</definedName>
    <definedName name="办公建筑类型" localSheetId="29">'[1]比较法-办公'!$B$101:$M$101</definedName>
    <definedName name="办公建筑类型">'比较法-办公'!$B$101:$M$101</definedName>
    <definedName name="办公交易情况" localSheetId="7">'[1]比较法-办公'!$A$62:$M$62</definedName>
    <definedName name="办公交易情况" localSheetId="29">'[1]比较法-办公'!$A$62:$M$62</definedName>
    <definedName name="办公交易情况">'比较法-办公'!$A$62:$M$62</definedName>
    <definedName name="办公楼层" localSheetId="7">'[1]比较法-办公'!$B$89:$M$89</definedName>
    <definedName name="办公楼层" localSheetId="29">'[1]比较法-办公'!$B$89:$M$89</definedName>
    <definedName name="办公楼层">'比较法-办公'!$B$89:$M$89</definedName>
    <definedName name="办公内部装修" localSheetId="7">'[1]比较法-办公'!$B$123:$M$123</definedName>
    <definedName name="办公内部装修" localSheetId="29">'[1]比较法-办公'!$B$123:$M$123</definedName>
    <definedName name="办公内部装修">'比较法-办公'!$B$123:$M$123</definedName>
    <definedName name="办公物业管理" localSheetId="7">'[1]比较法-办公'!$B$115:$M$115</definedName>
    <definedName name="办公物业管理" localSheetId="29">'[1]比较法-办公'!$B$115:$M$115</definedName>
    <definedName name="办公物业管理">'比较法-办公'!$B$115:$M$115</definedName>
    <definedName name="办公用途" localSheetId="7">'[1]比较法-办公'!$B$64:$M$64</definedName>
    <definedName name="办公用途" localSheetId="29">'[1]比较法-办公'!$B$64:$M$64</definedName>
    <definedName name="办公用途">'比较法-办公'!$B$64:$M$64</definedName>
    <definedName name="仓储公共部分装修" localSheetId="7">'[1]比较法-仓储'!$B$77:$M$77</definedName>
    <definedName name="仓储公共部分装修" localSheetId="29">'[1]比较法-仓储'!$B$77:$M$77</definedName>
    <definedName name="仓储公共部分装修">'比较法-仓储'!$B$77:$M$77</definedName>
    <definedName name="仓储交易情况" localSheetId="7">'[1]比较法-仓储'!$A$49:$M$49</definedName>
    <definedName name="仓储交易情况" localSheetId="29">'[1]比较法-仓储'!$A$49:$M$49</definedName>
    <definedName name="仓储交易情况">'比较法-仓储'!$A$49:$M$49</definedName>
    <definedName name="仓储楼层" localSheetId="7">'[1]比较法-仓储'!$B$69:$M$69</definedName>
    <definedName name="仓储楼层" localSheetId="29">'[1]比较法-仓储'!$B$69:$M$69</definedName>
    <definedName name="仓储楼层">'比较法-仓储'!$B$69:$M$69</definedName>
    <definedName name="仓储物业等级" localSheetId="7">'[1]比较法-仓储'!$B$82:$M$82</definedName>
    <definedName name="仓储物业等级" localSheetId="29">'[1]比较法-仓储'!$B$82:$M$82</definedName>
    <definedName name="仓储物业等级">'比较法-仓储'!$B$82:$M$82</definedName>
    <definedName name="仓储用途" localSheetId="7">'[1]比较法-仓储'!$B$51:$M$51</definedName>
    <definedName name="仓储用途" localSheetId="29">'[1]比较法-仓储'!$B$51:$M$51</definedName>
    <definedName name="仓储用途">'比较法-仓储'!$B$51:$M$51</definedName>
    <definedName name="产业集聚程度" localSheetId="7">[1]定义!$N$1:$N$6</definedName>
    <definedName name="产业集聚程度" localSheetId="29">[1]定义!$N$1:$N$6</definedName>
    <definedName name="产业集聚程度">定义!$N$1:$N$6</definedName>
    <definedName name="车位公共部分装修" localSheetId="7">'[1]比较法-车位'!$B$83:$M$83</definedName>
    <definedName name="车位公共部分装修" localSheetId="29">'[1]比较法-车位'!$B$83:$M$83</definedName>
    <definedName name="车位公共部分装修">'比较法-车位'!$B$83:$M$83</definedName>
    <definedName name="车位交易情况" localSheetId="7">'[1]比较法-车位'!$A$51:$M$51</definedName>
    <definedName name="车位交易情况" localSheetId="29">'[1]比较法-车位'!$A$51:$M$51</definedName>
    <definedName name="车位交易情况">'比较法-车位'!$A$51:$M$51</definedName>
    <definedName name="车位类型" localSheetId="7">'[1]比较法-车位'!$B$93:$M$93</definedName>
    <definedName name="车位类型" localSheetId="29">'[1]比较法-车位'!$B$93:$M$93</definedName>
    <definedName name="车位类型">'比较法-车位'!$B$93:$M$93</definedName>
    <definedName name="车位楼层" localSheetId="7">'[1]比较法-车位'!$B$71:$M$71</definedName>
    <definedName name="车位楼层" localSheetId="29">'[1]比较法-车位'!$B$71:$M$71</definedName>
    <definedName name="车位楼层">'比较法-车位'!$B$71:$M$71</definedName>
    <definedName name="车位配套类型" localSheetId="7">'[1]比较法-车位'!$B$79:$M$79</definedName>
    <definedName name="车位配套类型" localSheetId="29">'[1]比较法-车位'!$B$79:$M$79</definedName>
    <definedName name="车位配套类型">'比较法-车位'!$B$79:$M$79</definedName>
    <definedName name="车位物业等级" localSheetId="7">'[1]比较法-车位'!$B$88:$M$88</definedName>
    <definedName name="车位物业等级" localSheetId="29">'[1]比较法-车位'!$B$88:$M$88</definedName>
    <definedName name="车位物业等级">'比较法-车位'!$B$88:$M$88</definedName>
    <definedName name="车位用途" localSheetId="7">'[1]比较法-车位'!$B$53:$M$53</definedName>
    <definedName name="车位用途" localSheetId="29">'[1]比较法-车位'!$B$53:$M$53</definedName>
    <definedName name="车位用途">'比较法-车位'!$B$53:$M$53</definedName>
    <definedName name="城镇土地纳税等级分级范围" localSheetId="7">'[1]数据-取费表'!$A$53:$A$63</definedName>
    <definedName name="城镇土地纳税等级分级范围" localSheetId="29">'[1]数据-取费表'!$A$53:$A$63</definedName>
    <definedName name="城镇土地纳税等级分级范围">'数据-取费表'!$A$54:$A$64</definedName>
    <definedName name="单价内涵" localSheetId="7">[1]定义!$V$1:$V$3</definedName>
    <definedName name="单价内涵" localSheetId="29">[1]定义!$V$1:$V$3</definedName>
    <definedName name="单价内涵">定义!$V$1:$V$3</definedName>
    <definedName name="地类判定" localSheetId="7">[1]定义!$H$1:$H$9</definedName>
    <definedName name="地类判定" localSheetId="29">[1]定义!$H$1:$H$9</definedName>
    <definedName name="地类判定">定义!$H$1:$H$9</definedName>
    <definedName name="二级">区片价!$J$1:$J$21</definedName>
    <definedName name="二级分类">修正!$C$19:$C$53</definedName>
    <definedName name="法定最高年限" localSheetId="7">[1]定义!$G$1:$G$6</definedName>
    <definedName name="法定最高年限" localSheetId="29">[1]定义!$G$1:$G$6</definedName>
    <definedName name="法定最高年限">定义!$G$1:$G$6</definedName>
    <definedName name="工业">定义!$AB$2:$AB$12</definedName>
    <definedName name="工业公共部分装修" localSheetId="7">'[1]比较法-工业'!$B$95:$M$95</definedName>
    <definedName name="工业公共部分装修" localSheetId="29">'[1]比较法-工业'!$B$95:$M$95</definedName>
    <definedName name="工业公共部分装修">'比较法-工业'!$B$95:$M$95</definedName>
    <definedName name="工业基础设施水平" localSheetId="7">'[1]比较法-工业'!$B$102:$M$102</definedName>
    <definedName name="工业基础设施水平" localSheetId="29">'[1]比较法-工业'!$B$102:$M$102</definedName>
    <definedName name="工业基础设施水平">'比较法-工业'!$B$102:$M$102</definedName>
    <definedName name="工业建筑结构" localSheetId="7">'[1]比较法-工业'!$B$93:$M$93</definedName>
    <definedName name="工业建筑结构" localSheetId="29">'[1]比较法-工业'!$B$93:$M$93</definedName>
    <definedName name="工业建筑结构">'比较法-工业'!$B$93:$M$93</definedName>
    <definedName name="工业建筑类型" localSheetId="7">'[1]比较法-工业'!$B$88:$M$88</definedName>
    <definedName name="工业建筑类型" localSheetId="29">'[1]比较法-工业'!$B$88:$M$88</definedName>
    <definedName name="工业建筑类型">'比较法-工业'!$B$88:$M$88</definedName>
    <definedName name="工业交易情况" localSheetId="7">'[1]比较法-工业'!$A$55:$M$55</definedName>
    <definedName name="工业交易情况" localSheetId="29">'[1]比较法-工业'!$A$55:$M$55</definedName>
    <definedName name="工业交易情况">'比较法-工业'!$A$55:$M$55</definedName>
    <definedName name="工业内部装修" localSheetId="7">'[1]比较法-工业'!$B$104:$M$104</definedName>
    <definedName name="工业内部装修" localSheetId="29">'[1]比较法-工业'!$B$104:$M$104</definedName>
    <definedName name="工业内部装修">'比较法-工业'!$B$104:$M$104</definedName>
    <definedName name="工业物业管理" localSheetId="7">'[1]比较法-工业'!$B$100:$M$100</definedName>
    <definedName name="工业物业管理" localSheetId="29">'[1]比较法-工业'!$B$100:$M$100</definedName>
    <definedName name="工业物业管理">'比较法-工业'!$B$100:$M$100</definedName>
    <definedName name="工业用途" localSheetId="7">'[1]比较法-工业'!$B$57:$M$57</definedName>
    <definedName name="工业用途" localSheetId="29">'[1]比较法-工业'!$B$57:$M$57</definedName>
    <definedName name="工业用途">'比较法-工业'!$B$57:$M$57</definedName>
    <definedName name="公共服务">定义!$Z$2:$Z$14</definedName>
    <definedName name="公共配套设施" localSheetId="7">[1]定义!$Q$1:$Q$6</definedName>
    <definedName name="公共配套设施" localSheetId="29">[1]定义!$Q$1:$Q$6</definedName>
    <definedName name="公共配套设施">定义!$Q$1:$Q$6</definedName>
    <definedName name="估价范围判定" localSheetId="7">[1]定义!$D$1:$D$4</definedName>
    <definedName name="估价范围判定" localSheetId="29">[1]定义!$D$1:$D$4</definedName>
    <definedName name="估价范围判定">定义!$D$1:$D$4</definedName>
    <definedName name="估价方法" localSheetId="7">[1]定义!$B$1:$B$50</definedName>
    <definedName name="估价方法" localSheetId="29">[1]定义!$B$1:$B$50</definedName>
    <definedName name="估价方法">定义!$B$1:$B$50</definedName>
    <definedName name="环境" localSheetId="7">[1]定义!$S$1:$S$6</definedName>
    <definedName name="环境" localSheetId="29">[1]定义!$S$1:$S$6</definedName>
    <definedName name="环境">定义!$S$1:$S$6</definedName>
    <definedName name="基础设施水平" localSheetId="7">[1]定义!$R$1:$R$6</definedName>
    <definedName name="基础设施水平" localSheetId="29">[1]定义!$R$1:$R$6</definedName>
    <definedName name="基础设施水平">定义!$R$1:$R$6</definedName>
    <definedName name="季度">基准地价修正!$Q$19:$AD$19</definedName>
    <definedName name="价值类型2" localSheetId="7">[1]定义!$B$54:$B$56</definedName>
    <definedName name="价值类型2" localSheetId="29">[1]定义!$B$54:$B$56</definedName>
    <definedName name="价值类型2">定义!$B$54:$B$56</definedName>
    <definedName name="交通便捷度" localSheetId="7">[1]定义!$O$1:$O$6</definedName>
    <definedName name="交通便捷度" localSheetId="29">[1]定义!$O$1:$O$6</definedName>
    <definedName name="交通便捷度">定义!$O$1:$O$6</definedName>
    <definedName name="九级">区片价!$Q$1:$Q$51</definedName>
    <definedName name="居住社区成熟度" localSheetId="7">[1]定义!$K$1:$K$6</definedName>
    <definedName name="居住社区成熟度" localSheetId="29">[1]定义!$K$1:$K$6</definedName>
    <definedName name="居住社区成熟度">定义!$K$1:$K$6</definedName>
    <definedName name="类别" localSheetId="7">[1]定义!$J$1:$J$3</definedName>
    <definedName name="类别" localSheetId="29">[1]定义!$J$1:$J$3</definedName>
    <definedName name="类别">定义!$J$1:$J$3</definedName>
    <definedName name="临街状况" localSheetId="7">[1]定义!$T$1:$T$5</definedName>
    <definedName name="临街状况" localSheetId="29">[1]定义!$T$1:$T$5</definedName>
    <definedName name="临街状况">定义!$T$1:$T$5</definedName>
    <definedName name="六级">区片价!$N$1:$N$64</definedName>
    <definedName name="内部装修维护情况" localSheetId="7">[1]定义!$U$1:$U$6</definedName>
    <definedName name="内部装修维护情况" localSheetId="29">[1]定义!$U$1:$U$6</definedName>
    <definedName name="内部装修维护情况">定义!$U$1:$U$6</definedName>
    <definedName name="七级">区片价!$O$1:$O$45</definedName>
    <definedName name="七通一平" localSheetId="7">[1]修正!$A$8:$A$16</definedName>
    <definedName name="七通一平" localSheetId="29">[1]修正!$A$8:$A$16</definedName>
    <definedName name="七通一平">修正!$A$8:$A$16</definedName>
    <definedName name="区域土地利用方向" localSheetId="7">[1]定义!$P$1:$P$6</definedName>
    <definedName name="区域土地利用方向" localSheetId="29">[1]定义!$P$1:$P$6</definedName>
    <definedName name="区域土地利用方向">定义!$P$1:$P$6</definedName>
    <definedName name="三级">区片价!$K$1:$K$26</definedName>
    <definedName name="商业">定义!$X$2:$X$9</definedName>
    <definedName name="商业层高" localSheetId="7">'[1]比较法-商业'!$B$116:$M$116</definedName>
    <definedName name="商业层高" localSheetId="29">'[1]比较法-商业'!$B$116:$M$116</definedName>
    <definedName name="商业层高" localSheetId="28">'租金比较法-商业'!$B$116:$M$116</definedName>
    <definedName name="商业层高">'比较法-商业'!$B$116:$M$116</definedName>
    <definedName name="商业成新度" localSheetId="28">'租金比较法-商业'!$B$109:$M$109</definedName>
    <definedName name="商业成新度">'比较法-商业'!$B$109:$M$109</definedName>
    <definedName name="商业繁华度" localSheetId="7">[1]定义!$L$1:$L$6</definedName>
    <definedName name="商业繁华度" localSheetId="29">[1]定义!$L$1:$L$6</definedName>
    <definedName name="商业繁华度">定义!$L$1:$L$6</definedName>
    <definedName name="商业公共部分装修" localSheetId="7">'[1]比较法-商业'!$B$107:$M$107</definedName>
    <definedName name="商业公共部分装修" localSheetId="29">'[1]比较法-商业'!$B$107:$M$107</definedName>
    <definedName name="商业公共部分装修" localSheetId="28">'租金比较法-商业'!$B$107:$M$107</definedName>
    <definedName name="商业公共部分装修">'比较法-商业'!$B$107:$M$107</definedName>
    <definedName name="商业基础设施水平" localSheetId="7">'[1]比较法-商业'!$B$112:$M$112</definedName>
    <definedName name="商业基础设施水平" localSheetId="29">'[1]比较法-商业'!$B$112:$M$112</definedName>
    <definedName name="商业基础设施水平" localSheetId="28">'租金比较法-商业'!$B$112:$M$112</definedName>
    <definedName name="商业基础设施水平">'比较法-商业'!$B$112:$M$112</definedName>
    <definedName name="商业建筑结构" localSheetId="7">'[1]比较法-商业'!$B$105:$M$105</definedName>
    <definedName name="商业建筑结构" localSheetId="29">'[1]比较法-商业'!$B$105:$M$105</definedName>
    <definedName name="商业建筑结构" localSheetId="28">'租金比较法-商业'!$B$105:$M$105</definedName>
    <definedName name="商业建筑结构">'比较法-商业'!$B$105:$M$105</definedName>
    <definedName name="商业交易情况" localSheetId="7">'[1]比较法-商业'!$A$61:$M$61</definedName>
    <definedName name="商业交易情况" localSheetId="29">'[1]比较法-商业'!$A$61:$M$61</definedName>
    <definedName name="商业交易情况" localSheetId="28">'租金比较法-商业'!$A$61:$M$61</definedName>
    <definedName name="商业交易情况">'比较法-商业'!$A$61:$M$61</definedName>
    <definedName name="商业街名称" localSheetId="7">[1]修正!$C$73:$C$140</definedName>
    <definedName name="商业街名称" localSheetId="29">[1]修正!$C$73:$C$140</definedName>
    <definedName name="商业街名称">修正!$C$73:$C$140</definedName>
    <definedName name="商业进深比" localSheetId="7">'[1]比较法-商业'!$B$120:$M$120</definedName>
    <definedName name="商业进深比" localSheetId="29">'[1]比较法-商业'!$B$120:$M$120</definedName>
    <definedName name="商业进深比" localSheetId="28">'租金比较法-商业'!$B$120:$M$120</definedName>
    <definedName name="商业进深比">'比较法-商业'!$B$120:$M$120</definedName>
    <definedName name="商业类型" localSheetId="7">'[1]比较法-商业'!$B$100:$M$100</definedName>
    <definedName name="商业类型" localSheetId="29">'[1]比较法-商业'!$B$100:$M$100</definedName>
    <definedName name="商业类型" localSheetId="28">'租金比较法-商业'!$B$100:$M$100</definedName>
    <definedName name="商业类型">'比较法-商业'!$B$100:$M$100</definedName>
    <definedName name="商业临街状况" localSheetId="7">'[1]比较法-商业'!$B$86:$M$86</definedName>
    <definedName name="商业临街状况" localSheetId="29">'[1]比较法-商业'!$B$86:$M$86</definedName>
    <definedName name="商业临街状况" localSheetId="28">'租金比较法-商业'!$B$86:$M$86</definedName>
    <definedName name="商业临街状况">'比较法-商业'!$B$86:$M$86</definedName>
    <definedName name="商业楼层" localSheetId="7">'[1]比较法-商业'!$B$92:$M$92</definedName>
    <definedName name="商业楼层" localSheetId="29">'[1]比较法-商业'!$B$92:$M$92</definedName>
    <definedName name="商业楼层" localSheetId="28">'租金比较法-商业'!$B$92:$M$92</definedName>
    <definedName name="商业楼层">'比较法-商业'!$B$92:$M$92</definedName>
    <definedName name="商业内部装修" localSheetId="7">'[1]比较法-商业'!$B$122:$M$122</definedName>
    <definedName name="商业内部装修" localSheetId="29">'[1]比较法-商业'!$B$122:$M$122</definedName>
    <definedName name="商业内部装修" localSheetId="28">'租金比较法-商业'!$B$122:$M$122</definedName>
    <definedName name="商业内部装修">'比较法-商业'!$B$122:$M$122</definedName>
    <definedName name="商业人流量" localSheetId="7">'[1]比较法-商业'!$B$90:$M$90</definedName>
    <definedName name="商业人流量" localSheetId="29">'[1]比较法-商业'!$B$90:$M$90</definedName>
    <definedName name="商业人流量" localSheetId="28">'租金比较法-商业'!$B$90:$M$90</definedName>
    <definedName name="商业人流量">'比较法-商业'!$B$90:$M$90</definedName>
    <definedName name="商业业态" localSheetId="7">'[1]比较法-商业'!$B$114:$M$114</definedName>
    <definedName name="商业业态" localSheetId="29">'[1]比较法-商业'!$B$114:$M$114</definedName>
    <definedName name="商业业态" localSheetId="28">'租金比较法-商业'!$B$114:$M$114</definedName>
    <definedName name="商业业态">'比较法-商业'!$B$114:$M$114</definedName>
    <definedName name="商业用途" localSheetId="7">'[1]比较法-商业'!$B$63:$M$63</definedName>
    <definedName name="商业用途" localSheetId="29">'[1]比较法-商业'!$B$63:$M$63</definedName>
    <definedName name="商业用途" localSheetId="28">'租金比较法-商业'!$B$63:$M$63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7">'[1]比较法-仓储'!$B$89:$M$89</definedName>
    <definedName name="是否封闭" localSheetId="29">'[1]比较法-仓储'!$B$89:$M$89</definedName>
    <definedName name="是否封闭">'比较法-仓储'!$B$89:$M$89</definedName>
    <definedName name="是否直接入户" localSheetId="7">'[1]比较法-车位'!$B$95:$M$95</definedName>
    <definedName name="是否直接入户" localSheetId="29">'[1]比较法-车位'!$B$95:$M$95</definedName>
    <definedName name="是否直接入户">'比较法-车位'!$B$95:$M$95</definedName>
    <definedName name="四级">区片价!$L$1:$L$33</definedName>
    <definedName name="套工道路等级" localSheetId="7">'[1]土地比较法-工业'!$B$97:$M$97</definedName>
    <definedName name="套工道路等级" localSheetId="29">'[1]土地比较法-工业'!$B$97:$M$97</definedName>
    <definedName name="套工道路等级">'土地比较法-工业'!$B$99:$M$99</definedName>
    <definedName name="套工地质条件" localSheetId="7">'[1]土地比较法-工业'!$B$114:$M$114</definedName>
    <definedName name="套工地质条件" localSheetId="29">'[1]土地比较法-工业'!$B$114:$M$114</definedName>
    <definedName name="套工地质条件">'土地比较法-工业'!$B$116:$M$116</definedName>
    <definedName name="套工交易情况" localSheetId="7">'[1]土地比较法-住宅、综合'!$A$72:$M$72</definedName>
    <definedName name="套工交易情况" localSheetId="29">'[1]土地比较法-住宅、综合'!$A$72:$M$72</definedName>
    <definedName name="套工交易情况">'土地比较法-住宅、综合'!$A$74:$M$74</definedName>
    <definedName name="套工土地级别" localSheetId="7">'[1]土地比较法-工业'!$B$99:$M$99</definedName>
    <definedName name="套工土地级别" localSheetId="29">'[1]土地比较法-工业'!$B$99:$M$99</definedName>
    <definedName name="套工土地级别">'土地比较法-工业'!$B$101:$M$101</definedName>
    <definedName name="套工用途" localSheetId="7">'[1]土地比较法-工业'!$B$70:$M$70</definedName>
    <definedName name="套工用途" localSheetId="29">'[1]土地比较法-工业'!$B$70:$M$70</definedName>
    <definedName name="套工用途">'土地比较法-工业'!$B$72:$M$72</definedName>
    <definedName name="套工宗地开发程度" localSheetId="7">'[1]土地比较法-工业'!$B$112:$M$112</definedName>
    <definedName name="套工宗地开发程度" localSheetId="29">'[1]土地比较法-工业'!$B$112:$M$112</definedName>
    <definedName name="套工宗地开发程度">'土地比较法-工业'!$B$114:$M$114</definedName>
    <definedName name="套工宗地形状" localSheetId="7">'[1]土地比较法-工业'!$B$110:$M$110</definedName>
    <definedName name="套工宗地形状" localSheetId="29">'[1]土地比较法-工业'!$B$110:$M$110</definedName>
    <definedName name="套工宗地形状">'土地比较法-工业'!$B$112:$M$112</definedName>
    <definedName name="套综道路等级" localSheetId="7">'[1]土地比较法-住宅、综合'!$B$105:$M$105</definedName>
    <definedName name="套综道路等级" localSheetId="29">'[1]土地比较法-住宅、综合'!$B$105:$M$105</definedName>
    <definedName name="套综道路等级">'土地比较法-住宅、综合'!$B$107:$M$107</definedName>
    <definedName name="套综工程地质条件" localSheetId="7">'[1]土地比较法-住宅、综合'!$B$124:$M$124</definedName>
    <definedName name="套综工程地质条件" localSheetId="29">'[1]土地比较法-住宅、综合'!$B$124:$M$124</definedName>
    <definedName name="套综工程地质条件">'土地比较法-住宅、综合'!$B$126:$M$126</definedName>
    <definedName name="套综交易情况" localSheetId="7">'[1]土地比较法-住宅、综合'!$A$72:$M$72</definedName>
    <definedName name="套综交易情况" localSheetId="29">'[1]土地比较法-住宅、综合'!$A$72:$M$72</definedName>
    <definedName name="套综交易情况">'土地比较法-住宅、综合'!$A$74:$M$74</definedName>
    <definedName name="套综临街宽度及深度" localSheetId="7">'[1]土地比较法-住宅、综合'!$B$120:$M$120</definedName>
    <definedName name="套综临街宽度及深度" localSheetId="29">'[1]土地比较法-住宅、综合'!$B$120:$M$120</definedName>
    <definedName name="套综临街宽度及深度">'土地比较法-住宅、综合'!$B$122:$M$122</definedName>
    <definedName name="套综土地级别" localSheetId="7">'[1]土地比较法-住宅、综合'!$B$107:$M$107</definedName>
    <definedName name="套综土地级别" localSheetId="29">'[1]土地比较法-住宅、综合'!$B$107:$M$107</definedName>
    <definedName name="套综土地级别">'土地比较法-住宅、综合'!$B$109:$M$109</definedName>
    <definedName name="套综用途" localSheetId="7">'[1]土地比较法-住宅、综合'!$B$74:$M$74</definedName>
    <definedName name="套综用途" localSheetId="29">'[1]土地比较法-住宅、综合'!$B$74:$M$74</definedName>
    <definedName name="套综用途">'土地比较法-住宅、综合'!$B$76:$M$76</definedName>
    <definedName name="套综宗地内开发程度" localSheetId="7">'[1]土地比较法-住宅、综合'!$B$122:$M$122</definedName>
    <definedName name="套综宗地内开发程度" localSheetId="29">'[1]土地比较法-住宅、综合'!$B$122:$M$122</definedName>
    <definedName name="套综宗地内开发程度">'土地比较法-住宅、综合'!$B$124:$M$124</definedName>
    <definedName name="套综宗地形状" localSheetId="7">'[1]土地比较法-住宅、综合'!$B$118:$M$118</definedName>
    <definedName name="套综宗地形状" localSheetId="29">'[1]土地比较法-住宅、综合'!$B$118:$M$118</definedName>
    <definedName name="套综宗地形状">'土地比较法-住宅、综合'!$B$120:$M$120</definedName>
    <definedName name="土地估价师">估价师及机构信息!$D$3:$D$24</definedName>
    <definedName name="土地级别" localSheetId="7">[1]定义!$C$1:$C$14</definedName>
    <definedName name="土地级别" localSheetId="29">[1]定义!$C$1:$C$14</definedName>
    <definedName name="土地级别">定义!$C$1:$C$14</definedName>
    <definedName name="土地利用方向">定义!$P$1:$P$6</definedName>
    <definedName name="土地年限区间">定义!$I$1:$I$16</definedName>
    <definedName name="位置" localSheetId="7">[1]定义!$E$2:$E$4</definedName>
    <definedName name="位置" localSheetId="29">[1]定义!$E$2:$E$4</definedName>
    <definedName name="位置">定义!$E$2:$E$4</definedName>
    <definedName name="五等判定" localSheetId="7">[1]定义!$W$1:$W$6</definedName>
    <definedName name="五等判定" localSheetId="29">[1]定义!$W$1:$W$6</definedName>
    <definedName name="五等判定">定义!$W$1:$W$6</definedName>
    <definedName name="五级">区片价!$M$1:$M$41</definedName>
    <definedName name="项目类型" localSheetId="7">'[1]数据-汇总表'!$C$17:$C$26</definedName>
    <definedName name="项目类型" localSheetId="29">'[1]数据-汇总表'!$C$17:$C$26</definedName>
    <definedName name="项目类型" localSheetId="25">'[2]数据-汇总表'!$C$17:$C$26</definedName>
    <definedName name="项目类型">'数据-汇总表'!$C$17:$C$26</definedName>
    <definedName name="写字楼等级" localSheetId="7">'[1]比较法-办公'!$B$113:$M$113</definedName>
    <definedName name="写字楼等级" localSheetId="29">'[1]比较法-办公'!$B$113:$M$113</definedName>
    <definedName name="写字楼等级">'比较法-办公'!$B$113:$M$113</definedName>
    <definedName name="一级">区片价!$I$1:$I$6</definedName>
    <definedName name="一修多修正项2" localSheetId="7">[1]典型户型修正!$5:$5</definedName>
    <definedName name="一修多修正项2" localSheetId="29">[1]典型户型修正!$5:$5</definedName>
    <definedName name="一修多修正项2">典型户型修正!$5:$5</definedName>
    <definedName name="一修多修正项3" localSheetId="7">[1]典型户型修正!$7:$7</definedName>
    <definedName name="一修多修正项3" localSheetId="29">[1]典型户型修正!$7:$7</definedName>
    <definedName name="一修多修正项3">典型户型修正!$7:$7</definedName>
    <definedName name="一修多修正项4" localSheetId="7">[1]典型户型修正!$9:$9</definedName>
    <definedName name="一修多修正项4" localSheetId="29">[1]典型户型修正!$9:$9</definedName>
    <definedName name="一修多修正项4">典型户型修正!$9:$9</definedName>
    <definedName name="一修多修正项5" localSheetId="7">[1]典型户型修正!$11:$11</definedName>
    <definedName name="一修多修正项5" localSheetId="29">[1]典型户型修正!$11:$11</definedName>
    <definedName name="一修多修正项5">典型户型修正!$11:$11</definedName>
    <definedName name="一修多修正项6" localSheetId="7">[1]典型户型修正!$13:$13</definedName>
    <definedName name="一修多修正项6" localSheetId="29">[1]典型户型修正!$13:$13</definedName>
    <definedName name="一修多修正项6">典型户型修正!$13:$13</definedName>
    <definedName name="一修多修正项7" localSheetId="7">[1]典型户型修正!$15:$15</definedName>
    <definedName name="一修多修正项7" localSheetId="29">[1]典型户型修正!$15:$15</definedName>
    <definedName name="一修多修正项7">典型户型修正!$15:$15</definedName>
    <definedName name="一修多修正项8" localSheetId="7">[1]典型户型修正!$17:$17</definedName>
    <definedName name="一修多修正项8" localSheetId="29">[1]典型户型修正!$17:$17</definedName>
    <definedName name="一修多修正项8">典型户型修正!$17:$17</definedName>
    <definedName name="用途明细" localSheetId="7">[1]定义!$A$1:$A$50</definedName>
    <definedName name="用途明细" localSheetId="29">[1]定义!$A$1:$A$50</definedName>
    <definedName name="用途明细">定义!$A$1:$A$50</definedName>
    <definedName name="有无电梯" localSheetId="7">'[1]比较法-仓储'!$B$84:$M$84</definedName>
    <definedName name="有无电梯" localSheetId="29">'[1]比较法-仓储'!$B$84:$M$84</definedName>
    <definedName name="有无电梯">'比较法-仓储'!$B$84:$M$84</definedName>
    <definedName name="主用途" localSheetId="7">[1]定义!$F$1:$F$12</definedName>
    <definedName name="主用途" localSheetId="29">[1]定义!$F$1:$F$12</definedName>
    <definedName name="主用途">定义!$F$1:$F$12</definedName>
    <definedName name="住宅">定义!$AA$2</definedName>
    <definedName name="住宅朝向" localSheetId="7">'[1]比较法-住宅'!$B$88:$M$88</definedName>
    <definedName name="住宅朝向" localSheetId="29">'[1]比较法-住宅'!$B$88:$M$88</definedName>
    <definedName name="住宅朝向">'比较法-住宅'!$B$88:$M$88</definedName>
    <definedName name="住宅房型" localSheetId="7">'[1]比较法-住宅'!$B$118:$M$118</definedName>
    <definedName name="住宅房型" localSheetId="29">'[1]比较法-住宅'!$B$118:$M$118</definedName>
    <definedName name="住宅房型">'比较法-住宅'!$B$118:$M$118</definedName>
    <definedName name="住宅公共部分装修" localSheetId="7">'[1]比较法-住宅'!$B$109:$M$109</definedName>
    <definedName name="住宅公共部分装修" localSheetId="29">'[1]比较法-住宅'!$B$109:$M$109</definedName>
    <definedName name="住宅公共部分装修">'比较法-住宅'!$B$109:$M$109</definedName>
    <definedName name="住宅基础设施水平" localSheetId="7">'[1]比较法-住宅'!$B$116:$M$116</definedName>
    <definedName name="住宅基础设施水平" localSheetId="29">'[1]比较法-住宅'!$B$116:$M$116</definedName>
    <definedName name="住宅基础设施水平">'比较法-住宅'!$B$116:$M$116</definedName>
    <definedName name="住宅建筑结构" localSheetId="7">'[1]比较法-住宅'!$B$105:$M$105</definedName>
    <definedName name="住宅建筑结构" localSheetId="29">'[1]比较法-住宅'!$B$105:$M$105</definedName>
    <definedName name="住宅建筑结构">'比较法-住宅'!$B$105:$M$105</definedName>
    <definedName name="住宅建筑类型" localSheetId="7">'[1]比较法-住宅'!$B$100:$M$100</definedName>
    <definedName name="住宅建筑类型" localSheetId="29">'[1]比较法-住宅'!$B$100:$M$100</definedName>
    <definedName name="住宅建筑类型">'比较法-住宅'!$B$100:$M$100</definedName>
    <definedName name="住宅建筑品质" localSheetId="7">'[1]比较法-住宅'!$B$107:$M$107</definedName>
    <definedName name="住宅建筑品质" localSheetId="29">'[1]比较法-住宅'!$B$107:$M$107</definedName>
    <definedName name="住宅建筑品质">'比较法-住宅'!$B$107:$M$107</definedName>
    <definedName name="住宅交易情况" localSheetId="7">'[1]比较法-住宅'!$A$61:$M$61</definedName>
    <definedName name="住宅交易情况" localSheetId="29">'[1]比较法-住宅'!$A$61:$M$61</definedName>
    <definedName name="住宅交易情况">'比较法-住宅'!$A$61:$M$61</definedName>
    <definedName name="住宅楼层" localSheetId="7">'[1]比较法-住宅'!$B$86:$M$86</definedName>
    <definedName name="住宅楼层" localSheetId="29">'[1]比较法-住宅'!$B$86:$M$86</definedName>
    <definedName name="住宅楼层">'比较法-住宅'!$B$86:$M$86</definedName>
    <definedName name="住宅内部装修" localSheetId="7">'[1]比较法-住宅'!$B$122:$M$122</definedName>
    <definedName name="住宅内部装修" localSheetId="29">'[1]比较法-住宅'!$B$122:$M$122</definedName>
    <definedName name="住宅内部装修">'比较法-住宅'!$B$122:$M$122</definedName>
    <definedName name="住宅物业管理" localSheetId="7">'[1]比较法-住宅'!$B$114:$M$114</definedName>
    <definedName name="住宅物业管理" localSheetId="29">'[1]比较法-住宅'!$B$114:$M$114</definedName>
    <definedName name="住宅物业管理">'比较法-住宅'!$B$114:$M$114</definedName>
    <definedName name="住宅用途" localSheetId="7">'[1]比较法-住宅'!$B$63:$M$63</definedName>
    <definedName name="住宅用途" localSheetId="29">'[1]比较法-住宅'!$B$63:$M$63</definedName>
    <definedName name="住宅用途">'比较法-住宅'!$B$63:$M$63</definedName>
    <definedName name="住宅主力户型面积">'比较法-住宅'!$B$120:$M$120</definedName>
    <definedName name="注册房地产估价师" localSheetId="7">[1]估价师及机构信息!$A$3:$A$16</definedName>
    <definedName name="注册房地产估价师" localSheetId="29">[1]估价师及机构信息!$A$3:$A$16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7" i="80" l="1"/>
  <c r="G51" i="43"/>
  <c r="G52" i="43"/>
  <c r="G53" i="43"/>
  <c r="G54" i="43"/>
  <c r="G55" i="43"/>
  <c r="G56" i="43"/>
  <c r="G57" i="43"/>
  <c r="G58" i="43"/>
  <c r="G50" i="43"/>
  <c r="G44" i="43"/>
  <c r="D37" i="43"/>
  <c r="B14" i="74"/>
  <c r="I36" i="86"/>
  <c r="G36" i="86"/>
  <c r="E36" i="86"/>
  <c r="I36" i="33" l="1"/>
  <c r="G36" i="33"/>
  <c r="E36" i="33"/>
  <c r="E93" i="86"/>
  <c r="D93" i="86"/>
  <c r="H45" i="86"/>
  <c r="U45" i="86" s="1"/>
  <c r="B130" i="86"/>
  <c r="B128" i="86"/>
  <c r="B126" i="86"/>
  <c r="G125" i="86"/>
  <c r="D125" i="86"/>
  <c r="E125" i="86" s="1"/>
  <c r="F125" i="86" s="1"/>
  <c r="E123" i="86"/>
  <c r="F123" i="86" s="1"/>
  <c r="G123" i="86" s="1"/>
  <c r="H123" i="86" s="1"/>
  <c r="I123" i="86" s="1"/>
  <c r="J123" i="86" s="1"/>
  <c r="K123" i="86" s="1"/>
  <c r="L123" i="86" s="1"/>
  <c r="M123" i="86" s="1"/>
  <c r="D123" i="86"/>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D111" i="86"/>
  <c r="E111" i="86" s="1"/>
  <c r="F111" i="86" s="1"/>
  <c r="G111" i="86" s="1"/>
  <c r="H111" i="86" s="1"/>
  <c r="I111" i="86" s="1"/>
  <c r="J111" i="86" s="1"/>
  <c r="K111" i="86" s="1"/>
  <c r="L111" i="86" s="1"/>
  <c r="M111" i="86" s="1"/>
  <c r="L109" i="86"/>
  <c r="K109" i="86"/>
  <c r="J109" i="86"/>
  <c r="I109" i="86"/>
  <c r="H109" i="86"/>
  <c r="G109" i="86"/>
  <c r="F109" i="86"/>
  <c r="E109" i="86"/>
  <c r="D109" i="86"/>
  <c r="C109" i="86"/>
  <c r="E108" i="86"/>
  <c r="F108" i="86" s="1"/>
  <c r="G108" i="86" s="1"/>
  <c r="H108" i="86" s="1"/>
  <c r="I108" i="86" s="1"/>
  <c r="J108" i="86" s="1"/>
  <c r="K108" i="86" s="1"/>
  <c r="L108" i="86" s="1"/>
  <c r="M108" i="86" s="1"/>
  <c r="D108" i="86"/>
  <c r="E106" i="86"/>
  <c r="F106" i="86" s="1"/>
  <c r="G106" i="86" s="1"/>
  <c r="H106" i="86" s="1"/>
  <c r="I106" i="86" s="1"/>
  <c r="J106" i="86" s="1"/>
  <c r="K106" i="86" s="1"/>
  <c r="L106" i="86" s="1"/>
  <c r="M106" i="86" s="1"/>
  <c r="D106" i="86"/>
  <c r="M102" i="86"/>
  <c r="L102" i="86"/>
  <c r="K102" i="86"/>
  <c r="J102" i="86"/>
  <c r="I102" i="86"/>
  <c r="H102" i="86"/>
  <c r="G102" i="86"/>
  <c r="F102" i="86"/>
  <c r="E102" i="86"/>
  <c r="D102" i="86"/>
  <c r="C102" i="86"/>
  <c r="D101" i="86"/>
  <c r="E101" i="86" s="1"/>
  <c r="F101" i="86" s="1"/>
  <c r="B98" i="86"/>
  <c r="B96" i="86"/>
  <c r="B94" i="86"/>
  <c r="B92" i="86"/>
  <c r="D91" i="86"/>
  <c r="E91" i="86" s="1"/>
  <c r="J27" i="86" s="1"/>
  <c r="B90" i="86"/>
  <c r="B88" i="86"/>
  <c r="F87" i="86"/>
  <c r="G87" i="86" s="1"/>
  <c r="H87" i="86" s="1"/>
  <c r="I87" i="86" s="1"/>
  <c r="J87" i="86" s="1"/>
  <c r="K87" i="86" s="1"/>
  <c r="L87" i="86" s="1"/>
  <c r="M87" i="86" s="1"/>
  <c r="D87" i="86"/>
  <c r="E87" i="86" s="1"/>
  <c r="F85" i="86"/>
  <c r="G85" i="86" s="1"/>
  <c r="D85" i="86"/>
  <c r="E85" i="86" s="1"/>
  <c r="F83" i="86"/>
  <c r="G83" i="86" s="1"/>
  <c r="D83" i="86"/>
  <c r="E83" i="86" s="1"/>
  <c r="F81" i="86"/>
  <c r="G81" i="86" s="1"/>
  <c r="D81" i="86"/>
  <c r="E81" i="86" s="1"/>
  <c r="F79" i="86"/>
  <c r="G79" i="86" s="1"/>
  <c r="D79" i="86"/>
  <c r="E79" i="86" s="1"/>
  <c r="F77" i="86"/>
  <c r="G77" i="86" s="1"/>
  <c r="D77" i="86"/>
  <c r="E77" i="86" s="1"/>
  <c r="B74" i="86"/>
  <c r="B72" i="86"/>
  <c r="B70" i="86"/>
  <c r="G69" i="86"/>
  <c r="H69" i="86" s="1"/>
  <c r="I69" i="86" s="1"/>
  <c r="J69" i="86" s="1"/>
  <c r="K69" i="86" s="1"/>
  <c r="L69" i="86" s="1"/>
  <c r="M69" i="86" s="1"/>
  <c r="E69" i="86"/>
  <c r="F69" i="86" s="1"/>
  <c r="D69" i="86"/>
  <c r="M67" i="86"/>
  <c r="L67" i="86"/>
  <c r="K67" i="86"/>
  <c r="J67" i="86"/>
  <c r="I67" i="86"/>
  <c r="H67" i="86"/>
  <c r="G67" i="86"/>
  <c r="F67" i="86"/>
  <c r="E67" i="86"/>
  <c r="D67" i="86"/>
  <c r="C67" i="86"/>
  <c r="E66" i="86"/>
  <c r="F66" i="86" s="1"/>
  <c r="G66" i="86" s="1"/>
  <c r="D66" i="86"/>
  <c r="C63" i="86"/>
  <c r="I54" i="86"/>
  <c r="J54" i="86" s="1"/>
  <c r="G54" i="86"/>
  <c r="H54" i="86" s="1"/>
  <c r="E54" i="86"/>
  <c r="F54" i="86" s="1"/>
  <c r="P49" i="86"/>
  <c r="P48" i="86"/>
  <c r="K48" i="86"/>
  <c r="V47" i="86"/>
  <c r="T47" i="86"/>
  <c r="R47" i="86"/>
  <c r="P47" i="86"/>
  <c r="Q46" i="86"/>
  <c r="Z46" i="86" s="1"/>
  <c r="J46" i="86"/>
  <c r="W46" i="86" s="1"/>
  <c r="H46" i="86"/>
  <c r="AB46" i="86" s="1"/>
  <c r="F46" i="86"/>
  <c r="AA46" i="86" s="1"/>
  <c r="Q45" i="86"/>
  <c r="Z45" i="86" s="1"/>
  <c r="J45" i="86"/>
  <c r="AC45" i="86" s="1"/>
  <c r="F45" i="86"/>
  <c r="AA45" i="86" s="1"/>
  <c r="Q44" i="86"/>
  <c r="Z44" i="86" s="1"/>
  <c r="J44" i="86"/>
  <c r="AC44" i="86" s="1"/>
  <c r="H44" i="86"/>
  <c r="AB44" i="86" s="1"/>
  <c r="F44" i="86"/>
  <c r="AA44" i="86" s="1"/>
  <c r="Z43" i="86"/>
  <c r="Q43" i="86"/>
  <c r="J43" i="86"/>
  <c r="AC43" i="86" s="1"/>
  <c r="H43" i="86"/>
  <c r="AB43" i="86" s="1"/>
  <c r="F43" i="86"/>
  <c r="AA43" i="86" s="1"/>
  <c r="Q42" i="86"/>
  <c r="Z42" i="86" s="1"/>
  <c r="J42" i="86"/>
  <c r="AC42" i="86" s="1"/>
  <c r="H42" i="86"/>
  <c r="AB42" i="86" s="1"/>
  <c r="F42" i="86"/>
  <c r="AA42" i="86" s="1"/>
  <c r="U41" i="86"/>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W38" i="86" s="1"/>
  <c r="H38" i="86"/>
  <c r="AB38" i="86" s="1"/>
  <c r="F38" i="86"/>
  <c r="AA38" i="86" s="1"/>
  <c r="Q37" i="86"/>
  <c r="Z37" i="86" s="1"/>
  <c r="J37" i="86"/>
  <c r="AC37" i="86" s="1"/>
  <c r="H37" i="86"/>
  <c r="AB37" i="86" s="1"/>
  <c r="Q36" i="86"/>
  <c r="Z36" i="86" s="1"/>
  <c r="Q35" i="86"/>
  <c r="Z35" i="86" s="1"/>
  <c r="J35" i="86"/>
  <c r="AC35" i="86" s="1"/>
  <c r="H35" i="86"/>
  <c r="AB35" i="86" s="1"/>
  <c r="F35" i="86"/>
  <c r="AA35" i="86" s="1"/>
  <c r="AC34" i="86"/>
  <c r="Q34" i="86"/>
  <c r="Z34" i="86" s="1"/>
  <c r="J34" i="86"/>
  <c r="W34" i="86" s="1"/>
  <c r="H34" i="86"/>
  <c r="AB34" i="86" s="1"/>
  <c r="F34" i="86"/>
  <c r="AA34" i="86" s="1"/>
  <c r="Q33" i="86"/>
  <c r="Z33" i="86" s="1"/>
  <c r="H33" i="86"/>
  <c r="AB33" i="86" s="1"/>
  <c r="F33" i="86"/>
  <c r="AA33" i="86" s="1"/>
  <c r="C33" i="86"/>
  <c r="J33" i="86" s="1"/>
  <c r="Q32" i="86"/>
  <c r="Z32" i="86" s="1"/>
  <c r="H32" i="86"/>
  <c r="U32" i="86" s="1"/>
  <c r="AA31" i="86"/>
  <c r="Q31" i="86"/>
  <c r="Z31" i="86" s="1"/>
  <c r="J31" i="86"/>
  <c r="AC31" i="86" s="1"/>
  <c r="H31" i="86"/>
  <c r="AB31" i="86" s="1"/>
  <c r="F31" i="86"/>
  <c r="S31" i="86" s="1"/>
  <c r="Q30" i="86"/>
  <c r="Z30" i="86" s="1"/>
  <c r="J30" i="86"/>
  <c r="AC30" i="86" s="1"/>
  <c r="H30" i="86"/>
  <c r="AB30" i="86" s="1"/>
  <c r="F30" i="86"/>
  <c r="AA30" i="86" s="1"/>
  <c r="AC29" i="86"/>
  <c r="W29" i="86"/>
  <c r="Q29" i="86"/>
  <c r="Z29" i="86" s="1"/>
  <c r="J29" i="86"/>
  <c r="H29" i="86"/>
  <c r="AB29" i="86" s="1"/>
  <c r="F29" i="86"/>
  <c r="AA29" i="86" s="1"/>
  <c r="Q28" i="86"/>
  <c r="Z28" i="86" s="1"/>
  <c r="H28" i="86"/>
  <c r="AB28" i="86" s="1"/>
  <c r="Q27" i="86"/>
  <c r="Z27" i="86" s="1"/>
  <c r="H27" i="86"/>
  <c r="AB27" i="86" s="1"/>
  <c r="F27" i="86"/>
  <c r="AA27" i="86" s="1"/>
  <c r="Q26" i="86"/>
  <c r="Z26" i="86" s="1"/>
  <c r="Q25" i="86"/>
  <c r="Z25" i="86" s="1"/>
  <c r="J25" i="86"/>
  <c r="W25" i="86" s="1"/>
  <c r="H25" i="86"/>
  <c r="AB25" i="86" s="1"/>
  <c r="F25" i="86"/>
  <c r="AA25" i="86" s="1"/>
  <c r="AB23" i="86"/>
  <c r="AA23" i="86"/>
  <c r="Z23" i="86"/>
  <c r="Q23" i="86"/>
  <c r="J23" i="86"/>
  <c r="AC23" i="86" s="1"/>
  <c r="H23" i="86"/>
  <c r="U23" i="86" s="1"/>
  <c r="F23" i="86"/>
  <c r="S23" i="86" s="1"/>
  <c r="C23" i="86"/>
  <c r="AB21" i="86"/>
  <c r="Z21" i="86"/>
  <c r="Q21" i="86"/>
  <c r="J21" i="86"/>
  <c r="AC21" i="86" s="1"/>
  <c r="H21" i="86"/>
  <c r="U21" i="86" s="1"/>
  <c r="F21" i="86"/>
  <c r="AA21" i="86" s="1"/>
  <c r="C21" i="86"/>
  <c r="AB19" i="86"/>
  <c r="AA19" i="86"/>
  <c r="Z19" i="86"/>
  <c r="Q19" i="86"/>
  <c r="J19" i="86"/>
  <c r="H19" i="86"/>
  <c r="U19" i="86" s="1"/>
  <c r="F19" i="86"/>
  <c r="S19" i="86" s="1"/>
  <c r="C19" i="86"/>
  <c r="Q17" i="86"/>
  <c r="Z17" i="86" s="1"/>
  <c r="J17" i="86"/>
  <c r="W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F12" i="86"/>
  <c r="H12" i="86"/>
  <c r="Q11" i="86"/>
  <c r="Z11" i="86" s="1"/>
  <c r="J11" i="86"/>
  <c r="Q10" i="86"/>
  <c r="Z10" i="86" s="1"/>
  <c r="H10" i="86"/>
  <c r="AB10" i="86" s="1"/>
  <c r="F10" i="86"/>
  <c r="AA10" i="86" s="1"/>
  <c r="Q9" i="86"/>
  <c r="Z9" i="86" s="1"/>
  <c r="J9" i="86"/>
  <c r="AC9" i="86" s="1"/>
  <c r="H9" i="86"/>
  <c r="AB9" i="86" s="1"/>
  <c r="F9" i="86"/>
  <c r="AA9" i="86" s="1"/>
  <c r="AC8" i="86"/>
  <c r="AB8" i="86"/>
  <c r="W8" i="86"/>
  <c r="U8" i="86"/>
  <c r="S8" i="86"/>
  <c r="J8" i="86"/>
  <c r="H8" i="86"/>
  <c r="F8" i="86"/>
  <c r="AA8" i="86" s="1"/>
  <c r="C7" i="86"/>
  <c r="C58" i="86" s="1"/>
  <c r="D58" i="86" s="1"/>
  <c r="E58" i="86" s="1"/>
  <c r="F58" i="86" s="1"/>
  <c r="G58" i="86" s="1"/>
  <c r="H58" i="86" s="1"/>
  <c r="I58" i="86" s="1"/>
  <c r="J58" i="86" s="1"/>
  <c r="K58" i="86" s="1"/>
  <c r="L58" i="86" s="1"/>
  <c r="M58" i="86" s="1"/>
  <c r="N58" i="86" s="1"/>
  <c r="O58" i="86" s="1"/>
  <c r="D3" i="86"/>
  <c r="F2" i="86"/>
  <c r="AB32" i="86" l="1"/>
  <c r="AC25" i="86"/>
  <c r="S27" i="86"/>
  <c r="U37" i="86"/>
  <c r="AC38" i="86"/>
  <c r="AC46" i="86"/>
  <c r="U33" i="86"/>
  <c r="AC12" i="86"/>
  <c r="W12" i="86"/>
  <c r="AB12" i="86"/>
  <c r="U12" i="86"/>
  <c r="S12" i="86"/>
  <c r="AA12" i="86"/>
  <c r="H66" i="86"/>
  <c r="J10" i="86"/>
  <c r="AC11" i="86"/>
  <c r="W11" i="86"/>
  <c r="AC17" i="86"/>
  <c r="AC33" i="86"/>
  <c r="W33" i="86"/>
  <c r="S44" i="86"/>
  <c r="F91" i="86"/>
  <c r="G91" i="86" s="1"/>
  <c r="H91" i="86" s="1"/>
  <c r="I91" i="86" s="1"/>
  <c r="J91" i="86" s="1"/>
  <c r="K91" i="86" s="1"/>
  <c r="L91" i="86" s="1"/>
  <c r="M91" i="86" s="1"/>
  <c r="W9" i="86"/>
  <c r="U13" i="86"/>
  <c r="W14" i="86"/>
  <c r="AC19" i="86"/>
  <c r="W19" i="86"/>
  <c r="AB45" i="86"/>
  <c r="S10" i="86"/>
  <c r="F11" i="86"/>
  <c r="W13" i="86"/>
  <c r="S9" i="86"/>
  <c r="U10" i="86"/>
  <c r="H11" i="86"/>
  <c r="S14" i="86"/>
  <c r="S15" i="86"/>
  <c r="S17" i="86"/>
  <c r="U28" i="86"/>
  <c r="S40" i="86"/>
  <c r="W42" i="86"/>
  <c r="J26" i="86"/>
  <c r="H26" i="86"/>
  <c r="F26" i="86"/>
  <c r="W15" i="86"/>
  <c r="S21" i="86"/>
  <c r="AC27" i="86"/>
  <c r="W27" i="86"/>
  <c r="E7" i="86"/>
  <c r="F7" i="86" s="1"/>
  <c r="I7" i="86"/>
  <c r="J7" i="86" s="1"/>
  <c r="G7" i="86"/>
  <c r="H7" i="86" s="1"/>
  <c r="U9" i="86"/>
  <c r="S13" i="86"/>
  <c r="U14" i="86"/>
  <c r="U15" i="86"/>
  <c r="U17" i="86"/>
  <c r="F28" i="86"/>
  <c r="J28" i="86"/>
  <c r="G101" i="86"/>
  <c r="H101" i="86" s="1"/>
  <c r="I101" i="86" s="1"/>
  <c r="J101" i="86" s="1"/>
  <c r="K101" i="86" s="1"/>
  <c r="L101" i="86" s="1"/>
  <c r="M101" i="86" s="1"/>
  <c r="F32" i="86"/>
  <c r="J32" i="86"/>
  <c r="F113" i="86"/>
  <c r="G113" i="86" s="1"/>
  <c r="H113" i="86" s="1"/>
  <c r="I113" i="86" s="1"/>
  <c r="J113" i="86" s="1"/>
  <c r="K113" i="86" s="1"/>
  <c r="L113" i="86" s="1"/>
  <c r="M113" i="86" s="1"/>
  <c r="F37" i="86"/>
  <c r="W21" i="86"/>
  <c r="W23" i="86"/>
  <c r="U27" i="86"/>
  <c r="S30" i="86"/>
  <c r="U31" i="86"/>
  <c r="S35" i="86"/>
  <c r="W37" i="86"/>
  <c r="S39" i="86"/>
  <c r="U40" i="86"/>
  <c r="W41" i="86"/>
  <c r="S43" i="86"/>
  <c r="U44" i="86"/>
  <c r="W45" i="86"/>
  <c r="S25" i="86"/>
  <c r="S29" i="86"/>
  <c r="U30" i="86"/>
  <c r="W31" i="86"/>
  <c r="S34" i="86"/>
  <c r="U35" i="86"/>
  <c r="S38" i="86"/>
  <c r="U39" i="86"/>
  <c r="W40" i="86"/>
  <c r="S42" i="86"/>
  <c r="U43" i="86"/>
  <c r="W44" i="86"/>
  <c r="S46" i="86"/>
  <c r="U25" i="86"/>
  <c r="U29" i="86"/>
  <c r="W30" i="86"/>
  <c r="S33" i="86"/>
  <c r="U34" i="86"/>
  <c r="W35" i="86"/>
  <c r="U38" i="86"/>
  <c r="W39" i="86"/>
  <c r="S41" i="86"/>
  <c r="U42" i="86"/>
  <c r="W43" i="86"/>
  <c r="S45" i="86"/>
  <c r="U46" i="86"/>
  <c r="S7" i="86" l="1"/>
  <c r="AA7" i="86"/>
  <c r="AB11" i="86"/>
  <c r="U11" i="86"/>
  <c r="AA11" i="86"/>
  <c r="S11" i="86"/>
  <c r="AC10" i="86"/>
  <c r="W10" i="86"/>
  <c r="AA37" i="86"/>
  <c r="S37" i="86"/>
  <c r="AA26" i="86"/>
  <c r="S26" i="86"/>
  <c r="AA32" i="86"/>
  <c r="S32" i="86"/>
  <c r="AC28" i="86"/>
  <c r="W28" i="86"/>
  <c r="AB7" i="86"/>
  <c r="U7" i="86"/>
  <c r="AB26" i="86"/>
  <c r="U26" i="86"/>
  <c r="AC32" i="86"/>
  <c r="W32" i="86"/>
  <c r="AA28" i="86"/>
  <c r="S28" i="86"/>
  <c r="W7" i="86"/>
  <c r="AC7" i="86"/>
  <c r="AC26" i="86"/>
  <c r="W26" i="86"/>
  <c r="D66" i="33"/>
  <c r="E66" i="33" s="1"/>
  <c r="F66" i="33" s="1"/>
  <c r="G66" i="33" s="1"/>
  <c r="H66" i="33" s="1"/>
  <c r="D3" i="31"/>
  <c r="E3" i="31"/>
  <c r="F3" i="31"/>
  <c r="G3" i="31"/>
  <c r="H3" i="31"/>
  <c r="D4" i="31"/>
  <c r="E4" i="31"/>
  <c r="F4" i="31"/>
  <c r="G4" i="31"/>
  <c r="H4" i="31"/>
  <c r="C3" i="31"/>
  <c r="C4" i="31"/>
  <c r="B25" i="31"/>
  <c r="B26" i="31"/>
  <c r="B24" i="31"/>
  <c r="C33" i="33"/>
  <c r="I12" i="33"/>
  <c r="G12" i="33"/>
  <c r="E12" i="33"/>
  <c r="C12" i="33"/>
  <c r="C11" i="33"/>
  <c r="I7" i="33"/>
  <c r="G7" i="33"/>
  <c r="E7" i="33"/>
  <c r="I36" i="1"/>
  <c r="I33" i="1"/>
  <c r="O18" i="1" l="1"/>
  <c r="O20" i="1" s="1"/>
  <c r="N6" i="1" s="1"/>
  <c r="L6" i="1"/>
  <c r="D3" i="4"/>
  <c r="G19" i="6"/>
  <c r="I14" i="3"/>
  <c r="I15" i="3"/>
  <c r="I13" i="3"/>
  <c r="O6" i="79"/>
  <c r="N6" i="79"/>
  <c r="M6" i="79"/>
  <c r="P6" i="79" s="1"/>
  <c r="L6" i="79"/>
  <c r="K6" i="79"/>
  <c r="N41" i="79"/>
  <c r="M41" i="79"/>
  <c r="P41" i="79" s="1"/>
  <c r="L41" i="79"/>
  <c r="N40" i="79"/>
  <c r="M40" i="79"/>
  <c r="P40" i="79" s="1"/>
  <c r="L40" i="79"/>
  <c r="N39" i="79"/>
  <c r="M39" i="79"/>
  <c r="P39" i="79" s="1"/>
  <c r="L39" i="79"/>
  <c r="N38" i="79"/>
  <c r="M38" i="79"/>
  <c r="P38" i="79" s="1"/>
  <c r="L38" i="79"/>
  <c r="C36" i="86" l="1"/>
  <c r="C36" i="33"/>
  <c r="Y6" i="1"/>
  <c r="G110" i="34"/>
  <c r="H110" i="34"/>
  <c r="I110" i="34"/>
  <c r="J110" i="34"/>
  <c r="K110" i="34"/>
  <c r="G111" i="21"/>
  <c r="H111" i="21"/>
  <c r="I111" i="21"/>
  <c r="J111" i="21"/>
  <c r="K111" i="21"/>
  <c r="H36" i="86" l="1"/>
  <c r="F36" i="86"/>
  <c r="J36" i="86"/>
  <c r="B11" i="15"/>
  <c r="B63" i="81"/>
  <c r="B11" i="81"/>
  <c r="B63" i="15"/>
  <c r="I11" i="81"/>
  <c r="I11" i="15"/>
  <c r="AC36" i="86" l="1"/>
  <c r="V48" i="86" s="1"/>
  <c r="I48" i="86" s="1"/>
  <c r="W36" i="86"/>
  <c r="AA36" i="86"/>
  <c r="R48" i="86" s="1"/>
  <c r="S36" i="86"/>
  <c r="AB36" i="86"/>
  <c r="T48" i="86" s="1"/>
  <c r="G48" i="86" s="1"/>
  <c r="U36" i="86"/>
  <c r="F19" i="81"/>
  <c r="R49" i="86" l="1"/>
  <c r="E48" i="86"/>
  <c r="G52" i="86"/>
  <c r="H52" i="86" s="1"/>
  <c r="G53" i="86"/>
  <c r="H53" i="86" s="1"/>
  <c r="I52" i="86"/>
  <c r="J52" i="86" s="1"/>
  <c r="I53" i="86"/>
  <c r="J53" i="86" s="1"/>
  <c r="G79" i="36"/>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E53" i="86" l="1"/>
  <c r="F53" i="86" s="1"/>
  <c r="E52" i="86"/>
  <c r="F52" i="86" s="1"/>
  <c r="C49" i="86"/>
  <c r="C48" i="86"/>
  <c r="L111" i="21"/>
  <c r="C50" i="86" l="1"/>
  <c r="U6" i="1" s="1"/>
  <c r="B3" i="86"/>
  <c r="D2" i="86"/>
  <c r="B2" i="86" s="1"/>
  <c r="M19" i="8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6" i="79"/>
  <c r="AR7" i="79" s="1"/>
  <c r="AR8" i="79" s="1"/>
  <c r="AR9" i="79" s="1"/>
  <c r="AR10" i="79"/>
  <c r="AR11" i="79" s="1"/>
  <c r="AR12" i="79" s="1"/>
  <c r="P42" i="79"/>
  <c r="P10" i="79"/>
  <c r="AR43" i="79"/>
  <c r="AR44" i="79" s="1"/>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N35" i="79" s="1"/>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2" i="79"/>
  <c r="AD44" i="79"/>
  <c r="AD43" i="79"/>
  <c r="AD45" i="79"/>
  <c r="AR48" i="79"/>
  <c r="AR49" i="79" s="1"/>
  <c r="AR50" i="79" s="1"/>
  <c r="AR51" i="79" s="1"/>
  <c r="AR52" i="79" s="1"/>
  <c r="AR53" i="79" s="1"/>
  <c r="AR54" i="79" s="1"/>
  <c r="AR55" i="79" s="1"/>
  <c r="AR56" i="79" s="1"/>
  <c r="AR57" i="79" s="1"/>
  <c r="AR58" i="79" s="1"/>
  <c r="AR59" i="79" s="1"/>
  <c r="AR60" i="79" s="1"/>
  <c r="S40" i="79"/>
  <c r="AG40" i="79" s="1"/>
  <c r="S39" i="79"/>
  <c r="AG39" i="79" s="1"/>
  <c r="S43" i="79"/>
  <c r="AG43" i="79" s="1"/>
  <c r="S42" i="79"/>
  <c r="AG42" i="79" s="1"/>
  <c r="S37" i="79"/>
  <c r="AG37" i="79" s="1"/>
  <c r="S41" i="79"/>
  <c r="AG41" i="79" s="1"/>
  <c r="S38" i="79"/>
  <c r="AG38" i="79" s="1"/>
  <c r="T43" i="79"/>
  <c r="T38" i="79"/>
  <c r="T41" i="79"/>
  <c r="T40" i="79"/>
  <c r="T37" i="79"/>
  <c r="T42" i="79"/>
  <c r="T39" i="79"/>
  <c r="U42" i="79"/>
  <c r="AI42" i="79" s="1"/>
  <c r="U43" i="79"/>
  <c r="AI43" i="79" s="1"/>
  <c r="U40" i="79"/>
  <c r="AI40" i="79" s="1"/>
  <c r="U38" i="79"/>
  <c r="AI38" i="79" s="1"/>
  <c r="U37" i="79"/>
  <c r="AI37" i="79" s="1"/>
  <c r="U39" i="79"/>
  <c r="AI39"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W41" i="79"/>
  <c r="AK41" i="79" s="1"/>
  <c r="AH41" i="79"/>
  <c r="W42" i="79"/>
  <c r="AK42" i="79" s="1"/>
  <c r="AH42" i="79"/>
  <c r="AH38" i="79"/>
  <c r="W38" i="79"/>
  <c r="AK38" i="79" s="1"/>
  <c r="AH37" i="79"/>
  <c r="W37" i="79"/>
  <c r="AK37" i="79" s="1"/>
  <c r="W43" i="79"/>
  <c r="AK43" i="79" s="1"/>
  <c r="AH43" i="79"/>
  <c r="AH40" i="79"/>
  <c r="W40" i="79"/>
  <c r="AK4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6" i="77" s="1"/>
  <c r="E76" i="77"/>
  <c r="E75" i="77"/>
  <c r="E73" i="77" s="1"/>
  <c r="E67" i="77" s="1"/>
  <c r="E58" i="77"/>
  <c r="E72" i="77"/>
  <c r="E55" i="77"/>
  <c r="E79" i="77"/>
  <c r="E62" i="77"/>
  <c r="E61" i="77"/>
  <c r="E60" i="77" s="1"/>
  <c r="E78"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7" i="77" l="1"/>
  <c r="E71" i="77" s="1"/>
  <c r="E54"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A6" i="52" s="1"/>
  <c r="B57" i="72" s="1"/>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F21" i="37"/>
  <c r="AA21" i="37" s="1"/>
  <c r="H21" i="34"/>
  <c r="AB21" i="34" s="1"/>
  <c r="H21" i="33"/>
  <c r="U21" i="33" s="1"/>
  <c r="F21" i="33"/>
  <c r="AA21" i="33" s="1"/>
  <c r="E83" i="21"/>
  <c r="F83" i="21" s="1"/>
  <c r="H1" i="69"/>
  <c r="AC27" i="40"/>
  <c r="W27" i="40"/>
  <c r="W18" i="36"/>
  <c r="AB21" i="37"/>
  <c r="U21" i="37"/>
  <c r="S21" i="37"/>
  <c r="AC18" i="35"/>
  <c r="W18" i="35"/>
  <c r="J21" i="37"/>
  <c r="W21" i="37" s="1"/>
  <c r="J21" i="34"/>
  <c r="W21" i="34" s="1"/>
  <c r="J21" i="33"/>
  <c r="W21" i="33" s="1"/>
  <c r="H21" i="21"/>
  <c r="U21" i="21" s="1"/>
  <c r="F38" i="69"/>
  <c r="E37" i="69"/>
  <c r="F36" i="69"/>
  <c r="F35" i="69"/>
  <c r="F21" i="69"/>
  <c r="F40" i="69" s="1"/>
  <c r="F20" i="69"/>
  <c r="F39" i="69" s="1"/>
  <c r="E10" i="69"/>
  <c r="E9" i="69"/>
  <c r="C7" i="69"/>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7" i="31"/>
  <c r="S27" i="31" s="1"/>
  <c r="R28" i="31"/>
  <c r="S28" i="31" s="1"/>
  <c r="R29" i="31"/>
  <c r="S29" i="31" s="1"/>
  <c r="R30" i="31"/>
  <c r="R31" i="31"/>
  <c r="S31" i="31" s="1"/>
  <c r="R32" i="31"/>
  <c r="S32" i="31" s="1"/>
  <c r="R33" i="31"/>
  <c r="S33" i="31" s="1"/>
  <c r="R34" i="31"/>
  <c r="R35" i="31"/>
  <c r="S35" i="31" s="1"/>
  <c r="R36" i="31"/>
  <c r="S36" i="31" s="1"/>
  <c r="R37" i="31"/>
  <c r="S37" i="31" s="1"/>
  <c r="R38" i="31"/>
  <c r="R39" i="31"/>
  <c r="S39" i="31" s="1"/>
  <c r="R40" i="31"/>
  <c r="S40" i="31" s="1"/>
  <c r="R41" i="31"/>
  <c r="S41" i="31" s="1"/>
  <c r="R42" i="31"/>
  <c r="R43" i="31"/>
  <c r="S43" i="31" s="1"/>
  <c r="R44" i="31"/>
  <c r="S44" i="31" s="1"/>
  <c r="R45" i="31"/>
  <c r="S45" i="31" s="1"/>
  <c r="R46" i="31"/>
  <c r="S46" i="31" s="1"/>
  <c r="R47" i="31"/>
  <c r="S47" i="31" s="1"/>
  <c r="R48" i="31"/>
  <c r="R49" i="31"/>
  <c r="S49" i="31" s="1"/>
  <c r="R50" i="31"/>
  <c r="R51" i="31"/>
  <c r="S51" i="31" s="1"/>
  <c r="R52" i="31"/>
  <c r="S52" i="31" s="1"/>
  <c r="R53" i="31"/>
  <c r="S53" i="31" s="1"/>
  <c r="R54" i="31"/>
  <c r="S54" i="31" s="1"/>
  <c r="R55" i="31"/>
  <c r="S55" i="31" s="1"/>
  <c r="R56" i="31"/>
  <c r="S56" i="31" s="1"/>
  <c r="R57" i="31"/>
  <c r="S57" i="31" s="1"/>
  <c r="R58" i="31"/>
  <c r="S58" i="31" s="1"/>
  <c r="R59" i="31"/>
  <c r="S59" i="31" s="1"/>
  <c r="R60" i="3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R79" i="31"/>
  <c r="S79" i="31" s="1"/>
  <c r="R80" i="31"/>
  <c r="S80" i="31" s="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S94" i="31" s="1"/>
  <c r="R95" i="31"/>
  <c r="S95" i="31" s="1"/>
  <c r="R96" i="31"/>
  <c r="R97" i="31"/>
  <c r="S97" i="31" s="1"/>
  <c r="R98" i="31"/>
  <c r="R99" i="31"/>
  <c r="S99" i="31" s="1"/>
  <c r="R100" i="31"/>
  <c r="S100" i="31" s="1"/>
  <c r="R101" i="31"/>
  <c r="S101" i="31" s="1"/>
  <c r="R102" i="31"/>
  <c r="R103" i="31"/>
  <c r="S103" i="31" s="1"/>
  <c r="R104" i="31"/>
  <c r="S104" i="31" s="1"/>
  <c r="R105" i="31"/>
  <c r="S105" i="31" s="1"/>
  <c r="R106" i="31"/>
  <c r="S106" i="31" s="1"/>
  <c r="R107" i="31"/>
  <c r="S107" i="31" s="1"/>
  <c r="R108" i="31"/>
  <c r="S108" i="31" s="1"/>
  <c r="R109" i="31"/>
  <c r="S109" i="31" s="1"/>
  <c r="R110" i="31"/>
  <c r="R111" i="31"/>
  <c r="S111" i="31" s="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S124" i="31" s="1"/>
  <c r="R125" i="31"/>
  <c r="S125" i="31" s="1"/>
  <c r="R126" i="31"/>
  <c r="S126" i="31" s="1"/>
  <c r="R127" i="31"/>
  <c r="S127" i="31" s="1"/>
  <c r="R128" i="3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R223" i="31"/>
  <c r="S223" i="31" s="1"/>
  <c r="R224" i="31"/>
  <c r="R225" i="31"/>
  <c r="S225" i="31" s="1"/>
  <c r="R226" i="31"/>
  <c r="R227" i="31"/>
  <c r="S227" i="31" s="1"/>
  <c r="R228" i="31"/>
  <c r="S228" i="31" s="1"/>
  <c r="R229" i="31"/>
  <c r="S229" i="31" s="1"/>
  <c r="R230" i="31"/>
  <c r="S230" i="31" s="1"/>
  <c r="R231" i="31"/>
  <c r="S231" i="31" s="1"/>
  <c r="R232" i="31"/>
  <c r="R233" i="31"/>
  <c r="S233" i="31" s="1"/>
  <c r="R234" i="31"/>
  <c r="R235" i="31"/>
  <c r="S235" i="31" s="1"/>
  <c r="R236" i="31"/>
  <c r="S236" i="31" s="1"/>
  <c r="R237" i="31"/>
  <c r="S237" i="31" s="1"/>
  <c r="R238" i="31"/>
  <c r="S238" i="31" s="1"/>
  <c r="R239" i="31"/>
  <c r="S239" i="31" s="1"/>
  <c r="R240" i="31"/>
  <c r="R241" i="31"/>
  <c r="S241" i="31" s="1"/>
  <c r="R242" i="31"/>
  <c r="R243" i="31"/>
  <c r="S243" i="31" s="1"/>
  <c r="R244" i="31"/>
  <c r="S244" i="31" s="1"/>
  <c r="R245" i="31"/>
  <c r="S245" i="31" s="1"/>
  <c r="R246" i="31"/>
  <c r="S246" i="31" s="1"/>
  <c r="R247" i="31"/>
  <c r="S247" i="31" s="1"/>
  <c r="R248" i="31"/>
  <c r="R249" i="31"/>
  <c r="S249" i="31" s="1"/>
  <c r="R250" i="31"/>
  <c r="R251" i="31"/>
  <c r="S251" i="31" s="1"/>
  <c r="R252" i="31"/>
  <c r="S252" i="31" s="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R427" i="31"/>
  <c r="S427" i="31" s="1"/>
  <c r="R428" i="31"/>
  <c r="S428" i="31" s="1"/>
  <c r="R429" i="31"/>
  <c r="S429" i="31" s="1"/>
  <c r="R430" i="31"/>
  <c r="R431" i="31"/>
  <c r="S431" i="31" s="1"/>
  <c r="R432" i="31"/>
  <c r="S432" i="31" s="1"/>
  <c r="R433" i="31"/>
  <c r="S433" i="31" s="1"/>
  <c r="R434" i="31"/>
  <c r="S434" i="31" s="1"/>
  <c r="R435" i="31"/>
  <c r="R436" i="31"/>
  <c r="S436" i="31" s="1"/>
  <c r="R437" i="31"/>
  <c r="R438" i="31"/>
  <c r="R439" i="31"/>
  <c r="S439" i="31" s="1"/>
  <c r="R440" i="31"/>
  <c r="S440" i="31" s="1"/>
  <c r="R441" i="31"/>
  <c r="S441" i="31" s="1"/>
  <c r="R442" i="31"/>
  <c r="R443" i="31"/>
  <c r="R444" i="31"/>
  <c r="S444" i="31" s="1"/>
  <c r="R445" i="31"/>
  <c r="S445" i="31" s="1"/>
  <c r="R446" i="31"/>
  <c r="R447" i="31"/>
  <c r="S447" i="31" s="1"/>
  <c r="R448" i="31"/>
  <c r="S448" i="31" s="1"/>
  <c r="R449" i="31"/>
  <c r="S449" i="31" s="1"/>
  <c r="R450" i="31"/>
  <c r="R451" i="31"/>
  <c r="R452" i="31"/>
  <c r="S452" i="31" s="1"/>
  <c r="R453" i="31"/>
  <c r="S453" i="31" s="1"/>
  <c r="R454" i="31"/>
  <c r="R455" i="31"/>
  <c r="S455" i="31" s="1"/>
  <c r="R456" i="31"/>
  <c r="S456" i="31" s="1"/>
  <c r="R457" i="31"/>
  <c r="S457" i="31" s="1"/>
  <c r="R458" i="31"/>
  <c r="R459" i="31"/>
  <c r="R460" i="31"/>
  <c r="S460" i="31" s="1"/>
  <c r="R461" i="31"/>
  <c r="S461" i="31" s="1"/>
  <c r="R462" i="31"/>
  <c r="R463" i="31"/>
  <c r="S463" i="31" s="1"/>
  <c r="R464" i="31"/>
  <c r="S464" i="31" s="1"/>
  <c r="R465" i="31"/>
  <c r="S465" i="31" s="1"/>
  <c r="R466" i="31"/>
  <c r="R467" i="31"/>
  <c r="S467" i="31" s="1"/>
  <c r="R468" i="31"/>
  <c r="S468" i="31" s="1"/>
  <c r="R469" i="31"/>
  <c r="S469" i="31" s="1"/>
  <c r="R470" i="31"/>
  <c r="S470" i="31" s="1"/>
  <c r="R471" i="31"/>
  <c r="R472" i="31"/>
  <c r="S472" i="31" s="1"/>
  <c r="R473" i="31"/>
  <c r="S473" i="31" s="1"/>
  <c r="R474" i="31"/>
  <c r="R475" i="31"/>
  <c r="S475" i="31" s="1"/>
  <c r="R476" i="31"/>
  <c r="S476" i="31" s="1"/>
  <c r="R477" i="31"/>
  <c r="S477" i="31" s="1"/>
  <c r="R478" i="31"/>
  <c r="S478" i="31" s="1"/>
  <c r="R479" i="31"/>
  <c r="R480" i="31"/>
  <c r="S480" i="31" s="1"/>
  <c r="R481" i="31"/>
  <c r="S481" i="31" s="1"/>
  <c r="R482" i="31"/>
  <c r="R483" i="31"/>
  <c r="S483" i="31" s="1"/>
  <c r="R484" i="31"/>
  <c r="S484" i="31" s="1"/>
  <c r="R485" i="31"/>
  <c r="S485" i="31" s="1"/>
  <c r="R486" i="31"/>
  <c r="R487" i="31"/>
  <c r="R488" i="31"/>
  <c r="S488" i="31" s="1"/>
  <c r="R489" i="31"/>
  <c r="S489" i="31" s="1"/>
  <c r="R490" i="31"/>
  <c r="R491" i="31"/>
  <c r="S491" i="31" s="1"/>
  <c r="R492" i="31"/>
  <c r="S492" i="31" s="1"/>
  <c r="R493" i="31"/>
  <c r="S493" i="31" s="1"/>
  <c r="R494" i="31"/>
  <c r="R495" i="31"/>
  <c r="R496" i="31"/>
  <c r="S496" i="31" s="1"/>
  <c r="R497" i="31"/>
  <c r="S497" i="31" s="1"/>
  <c r="R498" i="31"/>
  <c r="S498" i="31" s="1"/>
  <c r="R499" i="31"/>
  <c r="S499" i="31" s="1"/>
  <c r="R500" i="31"/>
  <c r="S500" i="31" s="1"/>
  <c r="R501" i="31"/>
  <c r="S501" i="31" s="1"/>
  <c r="R502" i="31"/>
  <c r="R503" i="31"/>
  <c r="R504" i="31"/>
  <c r="S504" i="31" s="1"/>
  <c r="R505" i="31"/>
  <c r="S505" i="31" s="1"/>
  <c r="R506" i="3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22" i="69"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5" i="6" s="1"/>
  <c r="D22" i="83" s="1"/>
  <c r="C22" i="83" s="1"/>
  <c r="E21" i="12"/>
  <c r="E22" i="12"/>
  <c r="E24" i="12"/>
  <c r="C17" i="9"/>
  <c r="C18" i="9" s="1"/>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4" i="31"/>
  <c r="S406" i="31"/>
  <c r="S402" i="31"/>
  <c r="S398" i="31"/>
  <c r="S394" i="31"/>
  <c r="S386" i="31"/>
  <c r="S382" i="31"/>
  <c r="S374" i="31"/>
  <c r="S370" i="31"/>
  <c r="S366" i="31"/>
  <c r="S362" i="31"/>
  <c r="S354" i="31"/>
  <c r="S350" i="31"/>
  <c r="S342" i="31"/>
  <c r="S338" i="31"/>
  <c r="S334" i="31"/>
  <c r="S330" i="31"/>
  <c r="S322" i="31"/>
  <c r="S318" i="31"/>
  <c r="S310" i="31"/>
  <c r="S306" i="31"/>
  <c r="S302" i="31"/>
  <c r="S294" i="31"/>
  <c r="S290" i="31"/>
  <c r="S282" i="31"/>
  <c r="S274" i="31"/>
  <c r="S272" i="31"/>
  <c r="S266" i="31"/>
  <c r="S258" i="31"/>
  <c r="S256" i="31"/>
  <c r="S250" i="31"/>
  <c r="S248" i="31"/>
  <c r="S242" i="31"/>
  <c r="S240" i="31"/>
  <c r="S234" i="31"/>
  <c r="S232" i="31"/>
  <c r="S226" i="31"/>
  <c r="S224" i="31"/>
  <c r="S426" i="31"/>
  <c r="S222" i="31"/>
  <c r="S214" i="31"/>
  <c r="S206" i="31"/>
  <c r="S198" i="31"/>
  <c r="S194" i="31"/>
  <c r="S190" i="31"/>
  <c r="S186" i="31"/>
  <c r="S182" i="31"/>
  <c r="S178" i="31"/>
  <c r="S174" i="31"/>
  <c r="S170" i="31"/>
  <c r="S166" i="31"/>
  <c r="S162" i="31"/>
  <c r="S158" i="31"/>
  <c r="S154" i="31"/>
  <c r="S150" i="31"/>
  <c r="S146" i="31"/>
  <c r="S142" i="31"/>
  <c r="S138" i="31"/>
  <c r="S134" i="31"/>
  <c r="S130" i="31"/>
  <c r="S128" i="31"/>
  <c r="S495" i="31"/>
  <c r="S494" i="31"/>
  <c r="S490" i="31"/>
  <c r="S487" i="31"/>
  <c r="S486" i="31"/>
  <c r="S482" i="31"/>
  <c r="S479" i="31"/>
  <c r="S474" i="31"/>
  <c r="S471" i="31"/>
  <c r="S443" i="31"/>
  <c r="S442" i="31"/>
  <c r="S438" i="31"/>
  <c r="S437" i="31"/>
  <c r="S435" i="31"/>
  <c r="S430" i="31"/>
  <c r="S122" i="31"/>
  <c r="S118" i="31"/>
  <c r="S114" i="31"/>
  <c r="S506" i="31"/>
  <c r="S502" i="31"/>
  <c r="S466" i="31"/>
  <c r="S462" i="31"/>
  <c r="S459" i="31"/>
  <c r="S458" i="31"/>
  <c r="S454" i="31"/>
  <c r="S451" i="31"/>
  <c r="S450" i="31"/>
  <c r="S50" i="31"/>
  <c r="S48" i="31"/>
  <c r="S42" i="31"/>
  <c r="S38" i="31"/>
  <c r="S34" i="31"/>
  <c r="S74" i="31"/>
  <c r="S70" i="31"/>
  <c r="S66" i="31"/>
  <c r="S62" i="31"/>
  <c r="S60" i="31"/>
  <c r="S96" i="31"/>
  <c r="S90" i="31"/>
  <c r="S86" i="31"/>
  <c r="S82" i="31"/>
  <c r="S78" i="31"/>
  <c r="S30" i="31"/>
  <c r="S98" i="31"/>
  <c r="S102" i="31"/>
  <c r="S110" i="31"/>
  <c r="S446" i="31"/>
  <c r="S510"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W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D111" i="33"/>
  <c r="E111" i="33" s="1"/>
  <c r="F111" i="33" s="1"/>
  <c r="S518" i="31"/>
  <c r="S522" i="31"/>
  <c r="S523"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J25" i="36" s="1"/>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H13" i="36" s="1"/>
  <c r="B57" i="36"/>
  <c r="J12" i="36" s="1"/>
  <c r="B55" i="36"/>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J23" i="36"/>
  <c r="AC23" i="36" s="1"/>
  <c r="F23" i="36"/>
  <c r="AA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AC35" i="35" s="1"/>
  <c r="B97" i="35"/>
  <c r="H34" i="35" s="1"/>
  <c r="B77" i="35"/>
  <c r="B75" i="35"/>
  <c r="J24" i="35" s="1"/>
  <c r="AC24" i="35"/>
  <c r="B73" i="35"/>
  <c r="J23" i="35" s="1"/>
  <c r="AC23" i="35" s="1"/>
  <c r="H23" i="35"/>
  <c r="U23" i="35" s="1"/>
  <c r="B57" i="35"/>
  <c r="B61" i="35"/>
  <c r="J13" i="35" s="1"/>
  <c r="B59" i="35"/>
  <c r="F12" i="35" s="1"/>
  <c r="B131" i="34"/>
  <c r="F47" i="34" s="1"/>
  <c r="S47" i="34" s="1"/>
  <c r="B129" i="34"/>
  <c r="B127" i="34"/>
  <c r="B99" i="34"/>
  <c r="B97" i="34"/>
  <c r="F31" i="34" s="1"/>
  <c r="B95" i="34"/>
  <c r="B93" i="34"/>
  <c r="H29" i="34" s="1"/>
  <c r="AB29" i="34" s="1"/>
  <c r="B75" i="34"/>
  <c r="H14" i="34" s="1"/>
  <c r="B73" i="34"/>
  <c r="F13" i="34" s="1"/>
  <c r="AA13" i="34" s="1"/>
  <c r="B71" i="34"/>
  <c r="J12" i="34" s="1"/>
  <c r="W12" i="34" s="1"/>
  <c r="B130" i="33"/>
  <c r="J46" i="33" s="1"/>
  <c r="B128" i="33"/>
  <c r="H45" i="33" s="1"/>
  <c r="B126" i="33"/>
  <c r="H44" i="33" s="1"/>
  <c r="AB44" i="33" s="1"/>
  <c r="B98" i="33"/>
  <c r="B96" i="33"/>
  <c r="H30" i="33" s="1"/>
  <c r="B94" i="33"/>
  <c r="J29" i="33" s="1"/>
  <c r="B74" i="33"/>
  <c r="H14" i="33" s="1"/>
  <c r="U14" i="33" s="1"/>
  <c r="B72" i="33"/>
  <c r="B70" i="33"/>
  <c r="H12" i="33" s="1"/>
  <c r="U12" i="33" s="1"/>
  <c r="J12" i="33"/>
  <c r="W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c r="J39" i="33"/>
  <c r="Q38" i="33"/>
  <c r="Z38" i="33" s="1"/>
  <c r="J38" i="33"/>
  <c r="AC38" i="33" s="1"/>
  <c r="H38" i="33"/>
  <c r="AB38" i="33" s="1"/>
  <c r="F38" i="33"/>
  <c r="AA38" i="33" s="1"/>
  <c r="Q37" i="33"/>
  <c r="Z37" i="33"/>
  <c r="Q36" i="33"/>
  <c r="Z36" i="33" s="1"/>
  <c r="Q35" i="33"/>
  <c r="Z35" i="33"/>
  <c r="H35" i="33"/>
  <c r="AB35" i="33" s="1"/>
  <c r="Q34" i="33"/>
  <c r="Z34" i="33" s="1"/>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79" i="43" s="1"/>
  <c r="C18" i="20"/>
  <c r="B94" i="43" s="1"/>
  <c r="C17" i="20"/>
  <c r="B61" i="43" s="1"/>
  <c r="C16" i="20"/>
  <c r="C19" i="39" s="1"/>
  <c r="C15" i="20"/>
  <c r="B72" i="43" s="1"/>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F46" i="21" s="1"/>
  <c r="B128" i="21"/>
  <c r="J45" i="21" s="1"/>
  <c r="W45" i="21" s="1"/>
  <c r="B126" i="21"/>
  <c r="B98" i="21"/>
  <c r="H31" i="21"/>
  <c r="B96" i="21"/>
  <c r="H30" i="21" s="1"/>
  <c r="B94" i="21"/>
  <c r="J29" i="21"/>
  <c r="AC29" i="21"/>
  <c r="B92" i="21"/>
  <c r="H28" i="21" s="1"/>
  <c r="AB28" i="21" s="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7" i="39"/>
  <c r="S47" i="39" s="1"/>
  <c r="J47" i="39"/>
  <c r="W47" i="39" s="1"/>
  <c r="F38" i="39"/>
  <c r="S38" i="39" s="1"/>
  <c r="H38" i="39"/>
  <c r="AB38" i="39" s="1"/>
  <c r="F37" i="39"/>
  <c r="AA37" i="39" s="1"/>
  <c r="J38" i="39"/>
  <c r="AC38" i="39" s="1"/>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W9" i="34"/>
  <c r="U34" i="34"/>
  <c r="H39" i="33"/>
  <c r="AB39" i="33" s="1"/>
  <c r="F26" i="33"/>
  <c r="S26" i="33" s="1"/>
  <c r="S40" i="33"/>
  <c r="H39" i="37"/>
  <c r="AB39" i="37" s="1"/>
  <c r="S27" i="35"/>
  <c r="F13" i="40"/>
  <c r="AA13" i="40" s="1"/>
  <c r="H13" i="40"/>
  <c r="AB13" i="40" s="1"/>
  <c r="W10" i="40"/>
  <c r="U11" i="40"/>
  <c r="S36" i="40"/>
  <c r="U40" i="40"/>
  <c r="U36" i="40"/>
  <c r="S40" i="40"/>
  <c r="F44" i="39"/>
  <c r="AA44" i="39" s="1"/>
  <c r="F43" i="39"/>
  <c r="S43" i="39" s="1"/>
  <c r="H42" i="39"/>
  <c r="AB42" i="39" s="1"/>
  <c r="H41" i="39"/>
  <c r="U41" i="39" s="1"/>
  <c r="S40"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AC13" i="40" s="1"/>
  <c r="W13" i="40"/>
  <c r="AB10" i="39"/>
  <c r="AC12" i="34"/>
  <c r="AB12" i="35"/>
  <c r="AB12" i="36"/>
  <c r="S46" i="39"/>
  <c r="F39" i="39"/>
  <c r="AA39" i="39" s="1"/>
  <c r="J34" i="36"/>
  <c r="W34" i="36" s="1"/>
  <c r="U30" i="36"/>
  <c r="J30" i="35"/>
  <c r="W30" i="35" s="1"/>
  <c r="H30" i="35"/>
  <c r="AB30" i="35" s="1"/>
  <c r="F22" i="35"/>
  <c r="AA22" i="35" s="1"/>
  <c r="H10" i="35"/>
  <c r="U10" i="35" s="1"/>
  <c r="F33" i="36"/>
  <c r="AA33" i="36"/>
  <c r="H16" i="36"/>
  <c r="AB16" i="36"/>
  <c r="E85" i="36"/>
  <c r="F85" i="36" s="1"/>
  <c r="G85" i="36" s="1"/>
  <c r="H85" i="36" s="1"/>
  <c r="I85" i="36" s="1"/>
  <c r="J85" i="36"/>
  <c r="K85" i="36" s="1"/>
  <c r="L85" i="36" s="1"/>
  <c r="M85" i="36" s="1"/>
  <c r="J29" i="36"/>
  <c r="AC29" i="36" s="1"/>
  <c r="F12"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F19" i="34"/>
  <c r="H17" i="34"/>
  <c r="U17" i="34"/>
  <c r="F15" i="34"/>
  <c r="AA15" i="34" s="1"/>
  <c r="J15" i="34"/>
  <c r="H15" i="34"/>
  <c r="AB15" i="34" s="1"/>
  <c r="W8" i="34"/>
  <c r="J28" i="34"/>
  <c r="W28" i="34" s="1"/>
  <c r="F41" i="33"/>
  <c r="AA41" i="33" s="1"/>
  <c r="E113" i="33"/>
  <c r="F37" i="33" s="1"/>
  <c r="F32" i="33"/>
  <c r="S32" i="33" s="1"/>
  <c r="J19" i="33"/>
  <c r="AC19" i="33" s="1"/>
  <c r="F11" i="33"/>
  <c r="AA11" i="33" s="1"/>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J40" i="34"/>
  <c r="H38" i="34"/>
  <c r="AB38" i="34" s="1"/>
  <c r="J36" i="34"/>
  <c r="W36" i="34"/>
  <c r="H37" i="34"/>
  <c r="U37" i="34" s="1"/>
  <c r="H25" i="34"/>
  <c r="AB25" i="34" s="1"/>
  <c r="J25" i="34"/>
  <c r="AC25" i="34"/>
  <c r="AB23" i="34"/>
  <c r="F23" i="34"/>
  <c r="AA23" i="34" s="1"/>
  <c r="J19" i="34"/>
  <c r="AC19" i="34" s="1"/>
  <c r="F17" i="34"/>
  <c r="AA17" i="34"/>
  <c r="J17" i="34"/>
  <c r="W17" i="34" s="1"/>
  <c r="AB17" i="34"/>
  <c r="F113" i="33"/>
  <c r="G113" i="33" s="1"/>
  <c r="H113" i="33" s="1"/>
  <c r="I113" i="33" s="1"/>
  <c r="J113" i="33" s="1"/>
  <c r="K113" i="33" s="1"/>
  <c r="L113" i="33" s="1"/>
  <c r="M113" i="33" s="1"/>
  <c r="H37" i="33"/>
  <c r="AB37"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F14" i="21"/>
  <c r="S14" i="21" s="1"/>
  <c r="H14" i="21"/>
  <c r="U14" i="21"/>
  <c r="F28" i="21"/>
  <c r="AA28" i="21"/>
  <c r="J28" i="21"/>
  <c r="W28" i="21" s="1"/>
  <c r="U30" i="21"/>
  <c r="F30" i="21"/>
  <c r="S30" i="21" s="1"/>
  <c r="J30" i="21"/>
  <c r="AC30" i="21" s="1"/>
  <c r="J44" i="21"/>
  <c r="AC44" i="21" s="1"/>
  <c r="H44" i="21"/>
  <c r="U44" i="21" s="1"/>
  <c r="F44" i="21"/>
  <c r="AA44" i="21" s="1"/>
  <c r="H46" i="21"/>
  <c r="U46" i="21"/>
  <c r="J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S27" i="33" s="1"/>
  <c r="J13" i="33"/>
  <c r="H13" i="33"/>
  <c r="U13" i="33" s="1"/>
  <c r="F13" i="33"/>
  <c r="S13" i="33"/>
  <c r="H29" i="33"/>
  <c r="U29" i="33" s="1"/>
  <c r="F29" i="33"/>
  <c r="S29" i="33" s="1"/>
  <c r="J31" i="33"/>
  <c r="W31" i="33"/>
  <c r="H31" i="33"/>
  <c r="F31" i="33"/>
  <c r="U45" i="33"/>
  <c r="J45" i="33"/>
  <c r="W45" i="33" s="1"/>
  <c r="F45" i="33"/>
  <c r="AA45" i="33" s="1"/>
  <c r="J14" i="34"/>
  <c r="W14" i="34" s="1"/>
  <c r="F14" i="34"/>
  <c r="S14" i="34" s="1"/>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11" i="36"/>
  <c r="AC11" i="36" s="1"/>
  <c r="H11" i="36"/>
  <c r="U11" i="36" s="1"/>
  <c r="F11" i="36"/>
  <c r="AA11" i="36" s="1"/>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4" i="40"/>
  <c r="W14" i="40"/>
  <c r="F14" i="33"/>
  <c r="J14" i="33"/>
  <c r="AB30" i="33"/>
  <c r="F30" i="33"/>
  <c r="J30" i="33"/>
  <c r="J44" i="33"/>
  <c r="AC44" i="33" s="1"/>
  <c r="F44" i="33"/>
  <c r="S44" i="33" s="1"/>
  <c r="AC46" i="33"/>
  <c r="F46" i="33"/>
  <c r="AA46" i="33" s="1"/>
  <c r="H46" i="33"/>
  <c r="AB46" i="33" s="1"/>
  <c r="H13" i="34"/>
  <c r="U13" i="34" s="1"/>
  <c r="J13" i="34"/>
  <c r="W13" i="34"/>
  <c r="J29" i="34"/>
  <c r="F29" i="34"/>
  <c r="S29" i="34" s="1"/>
  <c r="J31" i="34"/>
  <c r="AC31" i="34"/>
  <c r="H31" i="34"/>
  <c r="S31" i="34"/>
  <c r="H45" i="34"/>
  <c r="U45" i="34" s="1"/>
  <c r="J45" i="34"/>
  <c r="W45" i="34" s="1"/>
  <c r="F45" i="34"/>
  <c r="S45" i="34" s="1"/>
  <c r="H47" i="34"/>
  <c r="U47" i="34"/>
  <c r="J47" i="34"/>
  <c r="AC47" i="34"/>
  <c r="F13" i="35"/>
  <c r="AC13" i="35"/>
  <c r="H13" i="35"/>
  <c r="U13" i="35" s="1"/>
  <c r="J25" i="35"/>
  <c r="W25" i="35" s="1"/>
  <c r="F25" i="35"/>
  <c r="S25" i="35" s="1"/>
  <c r="H25" i="35"/>
  <c r="AB25" i="35"/>
  <c r="F35" i="35"/>
  <c r="AA35" i="35" s="1"/>
  <c r="H35" i="35"/>
  <c r="W25" i="36"/>
  <c r="F25" i="36"/>
  <c r="S25" i="36" s="1"/>
  <c r="H25" i="36"/>
  <c r="AB25" i="36"/>
  <c r="H13" i="37"/>
  <c r="AB13" i="37" s="1"/>
  <c r="F13" i="37"/>
  <c r="S13" i="37" s="1"/>
  <c r="J13" i="37"/>
  <c r="W13" i="37" s="1"/>
  <c r="F28" i="37"/>
  <c r="AA28" i="37" s="1"/>
  <c r="J28" i="37"/>
  <c r="AC28" i="37" s="1"/>
  <c r="H28" i="37"/>
  <c r="H38" i="37"/>
  <c r="AB38" i="37" s="1"/>
  <c r="J38" i="37"/>
  <c r="AC38" i="37" s="1"/>
  <c r="F38" i="37"/>
  <c r="S38" i="37"/>
  <c r="F45" i="39"/>
  <c r="AA45" i="39" s="1"/>
  <c r="H45" i="39"/>
  <c r="J16" i="39"/>
  <c r="AC16" i="39" s="1"/>
  <c r="F16" i="39"/>
  <c r="H16" i="39"/>
  <c r="AB16" i="39" s="1"/>
  <c r="F14" i="40"/>
  <c r="S14" i="40"/>
  <c r="H14" i="40"/>
  <c r="AB14" i="40" s="1"/>
  <c r="H32" i="40"/>
  <c r="AB32" i="40"/>
  <c r="F35" i="40"/>
  <c r="AA35" i="40" s="1"/>
  <c r="H35" i="40"/>
  <c r="U35" i="40"/>
  <c r="J37" i="40"/>
  <c r="AC37" i="40" s="1"/>
  <c r="J39" i="40"/>
  <c r="AC39" i="40"/>
  <c r="H15" i="40"/>
  <c r="U15" i="40" s="1"/>
  <c r="J15" i="40"/>
  <c r="W15" i="40"/>
  <c r="F15" i="40"/>
  <c r="AA15" i="40" s="1"/>
  <c r="F14" i="37"/>
  <c r="S14" i="37"/>
  <c r="F27" i="37"/>
  <c r="AA27" i="37" s="1"/>
  <c r="F15" i="39"/>
  <c r="J15" i="39"/>
  <c r="W15" i="39" s="1"/>
  <c r="H15" i="39"/>
  <c r="H16" i="40"/>
  <c r="U16" i="40" s="1"/>
  <c r="J16" i="40"/>
  <c r="W16" i="40" s="1"/>
  <c r="F16" i="40"/>
  <c r="AA16" i="40"/>
  <c r="J14" i="37"/>
  <c r="J27" i="37"/>
  <c r="AC27" i="37"/>
  <c r="J36" i="37"/>
  <c r="AC36" i="37"/>
  <c r="J10" i="36"/>
  <c r="AC10" i="36" s="1"/>
  <c r="AB30" i="21"/>
  <c r="AA14" i="37"/>
  <c r="W31" i="34"/>
  <c r="S11" i="36"/>
  <c r="AB46" i="34"/>
  <c r="AA14" i="34"/>
  <c r="S45" i="33"/>
  <c r="AB45" i="33"/>
  <c r="AC28" i="21"/>
  <c r="S44" i="34"/>
  <c r="BA586" i="3"/>
  <c r="BA585" i="3"/>
  <c r="F17" i="21"/>
  <c r="AA17" i="21" s="1"/>
  <c r="H17" i="21"/>
  <c r="AB17" i="21" s="1"/>
  <c r="F15" i="21"/>
  <c r="S15" i="21" s="1"/>
  <c r="J43" i="39"/>
  <c r="W43" i="39" s="1"/>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AZ576" i="3" s="1"/>
  <c r="BA574" i="3"/>
  <c r="AZ574" i="3" s="1"/>
  <c r="BA572" i="3"/>
  <c r="AZ572" i="3" s="1"/>
  <c r="BA570" i="3"/>
  <c r="AZ570" i="3" s="1"/>
  <c r="BA568" i="3"/>
  <c r="AZ568" i="3" s="1"/>
  <c r="BA566" i="3"/>
  <c r="BA564" i="3"/>
  <c r="BA562" i="3"/>
  <c r="BA560" i="3"/>
  <c r="AZ560" i="3" s="1"/>
  <c r="BA558" i="3"/>
  <c r="BA556" i="3"/>
  <c r="AZ556" i="3" s="1"/>
  <c r="BA554" i="3"/>
  <c r="AZ554" i="3" s="1"/>
  <c r="BA552" i="3"/>
  <c r="AZ552" i="3"/>
  <c r="BA548" i="3"/>
  <c r="BA546" i="3"/>
  <c r="BA544" i="3"/>
  <c r="AZ544" i="3"/>
  <c r="BA542" i="3"/>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s="1"/>
  <c r="BQ577" i="3"/>
  <c r="BL577" i="3" s="1"/>
  <c r="AZ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3" i="31"/>
  <c r="O27" i="31"/>
  <c r="O28" i="31"/>
  <c r="O26" i="31"/>
  <c r="M27" i="31"/>
  <c r="M28" i="31"/>
  <c r="M26" i="31"/>
  <c r="I26" i="31"/>
  <c r="I25" i="31"/>
  <c r="Q26" i="31"/>
  <c r="K26" i="31"/>
  <c r="I27" i="31"/>
  <c r="Q27" i="31"/>
  <c r="K27" i="31"/>
  <c r="I28" i="31"/>
  <c r="Q28" i="31"/>
  <c r="K28" i="31"/>
  <c r="S23" i="40"/>
  <c r="H25" i="21"/>
  <c r="U25" i="21" s="1"/>
  <c r="F25" i="21"/>
  <c r="S25" i="21" s="1"/>
  <c r="J25" i="21"/>
  <c r="AC25" i="21" s="1"/>
  <c r="E125" i="33"/>
  <c r="F125" i="33" s="1"/>
  <c r="G125" i="33" s="1"/>
  <c r="H43" i="33"/>
  <c r="H17" i="37"/>
  <c r="U17" i="37" s="1"/>
  <c r="AB27" i="37"/>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W23" i="35"/>
  <c r="U39" i="37"/>
  <c r="U26" i="37"/>
  <c r="W47" i="34"/>
  <c r="AC36" i="34"/>
  <c r="AA13" i="33"/>
  <c r="AC31" i="33"/>
  <c r="AC45"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67" i="3"/>
  <c r="AZ79"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AZ303" i="3" s="1"/>
  <c r="G304" i="3"/>
  <c r="BA306" i="3"/>
  <c r="BL307" i="3"/>
  <c r="AZ307" i="3" s="1"/>
  <c r="G308" i="3"/>
  <c r="BA310" i="3"/>
  <c r="AZ310" i="3" s="1"/>
  <c r="BL311" i="3"/>
  <c r="G312" i="3"/>
  <c r="BA314" i="3"/>
  <c r="AZ314" i="3" s="1"/>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BA15" i="3"/>
  <c r="BB5" i="3"/>
  <c r="BR5" i="3"/>
  <c r="AZ380" i="3"/>
  <c r="AZ392" i="3"/>
  <c r="AZ499" i="3"/>
  <c r="AZ509" i="3"/>
  <c r="G509" i="3"/>
  <c r="BL493" i="3"/>
  <c r="AZ493" i="3" s="1"/>
  <c r="U38" i="40"/>
  <c r="F83" i="43"/>
  <c r="H85" i="43" s="1"/>
  <c r="F50" i="43"/>
  <c r="H54" i="43" s="1"/>
  <c r="F72" i="43"/>
  <c r="H75" i="43" s="1"/>
  <c r="U19" i="39"/>
  <c r="S14" i="35"/>
  <c r="U43" i="21"/>
  <c r="U35" i="21"/>
  <c r="AC35" i="21"/>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271" i="3"/>
  <c r="AZ133" i="3"/>
  <c r="AZ50" i="3"/>
  <c r="AZ72"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586" i="3"/>
  <c r="AC12" i="33"/>
  <c r="AZ473" i="3"/>
  <c r="BL14" i="3"/>
  <c r="U30" i="33"/>
  <c r="AC13" i="34"/>
  <c r="AA47" i="34"/>
  <c r="W28" i="37"/>
  <c r="S21" i="39"/>
  <c r="F12" i="33"/>
  <c r="AA12" i="33" s="1"/>
  <c r="H14" i="39"/>
  <c r="AB14" i="39"/>
  <c r="F41" i="40"/>
  <c r="AA41" i="40" s="1"/>
  <c r="BA14" i="3"/>
  <c r="AZ367" i="3"/>
  <c r="AZ297" i="3"/>
  <c r="AZ157" i="3"/>
  <c r="B12" i="1"/>
  <c r="E12" i="1" s="1"/>
  <c r="B10" i="1"/>
  <c r="E10" i="1" s="1"/>
  <c r="AZ88" i="3"/>
  <c r="K12" i="1"/>
  <c r="M12" i="1" s="1"/>
  <c r="S13" i="1"/>
  <c r="AR13" i="1" s="1"/>
  <c r="R13" i="1"/>
  <c r="J51" i="67"/>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U23" i="36"/>
  <c r="AB20" i="36"/>
  <c r="U16" i="36"/>
  <c r="S14" i="36"/>
  <c r="AA25" i="35"/>
  <c r="S23" i="35"/>
  <c r="W24" i="35"/>
  <c r="AB13"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U41" i="33" s="1"/>
  <c r="F121" i="33"/>
  <c r="G121" i="33" s="1"/>
  <c r="H121" i="33" s="1"/>
  <c r="I121" i="33" s="1"/>
  <c r="J121" i="33" s="1"/>
  <c r="K121" i="33" s="1"/>
  <c r="L121" i="33" s="1"/>
  <c r="M121" i="33" s="1"/>
  <c r="G108" i="33"/>
  <c r="H108" i="33" s="1"/>
  <c r="I108" i="33" s="1"/>
  <c r="J108" i="33" s="1"/>
  <c r="K108" i="33" s="1"/>
  <c r="L108" i="33" s="1"/>
  <c r="M108" i="33" s="1"/>
  <c r="J35" i="33"/>
  <c r="W35" i="33" s="1"/>
  <c r="F101" i="33"/>
  <c r="G101" i="33" s="1"/>
  <c r="H101" i="33" s="1"/>
  <c r="I101" i="33" s="1"/>
  <c r="J101" i="33" s="1"/>
  <c r="K101" i="33" s="1"/>
  <c r="L101" i="33" s="1"/>
  <c r="M101" i="33" s="1"/>
  <c r="J32" i="33"/>
  <c r="W32" i="33" s="1"/>
  <c r="S46" i="33"/>
  <c r="W43" i="33"/>
  <c r="S43" i="33"/>
  <c r="H27" i="33"/>
  <c r="AB27" i="33" s="1"/>
  <c r="F87" i="33"/>
  <c r="H25" i="33"/>
  <c r="AB25" i="33" s="1"/>
  <c r="F25" i="33"/>
  <c r="AA25" i="33" s="1"/>
  <c r="J23" i="33"/>
  <c r="AC23" i="33" s="1"/>
  <c r="H23" i="33"/>
  <c r="AB23" i="33" s="1"/>
  <c r="F81" i="33"/>
  <c r="F19" i="33"/>
  <c r="S19" i="33" s="1"/>
  <c r="J17" i="33"/>
  <c r="W17" i="33" s="1"/>
  <c r="F79" i="33"/>
  <c r="G79"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F34" i="67"/>
  <c r="F62" i="67" s="1"/>
  <c r="M20" i="67"/>
  <c r="F20" i="15"/>
  <c r="F72" i="15" s="1"/>
  <c r="G13" i="3"/>
  <c r="BA13" i="3"/>
  <c r="BL17" i="3"/>
  <c r="AZ17" i="3" s="1"/>
  <c r="BL13" i="3"/>
  <c r="J56" i="9"/>
  <c r="J57" i="9" s="1"/>
  <c r="J59" i="9" s="1"/>
  <c r="J61" i="9" s="1"/>
  <c r="A24" i="51"/>
  <c r="B18" i="72" s="1"/>
  <c r="U29" i="34"/>
  <c r="E32" i="6"/>
  <c r="G1" i="68"/>
  <c r="K1" i="12"/>
  <c r="E17" i="68"/>
  <c r="E1" i="73"/>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44" i="33"/>
  <c r="S30" i="33"/>
  <c r="AA30" i="33"/>
  <c r="AC14" i="33"/>
  <c r="W14" i="33"/>
  <c r="AC30"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3" i="40"/>
  <c r="U32" i="40"/>
  <c r="B56" i="43"/>
  <c r="B67" i="43"/>
  <c r="B51" i="43"/>
  <c r="B54" i="43"/>
  <c r="B58" i="43"/>
  <c r="B62" i="43"/>
  <c r="B65" i="43"/>
  <c r="B69" i="43"/>
  <c r="D45" i="15"/>
  <c r="E4" i="4"/>
  <c r="B5" i="62" s="1"/>
  <c r="B73" i="72" s="1"/>
  <c r="C4" i="4"/>
  <c r="S41" i="40"/>
  <c r="S12" i="33"/>
  <c r="J34" i="39"/>
  <c r="AC34" i="39" s="1"/>
  <c r="H34" i="39"/>
  <c r="AB34" i="39" s="1"/>
  <c r="AA34" i="39"/>
  <c r="S34" i="39"/>
  <c r="AC17" i="37"/>
  <c r="S17" i="37"/>
  <c r="J19" i="37"/>
  <c r="W19" i="37" s="1"/>
  <c r="G75" i="37"/>
  <c r="AA19" i="37"/>
  <c r="AA23" i="37"/>
  <c r="J23" i="37"/>
  <c r="J10" i="37"/>
  <c r="W10" i="37" s="1"/>
  <c r="G63" i="37"/>
  <c r="H63" i="37" s="1"/>
  <c r="I63" i="37" s="1"/>
  <c r="H11" i="37"/>
  <c r="AB11" i="37" s="1"/>
  <c r="G70" i="34"/>
  <c r="H11" i="34"/>
  <c r="U11" i="34" s="1"/>
  <c r="J10" i="34"/>
  <c r="AC10" i="34" s="1"/>
  <c r="G87" i="33"/>
  <c r="H87" i="33" s="1"/>
  <c r="I87" i="33" s="1"/>
  <c r="J87" i="33" s="1"/>
  <c r="K87" i="33" s="1"/>
  <c r="L87" i="33" s="1"/>
  <c r="M87" i="33" s="1"/>
  <c r="J25" i="33"/>
  <c r="W25" i="33" s="1"/>
  <c r="F23" i="33"/>
  <c r="H19" i="33"/>
  <c r="AB19" i="33" s="1"/>
  <c r="G81" i="33"/>
  <c r="H17" i="33"/>
  <c r="U17" i="33" s="1"/>
  <c r="F17" i="33"/>
  <c r="S17" i="33" s="1"/>
  <c r="S37" i="21"/>
  <c r="AA23" i="21"/>
  <c r="J23" i="21"/>
  <c r="F85" i="21"/>
  <c r="G85" i="21" s="1"/>
  <c r="H23" i="21"/>
  <c r="AB23" i="21" s="1"/>
  <c r="S13" i="21"/>
  <c r="AP7" i="1"/>
  <c r="AB45" i="21"/>
  <c r="AB9" i="21"/>
  <c r="AA32" i="21"/>
  <c r="S32" i="21"/>
  <c r="W9" i="21"/>
  <c r="AC9" i="21"/>
  <c r="AB32" i="21"/>
  <c r="U32" i="21"/>
  <c r="U34" i="39"/>
  <c r="W23" i="37"/>
  <c r="AC23" i="37"/>
  <c r="J63" i="37"/>
  <c r="K63" i="37" s="1"/>
  <c r="L63" i="37" s="1"/>
  <c r="M63" i="37" s="1"/>
  <c r="J11" i="37"/>
  <c r="AC11" i="37" s="1"/>
  <c r="H70" i="34"/>
  <c r="I70" i="34" s="1"/>
  <c r="J70" i="34" s="1"/>
  <c r="K70" i="34" s="1"/>
  <c r="L70" i="34" s="1"/>
  <c r="M70" i="34" s="1"/>
  <c r="J11" i="34"/>
  <c r="W11" i="34" s="1"/>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1" i="15"/>
  <c r="E10" i="76"/>
  <c r="L47" i="67"/>
  <c r="M9" i="15"/>
  <c r="J15" i="67"/>
  <c r="M23" i="67"/>
  <c r="M24" i="67"/>
  <c r="F22" i="15"/>
  <c r="F7" i="15"/>
  <c r="D6" i="73"/>
  <c r="AO13" i="1"/>
  <c r="F24" i="15"/>
  <c r="C88" i="15"/>
  <c r="F43" i="67"/>
  <c r="F26" i="67"/>
  <c r="F8" i="67"/>
  <c r="D34" i="9"/>
  <c r="M6" i="15"/>
  <c r="M8" i="67"/>
  <c r="M31" i="15"/>
  <c r="B9" i="76"/>
  <c r="F32" i="15"/>
  <c r="M22" i="15"/>
  <c r="M8" i="15"/>
  <c r="F30" i="15"/>
  <c r="E11" i="76"/>
  <c r="F37" i="67"/>
  <c r="B12" i="76"/>
  <c r="E8" i="76"/>
  <c r="M28" i="15"/>
  <c r="E7" i="76"/>
  <c r="M6" i="67"/>
  <c r="M28" i="67"/>
  <c r="B7" i="76"/>
  <c r="F38" i="67"/>
  <c r="E12" i="76"/>
  <c r="F7" i="67"/>
  <c r="B11" i="76"/>
  <c r="C76" i="67"/>
  <c r="E13" i="76"/>
  <c r="E2" i="69"/>
  <c r="F52" i="15"/>
  <c r="F4" i="73"/>
  <c r="F40" i="67"/>
  <c r="F6" i="67"/>
  <c r="B10" i="76"/>
  <c r="F48" i="15"/>
  <c r="B8" i="76"/>
  <c r="E9" i="76"/>
  <c r="D35" i="9"/>
  <c r="B13" i="76"/>
  <c r="M26" i="67"/>
  <c r="F20" i="31"/>
  <c r="M29" i="67"/>
  <c r="M30" i="15"/>
  <c r="F5" i="73"/>
  <c r="F38" i="15"/>
  <c r="M22" i="67"/>
  <c r="F9" i="15"/>
  <c r="M26" i="15"/>
  <c r="F42" i="67"/>
  <c r="F6" i="73"/>
  <c r="F7" i="73"/>
  <c r="F16" i="67"/>
  <c r="F3" i="73"/>
  <c r="D53" i="43" l="1"/>
  <c r="H15" i="33"/>
  <c r="AB15" i="33" s="1"/>
  <c r="J15" i="33"/>
  <c r="AC15" i="33" s="1"/>
  <c r="S33" i="33"/>
  <c r="U38" i="33"/>
  <c r="S37" i="33"/>
  <c r="AA37" i="33"/>
  <c r="G111" i="33"/>
  <c r="W44" i="33"/>
  <c r="AA44" i="33"/>
  <c r="AA35" i="33"/>
  <c r="U40" i="33"/>
  <c r="AB41" i="33"/>
  <c r="S39" i="33"/>
  <c r="U37" i="33"/>
  <c r="S38" i="33"/>
  <c r="W41" i="33"/>
  <c r="AC35" i="33"/>
  <c r="U35" i="33"/>
  <c r="J27" i="33"/>
  <c r="W27" i="33" s="1"/>
  <c r="F91" i="33"/>
  <c r="G91" i="33" s="1"/>
  <c r="H91" i="33" s="1"/>
  <c r="I91" i="33" s="1"/>
  <c r="J91" i="33" s="1"/>
  <c r="K91" i="33" s="1"/>
  <c r="L91" i="33" s="1"/>
  <c r="M91" i="33" s="1"/>
  <c r="S28" i="33"/>
  <c r="U23" i="33"/>
  <c r="AC21" i="33"/>
  <c r="S21" i="33"/>
  <c r="U19" i="33"/>
  <c r="AA19" i="33"/>
  <c r="W19" i="33"/>
  <c r="AA17" i="33"/>
  <c r="AC17" i="33"/>
  <c r="U15" i="33"/>
  <c r="S15" i="33"/>
  <c r="F9" i="33"/>
  <c r="AA9" i="33" s="1"/>
  <c r="W8" i="33"/>
  <c r="S41" i="33"/>
  <c r="W42" i="33"/>
  <c r="S42" i="33"/>
  <c r="U42" i="33"/>
  <c r="AC37" i="33"/>
  <c r="AC34" i="33"/>
  <c r="W33" i="33"/>
  <c r="AA34" i="33"/>
  <c r="AB34" i="33"/>
  <c r="AC32" i="33"/>
  <c r="AA32" i="33"/>
  <c r="U32" i="33"/>
  <c r="AB28" i="33"/>
  <c r="AC28" i="33"/>
  <c r="U27" i="33"/>
  <c r="AA27" i="33"/>
  <c r="AC27" i="33"/>
  <c r="S25" i="33"/>
  <c r="AC25" i="33"/>
  <c r="U25" i="33"/>
  <c r="U11" i="33"/>
  <c r="U9" i="33"/>
  <c r="C25" i="40"/>
  <c r="G30" i="12"/>
  <c r="G23" i="68"/>
  <c r="F6" i="1"/>
  <c r="G29" i="6"/>
  <c r="AZ171" i="3"/>
  <c r="S20" i="35"/>
  <c r="AZ322" i="3"/>
  <c r="AZ347" i="3"/>
  <c r="AZ523" i="3"/>
  <c r="AZ571" i="3"/>
  <c r="AZ579" i="3"/>
  <c r="AZ542" i="3"/>
  <c r="U46" i="33"/>
  <c r="U15" i="21"/>
  <c r="AZ155" i="3"/>
  <c r="U26" i="33"/>
  <c r="AB26" i="33"/>
  <c r="AA28" i="34"/>
  <c r="S28" i="34"/>
  <c r="U34" i="35"/>
  <c r="AB34" i="35"/>
  <c r="AZ387" i="3"/>
  <c r="AZ338" i="3"/>
  <c r="AZ311" i="3"/>
  <c r="AZ364" i="3"/>
  <c r="AZ346" i="3"/>
  <c r="AZ329" i="3"/>
  <c r="AZ304" i="3"/>
  <c r="AZ306" i="3"/>
  <c r="AZ533" i="3"/>
  <c r="AZ561" i="3"/>
  <c r="AZ569" i="3"/>
  <c r="AZ513" i="3"/>
  <c r="AZ575" i="3"/>
  <c r="AZ558" i="3"/>
  <c r="AZ566" i="3"/>
  <c r="AZ582" i="3"/>
  <c r="AZ540" i="3"/>
  <c r="AZ502" i="3"/>
  <c r="U23" i="21"/>
  <c r="W34" i="39"/>
  <c r="AC15" i="21"/>
  <c r="AZ391" i="3"/>
  <c r="AZ160" i="3"/>
  <c r="AZ394" i="3"/>
  <c r="AC28" i="34"/>
  <c r="S14" i="33"/>
  <c r="AA14" i="33"/>
  <c r="BL587" i="3"/>
  <c r="AZ587" i="3" s="1"/>
  <c r="AC39" i="33"/>
  <c r="W39" i="33"/>
  <c r="F32" i="36"/>
  <c r="J32" i="36"/>
  <c r="W32" i="36" s="1"/>
  <c r="AC33" i="40"/>
  <c r="W33" i="40"/>
  <c r="B101" i="43"/>
  <c r="C27" i="39"/>
  <c r="J36" i="35"/>
  <c r="AC36" i="35" s="1"/>
  <c r="J24" i="36"/>
  <c r="H24" i="36"/>
  <c r="F24" i="36"/>
  <c r="G587" i="3"/>
  <c r="J9" i="33"/>
  <c r="J12" i="35"/>
  <c r="AZ539" i="3"/>
  <c r="AZ529" i="3"/>
  <c r="AZ537" i="3"/>
  <c r="AZ518" i="3"/>
  <c r="AZ526" i="3"/>
  <c r="AZ546" i="3"/>
  <c r="AZ564" i="3"/>
  <c r="AZ580" i="3"/>
  <c r="AA26" i="33"/>
  <c r="G586" i="3"/>
  <c r="B97" i="43"/>
  <c r="B75" i="43"/>
  <c r="AB33" i="33"/>
  <c r="U33" i="33"/>
  <c r="BL16" i="3"/>
  <c r="AZ16" i="3" s="1"/>
  <c r="G399" i="3"/>
  <c r="BA400" i="3"/>
  <c r="AZ400" i="3" s="1"/>
  <c r="BA406" i="3"/>
  <c r="AZ406" i="3" s="1"/>
  <c r="BL408" i="3"/>
  <c r="BL413" i="3"/>
  <c r="G416" i="3"/>
  <c r="AZ422" i="3"/>
  <c r="AZ217" i="3"/>
  <c r="AB42" i="34"/>
  <c r="W34" i="40"/>
  <c r="S36" i="39"/>
  <c r="AA11" i="40"/>
  <c r="U11" i="39"/>
  <c r="J46" i="39"/>
  <c r="BL585" i="3"/>
  <c r="AZ585" i="3" s="1"/>
  <c r="AC31" i="35"/>
  <c r="H41" i="40"/>
  <c r="BA551" i="3"/>
  <c r="AZ551" i="3" s="1"/>
  <c r="BA550" i="3"/>
  <c r="AZ550" i="3" s="1"/>
  <c r="BL548" i="3"/>
  <c r="AZ548" i="3" s="1"/>
  <c r="BA401" i="3"/>
  <c r="G404" i="3"/>
  <c r="G410" i="3"/>
  <c r="BL410" i="3"/>
  <c r="G412" i="3"/>
  <c r="G423" i="3"/>
  <c r="BA424" i="3"/>
  <c r="G441" i="3"/>
  <c r="BL399" i="3"/>
  <c r="G403" i="3"/>
  <c r="BA404" i="3"/>
  <c r="AZ404" i="3" s="1"/>
  <c r="BA405" i="3"/>
  <c r="AZ405" i="3" s="1"/>
  <c r="BA413" i="3"/>
  <c r="AZ413" i="3" s="1"/>
  <c r="BL416" i="3"/>
  <c r="G418" i="3"/>
  <c r="G444" i="3"/>
  <c r="AZ451" i="3"/>
  <c r="BL469" i="3"/>
  <c r="AZ469" i="3" s="1"/>
  <c r="G551" i="3"/>
  <c r="BL550" i="3"/>
  <c r="G542" i="3"/>
  <c r="AZ402" i="3"/>
  <c r="G464" i="3"/>
  <c r="AZ476" i="3"/>
  <c r="AZ228" i="3"/>
  <c r="G427" i="3"/>
  <c r="BL428" i="3"/>
  <c r="BL429"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AZ225" i="3" s="1"/>
  <c r="BL226" i="3"/>
  <c r="BA239" i="3"/>
  <c r="BL239" i="3"/>
  <c r="BA241" i="3"/>
  <c r="AZ241" i="3" s="1"/>
  <c r="BL241" i="3"/>
  <c r="BA244" i="3"/>
  <c r="BL244" i="3"/>
  <c r="BA246" i="3"/>
  <c r="BA252" i="3"/>
  <c r="AZ252" i="3" s="1"/>
  <c r="BA254" i="3"/>
  <c r="AZ254" i="3" s="1"/>
  <c r="BA256" i="3"/>
  <c r="BL256" i="3"/>
  <c r="BA258" i="3"/>
  <c r="BA263" i="3"/>
  <c r="BA281" i="3"/>
  <c r="G291" i="3"/>
  <c r="BA296" i="3"/>
  <c r="BL398" i="3"/>
  <c r="G402" i="3"/>
  <c r="BL403" i="3"/>
  <c r="AZ403" i="3" s="1"/>
  <c r="G405" i="3"/>
  <c r="G406" i="3"/>
  <c r="BA408" i="3"/>
  <c r="AZ408" i="3" s="1"/>
  <c r="BA409" i="3"/>
  <c r="AZ409" i="3" s="1"/>
  <c r="BA411" i="3"/>
  <c r="AZ411" i="3" s="1"/>
  <c r="BL414" i="3"/>
  <c r="BL415" i="3"/>
  <c r="BA417" i="3"/>
  <c r="AZ417" i="3" s="1"/>
  <c r="BL421" i="3"/>
  <c r="BL422" i="3"/>
  <c r="BL425" i="3"/>
  <c r="BL426" i="3"/>
  <c r="AZ426" i="3" s="1"/>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L266" i="3"/>
  <c r="BA269" i="3"/>
  <c r="AZ269" i="3" s="1"/>
  <c r="BL272" i="3"/>
  <c r="BL273" i="3"/>
  <c r="G274" i="3"/>
  <c r="BA276" i="3"/>
  <c r="G279" i="3"/>
  <c r="BA284" i="3"/>
  <c r="BL286" i="3"/>
  <c r="AZ286" i="3" s="1"/>
  <c r="BL298" i="3"/>
  <c r="G116"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AZ442" i="3" s="1"/>
  <c r="BL444" i="3"/>
  <c r="AZ444" i="3" s="1"/>
  <c r="G446" i="3"/>
  <c r="BL448" i="3"/>
  <c r="AZ448" i="3" s="1"/>
  <c r="G450" i="3"/>
  <c r="BA454" i="3"/>
  <c r="AZ454" i="3" s="1"/>
  <c r="BA457" i="3"/>
  <c r="AZ457" i="3" s="1"/>
  <c r="BA459" i="3"/>
  <c r="BA460" i="3"/>
  <c r="AZ460" i="3" s="1"/>
  <c r="BA461" i="3"/>
  <c r="BL464" i="3"/>
  <c r="AZ464" i="3" s="1"/>
  <c r="BL466" i="3"/>
  <c r="AZ466" i="3" s="1"/>
  <c r="G468" i="3"/>
  <c r="BL476" i="3"/>
  <c r="BL477" i="3"/>
  <c r="BL478" i="3"/>
  <c r="G479" i="3"/>
  <c r="G480" i="3"/>
  <c r="BL480" i="3"/>
  <c r="G482" i="3"/>
  <c r="BA483" i="3"/>
  <c r="BL483" i="3"/>
  <c r="BA486" i="3"/>
  <c r="BL489" i="3"/>
  <c r="BL491" i="3"/>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L262" i="3"/>
  <c r="BL263" i="3"/>
  <c r="G264" i="3"/>
  <c r="BA265" i="3"/>
  <c r="G271" i="3"/>
  <c r="BL278" i="3"/>
  <c r="BA283" i="3"/>
  <c r="AZ480" i="3"/>
  <c r="AZ62" i="3"/>
  <c r="G64" i="3"/>
  <c r="BA64" i="3"/>
  <c r="AZ64" i="3" s="1"/>
  <c r="G67" i="3"/>
  <c r="BL68" i="3"/>
  <c r="AZ68" i="3" s="1"/>
  <c r="BA69" i="3"/>
  <c r="AZ69" i="3" s="1"/>
  <c r="G72" i="3"/>
  <c r="BL73" i="3"/>
  <c r="BA74" i="3"/>
  <c r="AZ74" i="3" s="1"/>
  <c r="T40" i="71"/>
  <c r="D40" i="71"/>
  <c r="V24" i="71"/>
  <c r="E23" i="71"/>
  <c r="E22" i="71" s="1"/>
  <c r="E21" i="71" s="1"/>
  <c r="E20" i="71" s="1"/>
  <c r="E19" i="71" s="1"/>
  <c r="E18" i="71" s="1"/>
  <c r="E17" i="71" s="1"/>
  <c r="E16" i="71" s="1"/>
  <c r="BA262" i="3"/>
  <c r="BL265" i="3"/>
  <c r="BA273" i="3"/>
  <c r="AZ273" i="3" s="1"/>
  <c r="BA278" i="3"/>
  <c r="AZ278" i="3" s="1"/>
  <c r="BA280" i="3"/>
  <c r="AZ280" i="3" s="1"/>
  <c r="BL283" i="3"/>
  <c r="BL284" i="3"/>
  <c r="G288" i="3"/>
  <c r="BL292" i="3"/>
  <c r="BA294" i="3"/>
  <c r="AZ294" i="3" s="1"/>
  <c r="BL295" i="3"/>
  <c r="BA298" i="3"/>
  <c r="AZ298" i="3" s="1"/>
  <c r="BL301" i="3"/>
  <c r="AZ301" i="3" s="1"/>
  <c r="BL302" i="3"/>
  <c r="AZ302" i="3" s="1"/>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L54" i="3"/>
  <c r="BL76" i="3"/>
  <c r="BL77" i="3"/>
  <c r="AZ77" i="3" s="1"/>
  <c r="C32" i="71"/>
  <c r="D31" i="71"/>
  <c r="D46" i="71"/>
  <c r="C47" i="71"/>
  <c r="D47" i="71" s="1"/>
  <c r="C52" i="71"/>
  <c r="D51" i="71"/>
  <c r="C64" i="71"/>
  <c r="D63" i="71"/>
  <c r="N67" i="71"/>
  <c r="B66" i="7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AZ153" i="3" s="1"/>
  <c r="BL155" i="3"/>
  <c r="BA164" i="3"/>
  <c r="AZ164" i="3" s="1"/>
  <c r="BA166" i="3"/>
  <c r="AZ166" i="3" s="1"/>
  <c r="BA169" i="3"/>
  <c r="AZ169" i="3" s="1"/>
  <c r="BL171" i="3"/>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BA31" i="3"/>
  <c r="BA32" i="3"/>
  <c r="BA38" i="3"/>
  <c r="BA41" i="3"/>
  <c r="BA42" i="3"/>
  <c r="G46" i="3"/>
  <c r="BL48" i="3"/>
  <c r="BA55" i="3"/>
  <c r="AZ55" i="3" s="1"/>
  <c r="BA56" i="3"/>
  <c r="BA57" i="3"/>
  <c r="BL58" i="3"/>
  <c r="BA60" i="3"/>
  <c r="BA63" i="3"/>
  <c r="AZ63" i="3" s="1"/>
  <c r="BA66" i="3"/>
  <c r="AZ66" i="3" s="1"/>
  <c r="BA71" i="3"/>
  <c r="AZ71" i="3" s="1"/>
  <c r="C55" i="71"/>
  <c r="D54" i="71"/>
  <c r="BA117" i="3"/>
  <c r="BA130" i="3"/>
  <c r="AZ130" i="3" s="1"/>
  <c r="BL130" i="3"/>
  <c r="BA137" i="3"/>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204" i="3"/>
  <c r="BL206" i="3"/>
  <c r="G22" i="3"/>
  <c r="G24" i="3"/>
  <c r="G25" i="3"/>
  <c r="BA27" i="3"/>
  <c r="G30" i="3"/>
  <c r="BL30" i="3"/>
  <c r="BL31" i="3"/>
  <c r="G35" i="3"/>
  <c r="G36" i="3"/>
  <c r="G40" i="3"/>
  <c r="BL40" i="3"/>
  <c r="BL41" i="3"/>
  <c r="G45" i="3"/>
  <c r="BL45" i="3"/>
  <c r="AZ45" i="3" s="1"/>
  <c r="BA48" i="3"/>
  <c r="BA49" i="3"/>
  <c r="AZ49" i="3" s="1"/>
  <c r="BL52" i="3"/>
  <c r="G53" i="3"/>
  <c r="BL53" i="3"/>
  <c r="AZ53" i="3" s="1"/>
  <c r="BL57" i="3"/>
  <c r="G62" i="3"/>
  <c r="BL62" i="3"/>
  <c r="BL75" i="3"/>
  <c r="P65" i="71"/>
  <c r="P66" i="71"/>
  <c r="BL81" i="3"/>
  <c r="BA82" i="3"/>
  <c r="AZ82" i="3" s="1"/>
  <c r="BL83" i="3"/>
  <c r="G88" i="3"/>
  <c r="BA90" i="3"/>
  <c r="BL94" i="3"/>
  <c r="AZ94" i="3" s="1"/>
  <c r="BA100" i="3"/>
  <c r="AZ100" i="3" s="1"/>
  <c r="BA102" i="3"/>
  <c r="BL105" i="3"/>
  <c r="AZ105" i="3" s="1"/>
  <c r="BL107" i="3"/>
  <c r="BA111" i="3"/>
  <c r="AB21" i="33"/>
  <c r="B68" i="43"/>
  <c r="B88" i="43"/>
  <c r="D39" i="71"/>
  <c r="C74" i="71"/>
  <c r="D74" i="71" s="1"/>
  <c r="AA3" i="71"/>
  <c r="C27" i="71"/>
  <c r="D62" i="71"/>
  <c r="U68" i="71"/>
  <c r="D30" i="71"/>
  <c r="Y27" i="71"/>
  <c r="Z27" i="71" s="1"/>
  <c r="AA34" i="71"/>
  <c r="AB35" i="71"/>
  <c r="B51" i="71"/>
  <c r="B52" i="71" s="1"/>
  <c r="S52" i="71" s="1"/>
  <c r="B71" i="71"/>
  <c r="B70" i="71" s="1"/>
  <c r="BA75" i="3"/>
  <c r="AZ75" i="3" s="1"/>
  <c r="G81" i="3"/>
  <c r="BL85" i="3"/>
  <c r="BA86" i="3"/>
  <c r="AZ86" i="3" s="1"/>
  <c r="BA87" i="3"/>
  <c r="AZ87" i="3" s="1"/>
  <c r="BA91" i="3"/>
  <c r="AZ91" i="3" s="1"/>
  <c r="BL97" i="3"/>
  <c r="AZ97" i="3" s="1"/>
  <c r="BL101" i="3"/>
  <c r="AZ101" i="3" s="1"/>
  <c r="BL102" i="3"/>
  <c r="G105" i="3"/>
  <c r="BL106" i="3"/>
  <c r="BA108" i="3"/>
  <c r="AZ108" i="3" s="1"/>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51" i="3"/>
  <c r="AZ51" i="3" s="1"/>
  <c r="G54" i="3"/>
  <c r="G55" i="3"/>
  <c r="BL56" i="3"/>
  <c r="BA58" i="3"/>
  <c r="BL59" i="3"/>
  <c r="AZ59" i="3" s="1"/>
  <c r="BL60" i="3"/>
  <c r="BA61" i="3"/>
  <c r="AZ61" i="3" s="1"/>
  <c r="BA68" i="3"/>
  <c r="BA73" i="3"/>
  <c r="AZ73" i="3" s="1"/>
  <c r="BA80" i="3"/>
  <c r="G84" i="3"/>
  <c r="BL84" i="3"/>
  <c r="AZ84" i="3" s="1"/>
  <c r="BA89" i="3"/>
  <c r="G99" i="3"/>
  <c r="G103" i="3"/>
  <c r="BA103" i="3"/>
  <c r="AZ103" i="3" s="1"/>
  <c r="BA104" i="3"/>
  <c r="AZ104" i="3" s="1"/>
  <c r="BA106" i="3"/>
  <c r="BL108" i="3"/>
  <c r="G110" i="3"/>
  <c r="BL111" i="3"/>
  <c r="K13" i="1"/>
  <c r="M13" i="1" s="1"/>
  <c r="O13" i="1" s="1"/>
  <c r="P13" i="1" s="1"/>
  <c r="S18" i="36"/>
  <c r="B77" i="43"/>
  <c r="AA18" i="35"/>
  <c r="O66" i="71"/>
  <c r="AA28" i="71"/>
  <c r="AB27" i="71"/>
  <c r="C87" i="71"/>
  <c r="AB25" i="71"/>
  <c r="C43" i="71"/>
  <c r="C35" i="71"/>
  <c r="X33" i="71"/>
  <c r="AB37" i="71"/>
  <c r="X28" i="71"/>
  <c r="L8" i="15"/>
  <c r="M14" i="15"/>
  <c r="F14" i="15"/>
  <c r="E14" i="15"/>
  <c r="F66" i="15"/>
  <c r="U13" i="39"/>
  <c r="U29" i="35"/>
  <c r="S37" i="34"/>
  <c r="S42" i="39"/>
  <c r="D6" i="52"/>
  <c r="C9" i="39"/>
  <c r="C69" i="39" s="1"/>
  <c r="D69" i="39" s="1"/>
  <c r="D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5" i="3"/>
  <c r="AZ452" i="3"/>
  <c r="AZ456" i="3"/>
  <c r="AZ467"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BA215" i="3"/>
  <c r="AZ215" i="3" s="1"/>
  <c r="G219" i="3"/>
  <c r="AZ221"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G240" i="3"/>
  <c r="G242" i="3"/>
  <c r="G245" i="3"/>
  <c r="BL246" i="3"/>
  <c r="BL253" i="3"/>
  <c r="AZ253" i="3" s="1"/>
  <c r="BA261" i="3"/>
  <c r="AZ261" i="3" s="1"/>
  <c r="BA264" i="3"/>
  <c r="AZ264" i="3" s="1"/>
  <c r="BA266" i="3"/>
  <c r="G272" i="3"/>
  <c r="G275" i="3"/>
  <c r="BL276" i="3"/>
  <c r="AZ276" i="3" s="1"/>
  <c r="BL279" i="3"/>
  <c r="AZ279" i="3" s="1"/>
  <c r="BL281" i="3"/>
  <c r="AZ281" i="3" s="1"/>
  <c r="BA285" i="3"/>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40" i="3"/>
  <c r="AZ4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F51" i="67"/>
  <c r="F65" i="67"/>
  <c r="M7" i="15"/>
  <c r="J7" i="15" s="1"/>
  <c r="J9" i="15" s="1"/>
  <c r="F59" i="15"/>
  <c r="F84" i="15"/>
  <c r="F66" i="67"/>
  <c r="Q71" i="67"/>
  <c r="F75" i="15"/>
  <c r="C27" i="67"/>
  <c r="F71" i="67"/>
  <c r="C49" i="15"/>
  <c r="F77" i="15"/>
  <c r="N59" i="67"/>
  <c r="L59" i="67"/>
  <c r="M59" i="67"/>
  <c r="B13" i="70"/>
  <c r="M7" i="67"/>
  <c r="F50" i="67"/>
  <c r="F68" i="67"/>
  <c r="D9" i="69"/>
  <c r="D21" i="12"/>
  <c r="D15" i="68"/>
  <c r="F13" i="67"/>
  <c r="F26" i="15"/>
  <c r="F52" i="81"/>
  <c r="D7" i="73"/>
  <c r="F22" i="81"/>
  <c r="D15" i="80"/>
  <c r="M6" i="81"/>
  <c r="D5" i="73"/>
  <c r="F38" i="81"/>
  <c r="F6" i="81"/>
  <c r="F28" i="15"/>
  <c r="M9" i="67"/>
  <c r="M26" i="81"/>
  <c r="M22" i="81"/>
  <c r="M9" i="81"/>
  <c r="D3" i="73"/>
  <c r="M36" i="81"/>
  <c r="F6" i="15"/>
  <c r="D4" i="73"/>
  <c r="F28" i="81"/>
  <c r="F36" i="67"/>
  <c r="F24" i="81"/>
  <c r="F7" i="81"/>
  <c r="L57" i="15"/>
  <c r="C88" i="81"/>
  <c r="M36" i="15"/>
  <c r="F9" i="81"/>
  <c r="M31" i="81"/>
  <c r="F32" i="81"/>
  <c r="C71" i="81"/>
  <c r="F26" i="81"/>
  <c r="F9" i="67"/>
  <c r="C16" i="67"/>
  <c r="M24" i="81"/>
  <c r="F48" i="81"/>
  <c r="M28" i="81"/>
  <c r="L56" i="81"/>
  <c r="F30" i="81"/>
  <c r="F8" i="15"/>
  <c r="L57" i="81"/>
  <c r="F8" i="81"/>
  <c r="M24" i="15"/>
  <c r="C38" i="15"/>
  <c r="L48" i="67"/>
  <c r="M8" i="81"/>
  <c r="L56" i="15"/>
  <c r="M30" i="81"/>
  <c r="W15" i="33" l="1"/>
  <c r="H36" i="33"/>
  <c r="H111" i="33"/>
  <c r="I111" i="33" s="1"/>
  <c r="C71" i="39"/>
  <c r="H16" i="1"/>
  <c r="E13" i="6"/>
  <c r="Q16" i="1"/>
  <c r="F27" i="69" s="1"/>
  <c r="C47" i="69" s="1"/>
  <c r="D45" i="69" s="1"/>
  <c r="F78" i="15"/>
  <c r="L68" i="15"/>
  <c r="Q70" i="15" s="1"/>
  <c r="M68" i="15"/>
  <c r="N68" i="15"/>
  <c r="F64" i="67"/>
  <c r="F60" i="15"/>
  <c r="E60" i="15" s="1"/>
  <c r="E8" i="15"/>
  <c r="C7" i="15"/>
  <c r="C9" i="15" s="1"/>
  <c r="F80" i="15"/>
  <c r="C6" i="67"/>
  <c r="AZ27" i="3"/>
  <c r="T52" i="71"/>
  <c r="D52" i="71"/>
  <c r="AC24" i="36"/>
  <c r="W24" i="36"/>
  <c r="AZ206" i="3"/>
  <c r="AZ170" i="3"/>
  <c r="AZ285" i="3"/>
  <c r="AZ396" i="3"/>
  <c r="AZ232" i="3"/>
  <c r="AZ333" i="3"/>
  <c r="V20" i="71"/>
  <c r="C36" i="71"/>
  <c r="D35" i="71"/>
  <c r="AZ58" i="3"/>
  <c r="C26" i="71"/>
  <c r="D26" i="71" s="1"/>
  <c r="D27" i="71"/>
  <c r="AZ182" i="3"/>
  <c r="AZ57" i="3"/>
  <c r="AZ459" i="3"/>
  <c r="AZ284" i="3"/>
  <c r="AZ256" i="3"/>
  <c r="AZ491" i="3"/>
  <c r="AC9" i="33"/>
  <c r="W9" i="33"/>
  <c r="J7" i="36"/>
  <c r="AC7" i="36" s="1"/>
  <c r="V36" i="36" s="1"/>
  <c r="I36" i="36" s="1"/>
  <c r="G5" i="3"/>
  <c r="B3" i="3" s="1"/>
  <c r="AT6" i="3" s="1"/>
  <c r="AZ348" i="3"/>
  <c r="C44" i="71"/>
  <c r="D43" i="71"/>
  <c r="AZ137" i="3"/>
  <c r="AZ31" i="3"/>
  <c r="AZ38" i="3"/>
  <c r="AZ265" i="3"/>
  <c r="AZ429" i="3"/>
  <c r="AZ263" i="3"/>
  <c r="AZ244" i="3"/>
  <c r="AZ239" i="3"/>
  <c r="AZ397" i="3"/>
  <c r="AC46" i="39"/>
  <c r="W46" i="39"/>
  <c r="AA24" i="36"/>
  <c r="S24" i="36"/>
  <c r="C86" i="71"/>
  <c r="D86" i="71" s="1"/>
  <c r="D87" i="71"/>
  <c r="AZ111" i="3"/>
  <c r="T32" i="71"/>
  <c r="D32" i="71"/>
  <c r="S32" i="36"/>
  <c r="AA32" i="36"/>
  <c r="J6" i="67"/>
  <c r="AZ89" i="3"/>
  <c r="AZ266" i="3"/>
  <c r="AZ246" i="3"/>
  <c r="AZ213" i="3"/>
  <c r="B27" i="71"/>
  <c r="B26" i="71" s="1"/>
  <c r="S28" i="71"/>
  <c r="AZ102" i="3"/>
  <c r="C56" i="71"/>
  <c r="D55" i="71"/>
  <c r="AZ41" i="3"/>
  <c r="AZ28" i="3"/>
  <c r="N65" i="71"/>
  <c r="N66" i="71"/>
  <c r="AZ150" i="3"/>
  <c r="AZ262" i="3"/>
  <c r="AZ283" i="3"/>
  <c r="AZ483" i="3"/>
  <c r="AZ461" i="3"/>
  <c r="AZ401" i="3"/>
  <c r="U41" i="40"/>
  <c r="AB41" i="40"/>
  <c r="W12" i="35"/>
  <c r="AC12" i="35"/>
  <c r="AB24" i="36"/>
  <c r="U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60" i="40"/>
  <c r="E64" i="39"/>
  <c r="M14" i="1"/>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W7" i="36"/>
  <c r="F7" i="37"/>
  <c r="M17" i="67"/>
  <c r="P28" i="43"/>
  <c r="B68" i="40" s="1"/>
  <c r="P25" i="43"/>
  <c r="C49" i="67"/>
  <c r="P29" i="43"/>
  <c r="P27" i="43"/>
  <c r="B72" i="39" s="1"/>
  <c r="M11" i="67"/>
  <c r="J10" i="67" s="1"/>
  <c r="F11" i="15"/>
  <c r="M11" i="15"/>
  <c r="J10" i="15" s="1"/>
  <c r="F11" i="67"/>
  <c r="Q61" i="67"/>
  <c r="Q74" i="67"/>
  <c r="AE11" i="1"/>
  <c r="AE12" i="1"/>
  <c r="AE10" i="1"/>
  <c r="AE9" i="1"/>
  <c r="AE8" i="1"/>
  <c r="F33" i="12"/>
  <c r="C18" i="12"/>
  <c r="F27" i="68"/>
  <c r="G1" i="73"/>
  <c r="C19" i="15"/>
  <c r="F27" i="80"/>
  <c r="C38" i="81"/>
  <c r="F52" i="80" l="1"/>
  <c r="J111" i="33"/>
  <c r="K111" i="33" s="1"/>
  <c r="L111" i="33" s="1"/>
  <c r="M111" i="33" s="1"/>
  <c r="J36" i="33"/>
  <c r="F36" i="33"/>
  <c r="U36" i="33"/>
  <c r="AB36" i="33"/>
  <c r="Q85" i="15"/>
  <c r="F45" i="69"/>
  <c r="C29" i="69"/>
  <c r="D27" i="69" s="1"/>
  <c r="C6" i="15"/>
  <c r="C16" i="15" s="1"/>
  <c r="G16" i="1"/>
  <c r="F12" i="39" s="1"/>
  <c r="J5" i="67"/>
  <c r="J24" i="67" s="1"/>
  <c r="J18" i="67"/>
  <c r="AC6" i="3"/>
  <c r="E16" i="6"/>
  <c r="C59" i="15"/>
  <c r="C61" i="15" s="1"/>
  <c r="T44" i="71"/>
  <c r="D44" i="71"/>
  <c r="D36" i="71"/>
  <c r="T36" i="71"/>
  <c r="D56" i="71"/>
  <c r="T56" i="71"/>
  <c r="Q61" i="15"/>
  <c r="F1" i="15"/>
  <c r="J9" i="81"/>
  <c r="C10" i="15"/>
  <c r="C62" i="15"/>
  <c r="C54" i="80"/>
  <c r="Q84" i="15"/>
  <c r="C29" i="80"/>
  <c r="K16" i="1"/>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AE6" i="1"/>
  <c r="M27" i="67"/>
  <c r="M29" i="81"/>
  <c r="F29" i="15"/>
  <c r="F41" i="67"/>
  <c r="C10" i="80"/>
  <c r="M29" i="15"/>
  <c r="B29" i="1" l="1"/>
  <c r="C21" i="83" s="1"/>
  <c r="AA36" i="33"/>
  <c r="S36" i="33"/>
  <c r="W36" i="33"/>
  <c r="AC36" i="33"/>
  <c r="V48" i="33" s="1"/>
  <c r="R48" i="33"/>
  <c r="H12" i="39"/>
  <c r="U12" i="39" s="1"/>
  <c r="H12" i="40"/>
  <c r="AB12" i="40" s="1"/>
  <c r="C5" i="15"/>
  <c r="C26" i="15" s="1"/>
  <c r="J12" i="40"/>
  <c r="AC12" i="40" s="1"/>
  <c r="J12" i="39"/>
  <c r="W12" i="39" s="1"/>
  <c r="F12" i="40"/>
  <c r="C58" i="15"/>
  <c r="C57" i="15" s="1"/>
  <c r="W12" i="40"/>
  <c r="J6" i="81"/>
  <c r="J16" i="81" s="1"/>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E48" i="33"/>
  <c r="E40" i="36"/>
  <c r="F40" i="36" s="1"/>
  <c r="E41" i="36"/>
  <c r="F41" i="36" s="1"/>
  <c r="G52" i="33"/>
  <c r="H52" i="33" s="1"/>
  <c r="H48" i="35"/>
  <c r="C49" i="34"/>
  <c r="C50" i="34"/>
  <c r="I41" i="36"/>
  <c r="J41" i="36" s="1"/>
  <c r="R43" i="37"/>
  <c r="E42" i="37"/>
  <c r="G65" i="40"/>
  <c r="F67" i="40"/>
  <c r="C37" i="36"/>
  <c r="C36" i="36"/>
  <c r="G58" i="21"/>
  <c r="C66" i="67"/>
  <c r="C60" i="67"/>
  <c r="D10" i="69"/>
  <c r="C34" i="69"/>
  <c r="D23" i="12"/>
  <c r="D22" i="12"/>
  <c r="D16" i="68"/>
  <c r="C36" i="81"/>
  <c r="C39" i="81"/>
  <c r="C39" i="15"/>
  <c r="F29" i="81"/>
  <c r="D16" i="80"/>
  <c r="C17" i="67"/>
  <c r="C14" i="67"/>
  <c r="C16" i="80" l="1"/>
  <c r="C14" i="80" s="1"/>
  <c r="C30" i="43"/>
  <c r="F81" i="81"/>
  <c r="D17" i="80"/>
  <c r="C17" i="80" s="1"/>
  <c r="I48" i="33"/>
  <c r="I53" i="33" s="1"/>
  <c r="J53" i="33" s="1"/>
  <c r="R49" i="33"/>
  <c r="C48" i="33" s="1"/>
  <c r="C68" i="15"/>
  <c r="C28" i="15"/>
  <c r="S12" i="40"/>
  <c r="AA12" i="40"/>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H58" i="21"/>
  <c r="E47" i="37"/>
  <c r="F47" i="37" s="1"/>
  <c r="E46" i="37"/>
  <c r="F46" i="37" s="1"/>
  <c r="I47" i="37"/>
  <c r="J47" i="37" s="1"/>
  <c r="E53" i="33"/>
  <c r="F53" i="33" s="1"/>
  <c r="E52" i="33"/>
  <c r="F52" i="33" s="1"/>
  <c r="C33" i="67"/>
  <c r="J19" i="67"/>
  <c r="F16" i="12"/>
  <c r="F10" i="68"/>
  <c r="G28" i="68" s="1"/>
  <c r="C36" i="15"/>
  <c r="E6" i="76"/>
  <c r="B6" i="76"/>
  <c r="D18" i="80" l="1"/>
  <c r="C18" i="80" s="1"/>
  <c r="C49" i="33"/>
  <c r="I52" i="33"/>
  <c r="J52" i="33" s="1"/>
  <c r="G53" i="33"/>
  <c r="H53" i="33" s="1"/>
  <c r="G18" i="80"/>
  <c r="G28" i="80"/>
  <c r="G18" i="68"/>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43" i="80" l="1"/>
  <c r="C44" i="80"/>
  <c r="C40" i="80" s="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81"/>
  <c r="M21" i="67"/>
  <c r="M21" i="15"/>
  <c r="F21" i="81"/>
  <c r="F21" i="15"/>
  <c r="C56" i="80" l="1"/>
  <c r="C57" i="80" s="1"/>
  <c r="C31" i="80" s="1"/>
  <c r="C5" i="80"/>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D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2"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B3" i="80"/>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19" i="9"/>
  <c r="L60" i="81"/>
  <c r="C20" i="9"/>
  <c r="F2" i="34"/>
  <c r="F2" i="35"/>
  <c r="F2" i="37"/>
  <c r="F2" i="36"/>
  <c r="C102" i="9" l="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L55" i="81" l="1"/>
  <c r="D3" i="81" s="1"/>
  <c r="Q75" i="81"/>
  <c r="Q86" i="81" s="1"/>
  <c r="C31" i="81"/>
  <c r="C32" i="81" s="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L60" i="15"/>
  <c r="AO7" i="1"/>
  <c r="D20" i="9"/>
  <c r="J32" i="15" l="1"/>
  <c r="Q56" i="15"/>
  <c r="Q62" i="15" s="1"/>
  <c r="Q74" i="15"/>
  <c r="Q65" i="15"/>
  <c r="L66" i="15"/>
  <c r="L69" i="15" s="1"/>
  <c r="Q77" i="15"/>
  <c r="Q80" i="15"/>
  <c r="Q79" i="15" s="1"/>
  <c r="C92" i="15"/>
  <c r="C91" i="15" s="1"/>
  <c r="F33" i="15"/>
  <c r="D102" i="9"/>
  <c r="I19" i="9"/>
  <c r="B7" i="70"/>
  <c r="D103" i="9"/>
  <c r="G20" i="9"/>
  <c r="D22" i="9"/>
  <c r="G19" i="9"/>
  <c r="G22" i="9" s="1"/>
  <c r="F67" i="39"/>
  <c r="B2" i="39" s="1"/>
  <c r="C32" i="15"/>
  <c r="C55" i="15"/>
  <c r="D6" i="71"/>
  <c r="C5" i="71"/>
  <c r="D5" i="71" s="1"/>
  <c r="M24" i="43" s="1"/>
  <c r="C44" i="40"/>
  <c r="C45" i="40"/>
  <c r="E49" i="40"/>
  <c r="F49" i="40" s="1"/>
  <c r="E48" i="40"/>
  <c r="F48" i="40" s="1"/>
  <c r="I49" i="40"/>
  <c r="J49" i="40" s="1"/>
  <c r="C32" i="9" l="1"/>
  <c r="N119" i="9" s="1"/>
  <c r="I118" i="9" s="1"/>
  <c r="R24" i="31"/>
  <c r="T24" i="31"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H118" i="9" s="1"/>
  <c r="C35" i="9"/>
  <c r="M117" i="9" s="1"/>
  <c r="S24" i="31"/>
  <c r="R25" i="31"/>
  <c r="R26" i="31"/>
  <c r="B3" i="40"/>
  <c r="B4" i="40"/>
  <c r="B5" i="40"/>
  <c r="C95" i="15"/>
  <c r="C94" i="15" s="1"/>
  <c r="AO8" i="1"/>
  <c r="AO9" i="1"/>
  <c r="AO6" i="1"/>
  <c r="C34" i="9" l="1"/>
  <c r="L119" i="9" s="1"/>
  <c r="E118" i="9" s="1"/>
  <c r="M119" i="9"/>
  <c r="G118" i="9" s="1"/>
  <c r="F118" i="9" s="1"/>
  <c r="S26" i="31"/>
  <c r="T26" i="31"/>
  <c r="S25" i="31"/>
  <c r="T25" i="31"/>
  <c r="B9" i="70"/>
  <c r="B8" i="70"/>
  <c r="B6" i="70"/>
  <c r="B3" i="15"/>
  <c r="C104" i="9"/>
  <c r="H4" i="52"/>
  <c r="I4" i="52"/>
  <c r="H119" i="9"/>
  <c r="H5" i="52" s="1"/>
  <c r="H101" i="9"/>
  <c r="D5" i="53" s="1"/>
  <c r="L117" i="9" l="1"/>
  <c r="T22" i="31"/>
  <c r="T20" i="31" s="1"/>
  <c r="S22" i="31"/>
  <c r="R22" i="31" s="1"/>
  <c r="B2" i="70"/>
  <c r="B3" i="70" s="1"/>
  <c r="D45" i="9"/>
  <c r="M48" i="9"/>
  <c r="B20" i="72"/>
  <c r="D6" i="53"/>
  <c r="B22" i="72" s="1"/>
  <c r="H102" i="9"/>
  <c r="D7" i="53" s="1"/>
  <c r="B21" i="72" s="1"/>
  <c r="H107" i="9"/>
  <c r="C105" i="9"/>
  <c r="D14" i="74" l="1"/>
  <c r="G14" i="74" s="1"/>
  <c r="B6" i="74" s="1"/>
  <c r="D6" i="74" s="1"/>
  <c r="E14" i="74"/>
  <c r="F14" i="74"/>
  <c r="B5" i="74"/>
  <c r="B20" i="31"/>
  <c r="B21" i="31" s="1"/>
  <c r="H65" i="9"/>
  <c r="C64" i="9"/>
  <c r="C63" i="9" s="1"/>
  <c r="C67" i="9" s="1"/>
  <c r="C68" i="9" s="1"/>
  <c r="D52" i="9"/>
  <c r="D55" i="9"/>
  <c r="M53" i="9" s="1"/>
  <c r="D13" i="53"/>
  <c r="H122" i="9"/>
  <c r="H108" i="9"/>
  <c r="D15" i="53" s="1"/>
  <c r="B31" i="72" s="1"/>
  <c r="M49" i="9"/>
  <c r="C6" i="74" l="1"/>
  <c r="D5" i="74"/>
  <c r="C5" i="74"/>
  <c r="H64" i="9"/>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P57" i="9" l="1"/>
  <c r="N58" i="9"/>
  <c r="N60" i="9"/>
  <c r="U22" i="31" l="1"/>
  <c r="V22"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8376C17-E0CF-4D3E-A923-F77C98B83AF8}">
      <text>
        <r>
          <rPr>
            <b/>
            <sz val="9"/>
            <color indexed="81"/>
            <rFont val="宋体"/>
            <family val="3"/>
            <charset val="134"/>
          </rPr>
          <t>权重验证</t>
        </r>
        <r>
          <rPr>
            <sz val="9"/>
            <color indexed="81"/>
            <rFont val="宋体"/>
            <family val="3"/>
            <charset val="134"/>
          </rPr>
          <t xml:space="preserve">
</t>
        </r>
      </text>
    </comment>
    <comment ref="C58" authorId="1" shapeId="0" xr:uid="{367314E5-B427-4B56-B80D-7F3634908F0D}">
      <text>
        <r>
          <rPr>
            <b/>
            <sz val="12"/>
            <color indexed="81"/>
            <rFont val="宋体"/>
            <family val="3"/>
            <charset val="134"/>
          </rPr>
          <t>价值时点所在月度</t>
        </r>
        <r>
          <rPr>
            <sz val="12"/>
            <color indexed="81"/>
            <rFont val="宋体"/>
            <family val="3"/>
            <charset val="134"/>
          </rPr>
          <t xml:space="preserve">
</t>
        </r>
      </text>
    </comment>
    <comment ref="B102" authorId="1" shapeId="0" xr:uid="{A2202149-8B2C-43AB-BC5A-6591631AE5C6}">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<sst xmlns="http://schemas.openxmlformats.org/spreadsheetml/2006/main" count="9616" uniqueCount="4168">
  <si>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</si>
  <si>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</si>
  <si>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</si>
  <si>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</si>
  <si>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</si>
  <si>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</si>
  <si>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</si>
  <si>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</si>
  <si>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</si>
  <si>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</si>
  <si>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</si>
  <si>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</si>
  <si>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</si>
  <si>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</si>
  <si>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</si>
  <si>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</si>
  <si>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</si>
  <si>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</si>
  <si>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</si>
  <si>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</si>
  <si>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</si>
  <si>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</si>
  <si>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</si>
  <si>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</si>
  <si>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</si>
  <si>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</si>
  <si>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</si>
  <si>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</si>
  <si>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</si>
  <si>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</si>
  <si>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</si>
  <si>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</si>
  <si>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</si>
  <si>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</si>
  <si>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</si>
  <si>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</si>
  <si>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</si>
  <si>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</si>
  <si>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</si>
  <si>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</si>
  <si>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</si>
  <si>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</si>
  <si>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</si>
  <si>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</si>
  <si>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</si>
  <si>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</si>
  <si>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</si>
  <si>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</si>
  <si>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</si>
  <si>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</si>
  <si>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</si>
  <si>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</si>
  <si>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</si>
  <si>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</si>
  <si>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</si>
  <si>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</si>
  <si>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</si>
  <si>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</si>
  <si>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</si>
  <si>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</si>
  <si>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</si>
  <si>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</si>
  <si>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</si>
  <si>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</si>
  <si>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</si>
  <si>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</si>
  <si>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</si>
  <si>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</si>
  <si>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</si>
  <si>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</si>
  <si>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</si>
  <si>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</si>
  <si>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</si>
  <si>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</si>
  <si>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</si>
  <si>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</si>
  <si>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</si>
  <si>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</si>
  <si>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</si>
  <si>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</si>
  <si>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</si>
  <si>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</si>
  <si>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</si>
  <si>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</si>
  <si>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</si>
  <si>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</si>
  <si>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</si>
  <si>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</si>
  <si>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</si>
  <si>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</si>
  <si>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</si>
  <si>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</si>
  <si>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</si>
  <si>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</si>
  <si>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</si>
  <si>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</si>
  <si>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</si>
  <si>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</si>
  <si>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</si>
  <si>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</si>
  <si>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</si>
  <si>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</si>
  <si>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</si>
  <si>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</si>
  <si>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</si>
  <si>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</si>
  <si>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</si>
  <si>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</si>
  <si>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</si>
  <si>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</si>
  <si>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</si>
  <si>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</si>
  <si>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</si>
  <si>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</si>
  <si>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</si>
  <si>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</si>
  <si>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</si>
  <si>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</si>
  <si>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</si>
  <si>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</si>
  <si>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</si>
  <si>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</si>
  <si>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</si>
  <si>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</si>
  <si>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</si>
  <si>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</si>
  <si>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</si>
  <si>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</si>
  <si>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</si>
  <si>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</si>
  <si>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</si>
  <si>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</si>
  <si>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</si>
  <si>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</si>
  <si>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</si>
  <si>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</si>
  <si>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</si>
  <si>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</si>
  <si>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</si>
  <si>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</si>
  <si>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</si>
  <si>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</si>
  <si>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</si>
  <si>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</si>
  <si>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</si>
  <si>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</si>
  <si>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</si>
  <si>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</si>
  <si>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</si>
  <si>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</si>
  <si>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</si>
  <si>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</si>
  <si>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</si>
  <si>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</si>
  <si>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</si>
  <si>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</si>
  <si>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</si>
  <si>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</si>
  <si>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</si>
  <si>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</si>
  <si>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</si>
  <si>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</si>
  <si>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</si>
  <si>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</si>
  <si>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</si>
  <si>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</si>
  <si>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</si>
  <si>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</si>
  <si>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</si>
  <si>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</si>
  <si>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</si>
  <si>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</si>
  <si>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</si>
  <si>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</si>
  <si>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</si>
  <si>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</si>
  <si>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</si>
  <si>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</si>
  <si>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</si>
  <si>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</si>
  <si>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</si>
  <si>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</si>
  <si>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</si>
  <si>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</si>
  <si>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</si>
  <si>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</si>
  <si>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</si>
  <si>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</si>
  <si>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</si>
  <si>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</si>
  <si>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</si>
  <si>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</si>
  <si>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</si>
  <si>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</si>
  <si>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</si>
  <si>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</si>
  <si>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</si>
  <si>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</si>
  <si>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</si>
  <si>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</si>
  <si>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</si>
  <si>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</si>
  <si>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</si>
  <si>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</si>
  <si>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</si>
  <si>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</si>
  <si>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</si>
  <si>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</si>
  <si>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</si>
  <si>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</si>
  <si>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</si>
  <si>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</si>
  <si>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</si>
  <si>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</si>
  <si>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</si>
  <si>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</si>
  <si>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</si>
  <si>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</si>
  <si>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</si>
  <si>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</si>
  <si>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</si>
  <si>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</si>
  <si>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</si>
  <si>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</si>
  <si>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</si>
  <si>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</si>
  <si>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</si>
  <si>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</si>
  <si>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</si>
  <si>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</si>
  <si>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</si>
  <si>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</si>
  <si>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</si>
  <si>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</si>
  <si>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</si>
  <si>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</si>
  <si>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</si>
  <si>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</si>
  <si>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</si>
  <si>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</si>
  <si>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</si>
  <si>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</si>
  <si>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</si>
  <si>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</si>
  <si>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</si>
  <si>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</si>
  <si>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</si>
  <si>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</si>
  <si>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</si>
  <si>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</si>
  <si>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</si>
  <si>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</si>
  <si>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</si>
  <si>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</si>
  <si>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</si>
  <si>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</si>
  <si>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</si>
  <si>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</si>
  <si>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</si>
  <si>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</si>
  <si>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</si>
  <si>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</si>
  <si>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</si>
  <si>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</si>
  <si>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</si>
  <si>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</si>
  <si>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</si>
  <si>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</si>
  <si>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</si>
  <si>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</si>
  <si>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</si>
  <si>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</si>
  <si>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</si>
  <si>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</si>
  <si>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</si>
  <si>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</si>
  <si>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</si>
  <si>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</si>
  <si>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</si>
  <si>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</si>
  <si>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</si>
  <si>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</si>
  <si>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</si>
  <si>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</si>
  <si>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</si>
  <si>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</si>
  <si>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</si>
  <si>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</si>
  <si>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</si>
  <si>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</si>
  <si>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</si>
  <si>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</si>
  <si>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</si>
  <si>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</si>
  <si>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</si>
  <si>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</si>
  <si>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</si>
  <si>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</si>
  <si>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</si>
  <si>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</si>
  <si>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</si>
  <si>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</si>
  <si>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</si>
  <si>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</si>
  <si>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</si>
  <si>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</si>
  <si>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</si>
  <si>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</si>
  <si>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</si>
  <si>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</si>
  <si>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</si>
  <si>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</si>
  <si>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</si>
  <si>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</si>
  <si>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</si>
  <si>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</si>
  <si>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</si>
  <si>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</si>
  <si>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</si>
  <si>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</si>
  <si>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</si>
  <si>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</si>
  <si>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</si>
  <si>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</si>
  <si>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</si>
  <si>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</si>
  <si>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</si>
  <si>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</si>
  <si>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</si>
  <si>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</si>
  <si>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</si>
  <si>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</si>
  <si>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</si>
  <si>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</si>
  <si>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</si>
  <si>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</si>
  <si>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</si>
  <si>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</si>
  <si>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</si>
  <si>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</si>
  <si>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</si>
  <si>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</si>
  <si>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</si>
  <si>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</si>
  <si>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</si>
  <si>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</si>
  <si>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</si>
  <si>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</si>
  <si>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</si>
  <si>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</si>
  <si>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</si>
  <si>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</si>
  <si>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</si>
  <si>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</si>
  <si>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</si>
  <si>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</si>
  <si>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</si>
  <si>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</si>
  <si>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</si>
  <si>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</si>
  <si>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</si>
  <si>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</si>
  <si>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</si>
  <si>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</si>
  <si>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</si>
  <si>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</si>
  <si>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</si>
  <si>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</si>
  <si>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</si>
  <si>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</si>
  <si>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</si>
  <si>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</si>
  <si>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</si>
  <si>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</si>
  <si>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</si>
  <si>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</si>
  <si>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</si>
  <si>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</si>
  <si>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</si>
  <si>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</si>
  <si>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</si>
  <si>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</si>
  <si>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</si>
  <si>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</si>
  <si>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</si>
  <si>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</si>
  <si>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</si>
  <si>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</si>
  <si>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</si>
  <si>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</si>
  <si>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</si>
  <si>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</si>
  <si>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</si>
  <si>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</si>
  <si>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</si>
  <si>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</si>
  <si>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</si>
  <si>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</si>
  <si>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</si>
  <si>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</si>
  <si>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</si>
  <si>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</si>
  <si>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</si>
  <si>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</si>
  <si>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</si>
  <si>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</si>
  <si>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</si>
  <si>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</si>
  <si>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</si>
  <si>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</si>
  <si>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</si>
  <si>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</si>
  <si>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</si>
  <si>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</si>
  <si>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</si>
  <si>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</si>
  <si>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</si>
  <si>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</si>
  <si>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</si>
  <si>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</si>
  <si>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</si>
  <si>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</si>
  <si>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</si>
  <si>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</si>
  <si>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</si>
  <si>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</si>
  <si>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</si>
  <si>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</si>
  <si>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</si>
  <si>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</si>
  <si>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</si>
  <si>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</si>
  <si>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</si>
  <si>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</si>
  <si>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</si>
  <si>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</si>
  <si>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</si>
  <si>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</si>
  <si>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</si>
  <si>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</si>
  <si>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</si>
  <si>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</si>
  <si>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</si>
  <si>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</si>
  <si>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</si>
  <si>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</si>
  <si>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</si>
  <si>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</si>
  <si>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</si>
  <si>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</si>
  <si>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</si>
  <si>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</si>
  <si>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</si>
  <si>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</si>
  <si>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</si>
  <si>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</si>
  <si>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</si>
  <si>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</si>
  <si>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</si>
  <si>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</si>
  <si>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</si>
  <si>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</si>
  <si>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</si>
  <si>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</si>
  <si>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</si>
  <si>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</si>
  <si>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</si>
  <si>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</si>
  <si>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</si>
  <si>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</si>
  <si>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</si>
  <si>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</si>
  <si>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</si>
  <si>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</si>
  <si>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</si>
  <si>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</si>
  <si>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</si>
  <si>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</si>
  <si>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</si>
  <si>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</si>
  <si>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</si>
  <si>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</si>
  <si>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</si>
  <si>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</si>
  <si>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</si>
  <si>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</si>
  <si>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</si>
  <si>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</si>
  <si>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</si>
  <si>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</si>
  <si>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</si>
  <si>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</si>
  <si>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</si>
  <si>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</si>
  <si>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</si>
  <si>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</si>
  <si>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</si>
  <si>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</si>
  <si>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</si>
  <si>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</si>
  <si>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</si>
  <si>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</si>
  <si>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</si>
  <si>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</si>
  <si>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</si>
  <si>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</si>
  <si>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</si>
  <si>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</si>
  <si>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</si>
  <si>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</si>
  <si>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</si>
  <si>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</si>
  <si>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</si>
  <si>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</si>
  <si>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</si>
  <si>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</si>
  <si>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</si>
  <si>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</si>
  <si>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</si>
  <si>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</si>
  <si>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</si>
  <si>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</si>
  <si>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</si>
  <si>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</si>
  <si>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</si>
  <si>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</si>
  <si>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</si>
  <si>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</si>
  <si>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</si>
  <si>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</si>
  <si>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</si>
  <si>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</si>
  <si>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</si>
  <si>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</si>
  <si>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</si>
  <si>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</si>
  <si>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</si>
  <si>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</si>
  <si>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</si>
  <si>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</si>
  <si>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</si>
  <si>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</si>
  <si>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</si>
  <si>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</si>
  <si>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</si>
  <si>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</si>
  <si>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</si>
  <si>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</si>
  <si>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</si>
  <si>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</si>
  <si>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</si>
  <si>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</si>
  <si>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</si>
  <si>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</si>
  <si>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</si>
  <si>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</si>
  <si>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</si>
  <si>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</si>
  <si>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</si>
  <si>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</si>
  <si>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</si>
  <si>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</si>
  <si>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</si>
  <si>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</si>
  <si>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</si>
  <si>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</si>
  <si>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</si>
  <si>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</si>
  <si>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</si>
  <si>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</si>
  <si>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</si>
  <si>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</si>
  <si>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</si>
  <si>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</si>
  <si>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</si>
  <si>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</si>
  <si>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</si>
  <si>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</si>
  <si>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</si>
  <si>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</si>
  <si>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</si>
  <si>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</si>
  <si>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</si>
  <si>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</si>
  <si>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</si>
  <si>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</si>
  <si>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</si>
  <si>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</si>
  <si>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</si>
  <si>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</si>
  <si>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</si>
  <si>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</si>
  <si>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</si>
  <si>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</si>
  <si>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</si>
  <si>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</si>
  <si>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</si>
  <si>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</si>
  <si>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</si>
  <si>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</si>
  <si>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</si>
  <si>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</si>
  <si>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</si>
  <si>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</si>
  <si>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</si>
  <si>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</si>
  <si>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</si>
  <si>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</si>
  <si>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</si>
  <si>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</si>
  <si>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</si>
  <si>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</si>
  <si>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</si>
  <si>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</si>
  <si>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</si>
  <si>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</si>
  <si>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</si>
  <si>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</si>
  <si>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</si>
  <si>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</si>
  <si>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</si>
  <si>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</si>
  <si>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</si>
  <si>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</si>
  <si>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</si>
  <si>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</si>
  <si>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</si>
  <si>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</si>
  <si>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</si>
  <si>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</si>
  <si>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</si>
  <si>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</si>
  <si>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</si>
  <si>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</si>
  <si>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</si>
  <si>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</si>
  <si>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</si>
  <si>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</si>
  <si>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</si>
  <si>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</si>
  <si>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</si>
  <si>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</si>
  <si>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</si>
  <si>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</si>
  <si>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</si>
  <si>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</si>
  <si>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</si>
  <si>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</si>
  <si>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</si>
  <si>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</si>
  <si>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</si>
  <si>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</si>
  <si>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</si>
  <si>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</si>
  <si>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</si>
  <si>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</si>
  <si>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</si>
  <si>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</si>
  <si>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</si>
  <si>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</si>
  <si>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</si>
  <si>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</si>
  <si>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</si>
  <si>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</si>
  <si>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</si>
  <si>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</si>
  <si>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</si>
  <si>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</si>
  <si>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</si>
  <si>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</si>
  <si>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</si>
  <si>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</si>
  <si>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</si>
  <si>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</si>
  <si>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</si>
  <si>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</si>
  <si>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</si>
  <si>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</si>
  <si>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</si>
  <si>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</si>
  <si>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</si>
  <si>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</si>
  <si>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</si>
  <si>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</si>
  <si>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</si>
  <si>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</si>
  <si>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</si>
  <si>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</si>
  <si>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</si>
  <si>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</si>
  <si>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</si>
  <si>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</si>
  <si>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</si>
  <si>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</si>
  <si>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</si>
  <si>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</si>
  <si>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</si>
  <si>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</si>
  <si>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</si>
  <si>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</si>
  <si>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</si>
  <si>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</si>
  <si>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</si>
  <si>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</si>
  <si>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</si>
  <si>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</si>
  <si>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</si>
  <si>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</si>
  <si>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</si>
  <si>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</si>
  <si>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</si>
  <si>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</si>
  <si>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</si>
  <si>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</si>
  <si>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</si>
  <si>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</si>
  <si>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</si>
  <si>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</si>
  <si>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</si>
  <si>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</si>
  <si>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</si>
  <si>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</si>
  <si>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</si>
  <si>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</si>
  <si>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</si>
  <si>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</si>
  <si>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</si>
  <si>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</si>
  <si>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</si>
  <si>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</si>
  <si>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</si>
  <si>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</si>
  <si>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</si>
  <si>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</si>
  <si>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</si>
  <si>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</si>
  <si>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</si>
  <si>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</si>
  <si>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</si>
  <si>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</si>
  <si>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</si>
  <si>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</si>
  <si>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</si>
  <si>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</si>
  <si>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</si>
  <si>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</si>
  <si>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</si>
  <si>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</si>
  <si>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</si>
  <si>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</si>
  <si>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</si>
  <si>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</si>
  <si>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</si>
  <si>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</si>
  <si>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</si>
  <si>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</si>
  <si>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</si>
  <si>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</si>
  <si>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</si>
  <si>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</si>
  <si>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</si>
  <si>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</si>
  <si>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</si>
  <si>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</si>
  <si>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</si>
  <si>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</si>
  <si>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</si>
  <si>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</si>
  <si>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</si>
  <si>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</si>
  <si>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</si>
  <si>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</si>
  <si>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</si>
  <si>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</si>
  <si>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</si>
  <si>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</si>
  <si>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</si>
  <si>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</si>
  <si>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</si>
  <si>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</si>
  <si>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</si>
  <si>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</si>
  <si>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</si>
  <si>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</si>
  <si>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</si>
  <si>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</si>
  <si>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</si>
  <si>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</si>
  <si>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</si>
  <si>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</si>
  <si>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</si>
  <si>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</si>
  <si>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</si>
  <si>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</si>
  <si>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</si>
  <si>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</si>
  <si>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</si>
  <si>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</si>
  <si>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</si>
  <si>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</si>
  <si>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</si>
  <si>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</si>
  <si>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</si>
  <si>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</si>
  <si>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</si>
  <si>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</si>
  <si>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</si>
  <si>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</si>
  <si>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</si>
  <si>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</si>
  <si>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</si>
  <si>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</si>
  <si>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</si>
  <si>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</si>
  <si>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</si>
  <si>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</si>
  <si>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</si>
  <si>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</si>
  <si>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</si>
  <si>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</si>
  <si>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</si>
  <si>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</si>
  <si>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</si>
  <si>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</si>
  <si>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</si>
  <si>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</si>
  <si>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</si>
  <si>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</si>
  <si>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</si>
  <si>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</si>
  <si>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</si>
  <si>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</si>
  <si>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</si>
  <si>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</si>
  <si>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</si>
  <si>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</si>
  <si>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</si>
  <si>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</si>
  <si>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</si>
  <si>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</si>
  <si>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</si>
  <si>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</si>
  <si>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</si>
  <si>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</si>
  <si>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</si>
  <si>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</si>
  <si>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</si>
  <si>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</si>
  <si>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</si>
  <si>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</si>
  <si>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</si>
  <si>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</si>
  <si>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</si>
  <si>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</si>
  <si>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</si>
  <si>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</si>
  <si>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</si>
  <si>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</si>
  <si>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</si>
  <si>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</si>
  <si>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</si>
  <si>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</si>
  <si>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</si>
  <si>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</si>
  <si>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</si>
  <si>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</si>
  <si>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</si>
  <si>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</si>
  <si>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</si>
  <si>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</si>
  <si>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</si>
  <si>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</si>
  <si>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</si>
  <si>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</si>
  <si>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</si>
  <si>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</si>
  <si>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</si>
  <si>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</si>
  <si>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</si>
  <si>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</si>
  <si>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</si>
  <si>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</si>
  <si>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</si>
  <si>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</si>
  <si>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</si>
  <si>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</si>
  <si>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</si>
  <si>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</si>
  <si>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</si>
  <si>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</si>
  <si>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</si>
  <si>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</si>
  <si>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</si>
  <si>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</si>
  <si>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</si>
  <si>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</si>
  <si>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</si>
  <si>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</si>
  <si>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</si>
  <si>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</si>
  <si>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</si>
  <si>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</si>
  <si>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</si>
  <si>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</si>
  <si>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</si>
  <si>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</si>
  <si>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</si>
  <si>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</si>
  <si>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</si>
  <si>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</si>
  <si>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</si>
  <si>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</si>
  <si>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</si>
  <si>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</si>
  <si>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</si>
  <si>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</si>
  <si>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</si>
  <si>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</si>
  <si>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</si>
  <si>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</si>
  <si>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</si>
  <si>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</si>
  <si>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</si>
  <si>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</si>
  <si>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</si>
  <si>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</si>
  <si>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</si>
  <si>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</si>
  <si>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</si>
  <si>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</si>
  <si>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</si>
  <si>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</si>
  <si>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</si>
  <si>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</si>
  <si>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</si>
  <si>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</si>
  <si>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</si>
  <si>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</si>
  <si>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</si>
  <si>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</si>
  <si>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</si>
  <si>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</si>
  <si>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</si>
  <si>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</si>
  <si>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</si>
  <si>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</si>
  <si>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</si>
  <si>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</si>
  <si>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</si>
  <si>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</si>
  <si>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</si>
  <si>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</si>
  <si>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</si>
  <si>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</si>
  <si>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</si>
  <si>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</si>
  <si>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</si>
  <si>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</si>
  <si>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</si>
  <si>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</si>
  <si>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</si>
  <si>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</si>
  <si>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</si>
  <si>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</si>
  <si>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</si>
  <si>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</si>
  <si>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</si>
  <si>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</si>
  <si>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</si>
  <si>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</si>
  <si>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</si>
  <si>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</si>
  <si>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</si>
  <si>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</si>
  <si>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</si>
  <si>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</si>
  <si>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</si>
  <si>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</si>
  <si>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</si>
  <si>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</si>
  <si>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</si>
  <si>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</si>
  <si>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</si>
  <si>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</si>
  <si>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</si>
  <si>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</si>
  <si>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</si>
  <si>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</si>
  <si>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</si>
  <si>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</si>
  <si>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</si>
  <si>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</si>
  <si>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</si>
  <si>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</si>
  <si>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</si>
  <si>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</si>
  <si>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</si>
  <si>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</si>
  <si>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</si>
  <si>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</si>
  <si>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</si>
  <si>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</si>
  <si>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</si>
  <si>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</si>
  <si>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</si>
  <si>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</si>
  <si>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</si>
  <si>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</si>
  <si>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</si>
  <si>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</si>
  <si>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</si>
  <si>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</si>
  <si>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</si>
  <si>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</si>
  <si>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</si>
  <si>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</si>
  <si>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</si>
  <si>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</si>
  <si>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</si>
  <si>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</si>
  <si>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</si>
  <si>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</si>
  <si>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</si>
  <si>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</si>
  <si>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</si>
  <si>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</si>
  <si>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</si>
  <si>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</si>
  <si>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</si>
  <si>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</si>
  <si>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</si>
  <si>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</si>
  <si>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</si>
  <si>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</si>
  <si>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</si>
  <si>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</si>
  <si>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</si>
  <si>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</si>
  <si>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</si>
  <si>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</si>
  <si>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</si>
  <si>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</si>
  <si>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</si>
  <si>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</si>
  <si>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</si>
  <si>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</si>
  <si>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</si>
  <si>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</si>
  <si>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</si>
  <si>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</si>
  <si>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</si>
  <si>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</si>
  <si>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</si>
  <si>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</si>
  <si>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</si>
  <si>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</si>
  <si>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</si>
  <si>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</si>
  <si>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</si>
  <si>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</si>
  <si>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</si>
  <si>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</si>
  <si>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</si>
  <si>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</si>
  <si>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</si>
  <si>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</si>
  <si>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</si>
  <si>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</si>
  <si>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</si>
  <si>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</si>
  <si>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</si>
  <si>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</si>
  <si>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</si>
  <si>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</si>
  <si>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</si>
  <si>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</si>
  <si>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</si>
  <si>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</si>
  <si>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</si>
  <si>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</si>
  <si>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</si>
  <si>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</si>
  <si>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</si>
  <si>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</si>
  <si>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</si>
  <si>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</si>
  <si>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</si>
  <si>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</si>
  <si>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</si>
  <si>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</si>
  <si>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</si>
  <si>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</si>
  <si>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</si>
  <si>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</si>
  <si>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</si>
  <si>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</si>
  <si>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</si>
  <si>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</si>
  <si>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</si>
  <si>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</si>
  <si>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</si>
  <si>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</si>
  <si>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</si>
  <si>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</si>
  <si>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</si>
  <si>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</si>
  <si>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</si>
  <si>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</si>
  <si>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</si>
  <si>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</si>
  <si>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</si>
  <si>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</si>
  <si>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</si>
  <si>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</si>
  <si>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</si>
  <si>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</si>
  <si>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</si>
  <si>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</si>
  <si>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</si>
  <si>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</si>
  <si>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</si>
  <si>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</si>
  <si>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</si>
  <si>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</si>
  <si>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</si>
  <si>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</si>
  <si>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</si>
  <si>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</si>
  <si>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</si>
  <si>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</si>
  <si>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</si>
  <si>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</si>
  <si>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</si>
  <si>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</si>
  <si>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</si>
  <si>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</si>
  <si>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</si>
  <si>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</si>
  <si>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</si>
  <si>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</si>
  <si>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</si>
  <si>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</si>
  <si>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</si>
  <si>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</si>
  <si>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</si>
  <si>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</si>
  <si>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</si>
  <si>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</si>
  <si>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</si>
  <si>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</si>
  <si>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</si>
  <si>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</si>
  <si>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</si>
  <si>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</si>
  <si>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</si>
  <si>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</si>
  <si>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</si>
  <si>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</si>
  <si>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</si>
  <si>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</si>
  <si>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</si>
  <si>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</si>
  <si>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</si>
  <si>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</si>
  <si>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</si>
  <si>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</si>
  <si>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</si>
  <si>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</si>
  <si>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</si>
  <si>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</si>
  <si>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</si>
  <si>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</si>
  <si>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</si>
  <si>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</si>
  <si>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</si>
  <si>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</si>
  <si>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</si>
  <si>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</si>
  <si>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</si>
  <si>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</si>
  <si>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</si>
  <si>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</si>
  <si>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</si>
  <si>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</si>
  <si>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</si>
  <si>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</si>
  <si>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</si>
  <si>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</si>
  <si>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</si>
  <si>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</si>
  <si>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</si>
  <si>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</si>
  <si>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</si>
  <si>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</si>
  <si>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</si>
  <si>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</si>
  <si>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</si>
  <si>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</si>
  <si>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</si>
  <si>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</si>
  <si>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</si>
  <si>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</si>
  <si>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</si>
  <si>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</si>
  <si>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</si>
  <si>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</si>
  <si>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</si>
  <si>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</si>
  <si>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</si>
  <si>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</si>
  <si>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</si>
  <si>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</si>
  <si>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</si>
  <si>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</si>
  <si>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</si>
  <si>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</si>
  <si>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</si>
  <si>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</si>
  <si>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</si>
  <si>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</si>
  <si>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</si>
  <si>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</si>
  <si>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</si>
  <si>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</si>
  <si>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</si>
  <si>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</si>
  <si>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</si>
  <si>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</si>
  <si>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</si>
  <si>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</si>
  <si>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</si>
  <si>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</si>
  <si>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</si>
  <si>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</si>
  <si>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</si>
  <si>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</si>
  <si>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</si>
  <si>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</si>
  <si>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</si>
  <si>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</si>
  <si>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</si>
  <si>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</si>
  <si>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</si>
  <si>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</si>
  <si>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</si>
  <si>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</si>
  <si>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</si>
  <si>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</si>
  <si>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</si>
  <si>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</si>
  <si>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</si>
  <si>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</si>
  <si>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</si>
  <si>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</si>
  <si>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</si>
  <si>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</si>
  <si>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</si>
  <si>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</si>
  <si>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</si>
  <si>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</si>
  <si>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</si>
  <si>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</si>
  <si>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</si>
  <si>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</si>
  <si>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</si>
  <si>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</si>
  <si>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</si>
  <si>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</si>
  <si>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</si>
  <si>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</si>
  <si>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</si>
  <si>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</si>
  <si>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</si>
  <si>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</si>
  <si>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</si>
  <si>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</si>
  <si>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</si>
  <si>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</si>
  <si>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</si>
  <si>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</si>
  <si>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</si>
  <si>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</si>
  <si>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</si>
  <si>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</si>
  <si>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</si>
  <si>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</si>
  <si>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</si>
  <si>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</si>
  <si>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</si>
  <si>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</si>
  <si>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</si>
  <si>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</si>
  <si>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</si>
  <si>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</si>
  <si>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</si>
  <si>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</si>
  <si>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</si>
  <si>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</si>
  <si>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</si>
  <si>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</si>
  <si>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</si>
  <si>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</si>
  <si>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</si>
  <si>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</si>
  <si>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</si>
  <si>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</si>
  <si>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</si>
  <si>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</si>
  <si>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</si>
  <si>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</si>
  <si>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</si>
  <si>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</si>
  <si>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</si>
  <si>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</si>
  <si>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</si>
  <si>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</si>
  <si>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</si>
  <si>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</si>
  <si>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</si>
  <si>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</si>
  <si>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</si>
  <si>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</si>
  <si>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</si>
  <si>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</si>
  <si>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</si>
  <si>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</si>
  <si>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</si>
  <si>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</si>
  <si>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</si>
  <si>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</si>
  <si>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</si>
  <si>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</si>
  <si>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</si>
  <si>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</si>
  <si>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</si>
  <si>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</si>
  <si>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</si>
  <si>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</si>
  <si>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</si>
  <si>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</si>
  <si>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</si>
  <si>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</si>
  <si>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</si>
  <si>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</si>
  <si>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</si>
  <si>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</si>
  <si>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</si>
  <si>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</si>
  <si>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</si>
  <si>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</si>
  <si>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</si>
  <si>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</si>
  <si>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</si>
  <si>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</si>
  <si>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</si>
  <si>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</si>
  <si>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</si>
  <si>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</si>
  <si>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</si>
  <si>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</si>
  <si>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</si>
  <si>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</si>
  <si>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</si>
  <si>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</si>
  <si>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</si>
  <si>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</si>
  <si>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</si>
  <si>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</si>
  <si>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</si>
  <si>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</si>
  <si>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</si>
  <si>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</si>
  <si>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</si>
  <si>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</si>
  <si>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</si>
  <si>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</si>
  <si>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</si>
  <si>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</si>
  <si>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</si>
  <si>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</si>
  <si>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</si>
  <si>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</si>
  <si>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</si>
  <si>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</si>
  <si>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</si>
  <si>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</si>
  <si>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</si>
  <si>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</si>
  <si>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</si>
  <si>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</si>
  <si>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</si>
  <si>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</si>
  <si>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</si>
  <si>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</si>
  <si>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</si>
  <si>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</si>
  <si>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</si>
  <si>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</si>
  <si>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</si>
  <si>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</si>
  <si>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</si>
  <si>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</si>
  <si>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</si>
  <si>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</si>
  <si>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</si>
  <si>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</si>
  <si>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</si>
  <si>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</si>
  <si>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</si>
  <si>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</si>
  <si>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</si>
  <si>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</si>
  <si>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</si>
  <si>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</si>
  <si>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</si>
  <si>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</si>
  <si>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</si>
  <si>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</si>
  <si>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</si>
  <si>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</si>
  <si>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</si>
  <si>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</si>
  <si>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</si>
  <si>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</si>
  <si>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</si>
  <si>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</si>
  <si>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</si>
  <si>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</si>
  <si>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</si>
  <si>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</si>
  <si>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</si>
  <si>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</si>
  <si>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</si>
  <si>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</si>
  <si>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</si>
  <si>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</si>
  <si>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</si>
  <si>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</si>
  <si>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</si>
  <si>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</si>
  <si>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</si>
  <si>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</si>
  <si>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</si>
  <si>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</si>
  <si>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</si>
  <si>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</si>
  <si>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</si>
  <si>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</si>
  <si>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</si>
  <si>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</si>
  <si>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</si>
  <si>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</si>
  <si>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</si>
  <si>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</si>
  <si>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</si>
  <si>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</si>
  <si>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</si>
  <si>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</si>
  <si>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</si>
  <si>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</si>
  <si>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</si>
  <si>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</si>
  <si>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</si>
  <si>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</si>
  <si>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</si>
  <si>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</si>
  <si>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</si>
  <si>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</si>
  <si>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</si>
  <si>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</si>
  <si>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</si>
  <si>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</si>
  <si>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</si>
  <si>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</si>
  <si>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</si>
  <si>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</si>
  <si>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</si>
  <si>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</si>
  <si>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</si>
  <si>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</si>
  <si>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</si>
  <si>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</si>
  <si>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</si>
  <si>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</si>
  <si>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</si>
  <si>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</si>
  <si>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</si>
  <si>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</si>
  <si>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</si>
  <si>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</si>
  <si>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</si>
  <si>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</si>
  <si>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</si>
  <si>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</si>
  <si>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</si>
  <si>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</si>
  <si>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</si>
  <si>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</si>
  <si>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</si>
  <si>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</si>
  <si>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</si>
  <si>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</si>
  <si>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</si>
  <si>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</si>
  <si>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</si>
  <si>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</si>
  <si>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</si>
  <si>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</si>
  <si>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</si>
  <si>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</si>
  <si>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</si>
  <si>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</si>
  <si>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</si>
  <si>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</si>
  <si>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</si>
  <si>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</si>
  <si>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</si>
  <si>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</si>
  <si>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</si>
  <si>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</si>
  <si>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</si>
  <si>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</si>
  <si>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</si>
  <si>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</si>
  <si>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</si>
  <si>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</si>
  <si>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</si>
  <si>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</si>
  <si>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</si>
  <si>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</si>
  <si>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</si>
  <si>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</si>
  <si>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</si>
  <si>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</si>
  <si>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</si>
  <si>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</si>
  <si>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</si>
  <si>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</si>
  <si>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</si>
  <si>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</si>
  <si>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</si>
  <si>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</si>
  <si>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</si>
  <si>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</si>
  <si>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</si>
  <si>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</si>
  <si>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</si>
  <si>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</si>
  <si>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</si>
  <si>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</si>
  <si>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</si>
  <si>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</si>
  <si>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</si>
  <si>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</si>
  <si>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</si>
  <si>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</si>
  <si>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</si>
  <si>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</si>
  <si>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</si>
  <si>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</si>
  <si>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</si>
  <si>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</si>
  <si>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</si>
  <si>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</si>
  <si>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</si>
  <si>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</si>
  <si>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</si>
  <si>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</si>
  <si>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</si>
  <si>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</si>
  <si>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</si>
  <si>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</si>
  <si>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</si>
  <si>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</si>
  <si>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</si>
  <si>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</si>
  <si>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</si>
  <si>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</si>
  <si>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</si>
  <si>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</si>
  <si>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</si>
  <si>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</si>
  <si>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</si>
  <si>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</si>
  <si>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</si>
  <si>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</si>
  <si>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</si>
  <si>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</si>
  <si>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</si>
  <si>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</si>
  <si>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</si>
  <si>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</si>
  <si>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</si>
  <si>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</si>
  <si>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</si>
  <si>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</si>
  <si>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</si>
  <si>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</si>
  <si>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</si>
  <si>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</si>
  <si>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</si>
  <si>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</si>
  <si>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</si>
  <si>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</si>
  <si>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</si>
  <si>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</si>
  <si>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</si>
  <si>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</si>
  <si>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</si>
  <si>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</si>
  <si>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</si>
  <si>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</si>
  <si>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</si>
  <si>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</si>
  <si>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</si>
  <si>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</si>
  <si>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</si>
  <si>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</si>
  <si>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</si>
  <si>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</si>
  <si>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</si>
  <si>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</si>
  <si>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</si>
  <si>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</si>
  <si>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</si>
  <si>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</si>
  <si>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</si>
  <si>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</si>
  <si>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</si>
  <si>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</si>
  <si>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</si>
  <si>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</si>
  <si>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</si>
  <si>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</si>
  <si>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</si>
  <si>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</si>
  <si>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</si>
  <si>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</si>
  <si>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</si>
  <si>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</si>
  <si>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</si>
  <si>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</si>
  <si>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</si>
  <si>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</si>
  <si>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</si>
  <si>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</si>
  <si>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</si>
  <si>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</si>
  <si>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</si>
  <si>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</si>
  <si>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</si>
  <si>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</si>
  <si>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</si>
  <si>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</si>
  <si>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</si>
  <si>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</si>
  <si>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</si>
  <si>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</si>
  <si>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</si>
  <si>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</si>
  <si>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</si>
  <si>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</si>
  <si>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</si>
  <si>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</si>
  <si>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</si>
  <si>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</si>
  <si>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</si>
  <si>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</si>
  <si>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</si>
  <si>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</si>
  <si>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</si>
  <si>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</si>
  <si>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</si>
  <si>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</si>
  <si>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</si>
  <si>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</si>
  <si>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</si>
  <si>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</si>
  <si>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</si>
  <si>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</si>
  <si>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</si>
  <si>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</si>
  <si>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</si>
  <si>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</si>
  <si>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</si>
  <si>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</si>
  <si>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</si>
  <si>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</si>
  <si>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</si>
  <si>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</si>
  <si>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</si>
  <si>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</si>
  <si>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</si>
  <si>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</si>
  <si>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</si>
  <si>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</si>
  <si>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</si>
  <si>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</si>
  <si>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</si>
  <si>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</si>
  <si>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</si>
  <si>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</si>
  <si>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</si>
  <si>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</si>
  <si>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</si>
  <si>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</si>
  <si>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</si>
  <si>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</si>
  <si>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</si>
  <si>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</si>
  <si>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</si>
  <si>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</si>
  <si>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</si>
  <si>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</si>
  <si>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</si>
  <si>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</si>
  <si>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</si>
  <si>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</si>
  <si>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</si>
  <si>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</si>
  <si>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</si>
  <si>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</si>
  <si>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</si>
  <si>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</si>
  <si>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</si>
  <si>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</si>
  <si>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</si>
  <si>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</si>
  <si>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</si>
  <si>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</si>
  <si>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</si>
  <si>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</si>
  <si>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</si>
  <si>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</si>
  <si>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</si>
  <si>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</si>
  <si>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</si>
  <si>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</si>
  <si>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</si>
  <si>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</si>
  <si>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</si>
  <si>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</si>
  <si>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</si>
  <si>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</si>
  <si>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</si>
  <si>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</si>
  <si>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</si>
  <si>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</si>
  <si>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</si>
  <si>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</si>
  <si>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</si>
  <si>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</si>
  <si>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</si>
  <si>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</si>
  <si>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</si>
  <si>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</si>
  <si>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</si>
  <si>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</si>
  <si>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</si>
  <si>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</si>
  <si>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</si>
  <si>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</si>
  <si>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</si>
  <si>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</si>
  <si>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</si>
  <si>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</si>
  <si>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</si>
  <si>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</si>
  <si>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</si>
  <si>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</si>
  <si>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</si>
  <si>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</si>
  <si>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</si>
  <si>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</si>
  <si>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</si>
  <si>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</si>
  <si>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</si>
  <si>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</si>
  <si>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</si>
  <si>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</si>
  <si>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</si>
  <si>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</si>
  <si>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</si>
  <si>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</si>
  <si>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</si>
  <si>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</si>
  <si>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</si>
  <si>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</si>
  <si>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</si>
  <si>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</si>
  <si>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</si>
  <si>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</si>
  <si>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</si>
  <si>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</si>
  <si>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</si>
  <si>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</si>
  <si>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</si>
  <si>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</si>
  <si>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</si>
  <si>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</si>
  <si>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</si>
  <si>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</si>
  <si>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</si>
  <si>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</si>
  <si>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</si>
  <si>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</si>
  <si>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</si>
  <si>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</si>
  <si>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</si>
  <si>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</si>
  <si>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</si>
  <si>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</si>
  <si>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</si>
  <si>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</si>
  <si>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</si>
  <si>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</si>
  <si>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</si>
  <si>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</si>
  <si>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</si>
  <si>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</si>
  <si>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</si>
  <si>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</si>
  <si>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</si>
  <si>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</si>
  <si>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</si>
  <si>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</si>
  <si>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</si>
  <si>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</si>
  <si>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</si>
  <si>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</si>
  <si>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</si>
  <si>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</si>
  <si>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</si>
  <si>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</si>
  <si>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</si>
  <si>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</si>
  <si>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</si>
  <si>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</si>
  <si>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</si>
  <si>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</si>
  <si>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</si>
  <si>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</si>
  <si>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</si>
  <si>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</si>
  <si>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</si>
  <si>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</si>
  <si>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</si>
  <si>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</si>
  <si>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</si>
  <si>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</si>
  <si>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</si>
  <si>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</si>
  <si>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</si>
  <si>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</si>
  <si>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</si>
  <si>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</si>
  <si>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</si>
  <si>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</si>
  <si>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</si>
  <si>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</si>
  <si>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</si>
  <si>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</si>
  <si>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</si>
  <si>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</si>
  <si>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</si>
  <si>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</si>
  <si>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</si>
  <si>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</si>
  <si>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</si>
  <si>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</si>
  <si>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</si>
  <si>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</si>
  <si>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</si>
  <si>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</si>
  <si>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</si>
  <si>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</si>
  <si>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</si>
  <si>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</si>
  <si>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</si>
  <si>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</si>
  <si>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</si>
  <si>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</si>
  <si>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</si>
  <si>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</si>
  <si>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</si>
  <si>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</si>
  <si>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</si>
  <si>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</si>
  <si>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</si>
  <si>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</si>
  <si>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</si>
  <si>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</si>
  <si>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</si>
  <si>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</si>
  <si>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</si>
  <si>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</si>
  <si>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</si>
  <si>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</si>
  <si>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</si>
  <si>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</si>
  <si>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</si>
  <si>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</si>
  <si>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</si>
  <si>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</si>
  <si>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</si>
  <si>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</si>
  <si>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</si>
  <si>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</si>
  <si>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</si>
  <si>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</si>
  <si>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</si>
  <si>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</si>
  <si>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</si>
  <si>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</si>
  <si>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</si>
  <si>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</si>
  <si>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</si>
  <si>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</si>
  <si>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</si>
  <si>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</si>
  <si>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</si>
  <si>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</si>
  <si>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</si>
  <si>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</si>
  <si>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</si>
  <si>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</si>
  <si>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</si>
  <si>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</si>
  <si>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</si>
  <si>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</si>
  <si>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</si>
  <si>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</si>
  <si>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</si>
  <si>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</si>
  <si>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</si>
  <si>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</si>
  <si>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</si>
  <si>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</si>
  <si>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</si>
  <si>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</si>
  <si>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</si>
  <si>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</si>
  <si>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</si>
  <si>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</si>
  <si>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</si>
  <si>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</si>
  <si>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</si>
  <si>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</si>
  <si>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</si>
  <si>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</si>
  <si>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</si>
  <si>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</si>
  <si>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</si>
  <si>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</si>
  <si>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</si>
  <si>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</si>
  <si>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</si>
  <si>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</si>
  <si>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</si>
  <si>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</si>
  <si>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</si>
  <si>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</si>
  <si>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</si>
  <si>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</si>
  <si>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</si>
  <si>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</si>
  <si>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</si>
  <si>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</si>
  <si>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</si>
  <si>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</si>
  <si>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</si>
  <si>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</si>
  <si>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</si>
  <si>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</si>
  <si>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</si>
  <si>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</si>
  <si>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</si>
  <si>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</si>
  <si>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</si>
  <si>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</si>
  <si>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</si>
  <si>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</si>
  <si>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</si>
  <si>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</si>
  <si>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</si>
  <si>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</si>
  <si>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</si>
  <si>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</si>
  <si>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</si>
  <si>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</si>
  <si>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</si>
  <si>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</si>
  <si>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</si>
  <si>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</si>
  <si>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</si>
  <si>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</si>
  <si>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</si>
  <si>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</si>
  <si>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</si>
  <si>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</si>
  <si>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</si>
  <si>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</si>
  <si>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</si>
  <si>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</si>
  <si>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</si>
  <si>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</si>
  <si>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</si>
  <si>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</si>
  <si>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</si>
  <si>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</si>
  <si>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</si>
  <si>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</si>
  <si>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</si>
  <si>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</si>
  <si>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</si>
  <si>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</si>
  <si>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</si>
  <si>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</si>
  <si>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</si>
  <si>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</si>
  <si>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</si>
  <si>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</si>
  <si>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</si>
  <si>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</si>
  <si>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</si>
  <si>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</si>
  <si>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</si>
  <si>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</si>
  <si>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</si>
  <si>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</si>
  <si>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</si>
  <si>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</si>
  <si>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</si>
  <si>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</si>
  <si>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</si>
  <si>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</si>
  <si>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</si>
  <si>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</si>
  <si>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</si>
  <si>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</si>
  <si>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</si>
  <si>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</si>
  <si>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</si>
  <si>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</si>
  <si>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</si>
  <si>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</si>
  <si>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</si>
  <si>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</si>
  <si>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</si>
  <si>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</si>
  <si>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</si>
  <si>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</si>
  <si>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</si>
  <si>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</si>
  <si>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</si>
  <si>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</si>
  <si>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</si>
  <si>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</si>
  <si>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</si>
  <si>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</si>
  <si>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</si>
  <si>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</si>
  <si>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</si>
  <si>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</si>
  <si>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</si>
  <si>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</si>
  <si>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</si>
  <si>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</si>
  <si>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</si>
  <si>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</si>
  <si>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</si>
  <si>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</si>
  <si>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</si>
  <si>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</si>
  <si>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</si>
  <si>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</si>
  <si>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</si>
  <si>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</si>
  <si>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</si>
  <si>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</si>
  <si>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</si>
  <si>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</si>
  <si>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</si>
  <si>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</si>
  <si>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</si>
  <si>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</si>
  <si>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</si>
  <si>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</si>
  <si>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</si>
  <si>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</si>
  <si>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</si>
  <si>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</si>
  <si>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</si>
  <si>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</si>
  <si>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</si>
  <si>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</si>
  <si>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</si>
  <si>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</si>
  <si>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</si>
  <si>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</si>
  <si>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</si>
  <si>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</si>
  <si>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</si>
  <si>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</si>
  <si>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</si>
  <si>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</si>
  <si>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</si>
  <si>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</si>
  <si>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</si>
  <si>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</si>
  <si>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</si>
  <si>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</si>
  <si>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</si>
  <si>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</si>
  <si>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</si>
  <si>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</si>
  <si>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</si>
  <si>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</si>
  <si>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</si>
  <si>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</si>
  <si>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</si>
  <si>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</si>
  <si>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</si>
  <si>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</si>
  <si>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</si>
  <si>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</si>
  <si>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</si>
  <si>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</si>
  <si>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</si>
  <si>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</si>
  <si>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</si>
  <si>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</si>
  <si>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</si>
  <si>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</si>
  <si>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</si>
  <si>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</si>
  <si>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</si>
  <si>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</si>
  <si>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</si>
  <si>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</si>
  <si>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</si>
  <si>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</si>
  <si>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</si>
  <si>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</si>
  <si>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</si>
  <si>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</si>
  <si>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</si>
  <si>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</si>
  <si>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</si>
  <si>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</si>
  <si>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</si>
  <si>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</si>
  <si>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</si>
  <si>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</si>
  <si>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</si>
  <si>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</si>
  <si>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</si>
  <si>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</si>
  <si>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</si>
  <si>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</si>
  <si>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</si>
  <si>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</si>
  <si>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</si>
  <si>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</si>
  <si>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</si>
  <si>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</si>
  <si>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</si>
  <si>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</si>
  <si>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</si>
  <si>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</si>
  <si>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</si>
  <si>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</si>
  <si>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</si>
  <si>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</si>
  <si>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</si>
  <si>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</si>
  <si>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</si>
  <si>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</si>
  <si>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</si>
  <si>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</si>
  <si>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</si>
  <si>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</si>
  <si>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</si>
  <si>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</si>
  <si>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</si>
  <si>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</si>
  <si>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</si>
  <si>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</si>
  <si>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</si>
  <si>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</si>
  <si>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</si>
  <si>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</si>
  <si>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</si>
  <si>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</si>
  <si>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</si>
  <si>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</si>
  <si>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</si>
  <si>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</si>
  <si>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</si>
  <si>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</si>
  <si>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</si>
  <si>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</si>
  <si>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</si>
  <si>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</si>
  <si>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</si>
  <si>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</si>
  <si>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</si>
  <si>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</si>
  <si>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</si>
  <si>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</si>
  <si>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</si>
  <si>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</si>
  <si>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</si>
  <si>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</si>
  <si>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</si>
  <si>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</si>
  <si>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</si>
  <si>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</si>
  <si>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</si>
  <si>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</si>
  <si>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</si>
  <si>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</si>
  <si>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</si>
  <si>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</si>
  <si>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</si>
  <si>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</si>
  <si>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</si>
  <si>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</si>
  <si>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</si>
  <si>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</si>
  <si>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</si>
  <si>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</si>
  <si>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</si>
  <si>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</si>
  <si>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</si>
  <si>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</si>
  <si>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</si>
  <si>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</si>
  <si>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</si>
  <si>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</si>
  <si>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</si>
  <si>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</si>
  <si>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</si>
  <si>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</si>
  <si>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</si>
  <si>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</si>
  <si>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</si>
  <si>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</si>
  <si>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</si>
  <si>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</si>
  <si>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</si>
  <si>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</si>
  <si>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</si>
  <si>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</si>
  <si>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</si>
  <si>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</si>
  <si>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</si>
  <si>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</si>
  <si>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</si>
  <si>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</si>
  <si>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</si>
  <si>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</si>
  <si>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</si>
  <si>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</si>
  <si>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</si>
  <si>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</si>
  <si>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</si>
  <si>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</si>
  <si>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</si>
  <si>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</si>
  <si>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</si>
  <si>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</si>
  <si>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</si>
  <si>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</si>
  <si>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</si>
  <si>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</si>
  <si>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</si>
  <si>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</si>
  <si>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</si>
  <si>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</si>
  <si>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</si>
  <si>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</si>
  <si>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</si>
  <si>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</si>
  <si>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</si>
  <si>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</si>
  <si>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</si>
  <si>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</si>
  <si>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</si>
  <si>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</si>
  <si>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</si>
  <si>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</si>
  <si>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</si>
  <si>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</si>
  <si>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</si>
  <si>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</si>
  <si>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</si>
  <si>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</si>
  <si>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</si>
  <si>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</si>
  <si>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</si>
  <si>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</si>
  <si>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</si>
  <si>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</si>
  <si>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</si>
  <si>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</si>
  <si>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</si>
  <si>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</si>
  <si>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</si>
  <si>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</si>
  <si>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</si>
  <si>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</si>
  <si>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</si>
  <si>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</si>
  <si>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</si>
  <si>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</si>
  <si>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</si>
  <si>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</si>
  <si>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</si>
  <si>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</si>
  <si>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</si>
  <si>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</si>
  <si>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</si>
  <si>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</si>
  <si>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</si>
  <si>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</si>
  <si>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</si>
  <si>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</si>
  <si>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</si>
  <si>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</si>
  <si>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</si>
  <si>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</si>
  <si>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</si>
  <si>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</si>
  <si>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</si>
  <si>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</si>
  <si>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</si>
  <si>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</si>
  <si>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</si>
  <si>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</si>
  <si>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</si>
  <si>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</si>
  <si>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</si>
  <si>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</si>
  <si>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</si>
  <si>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</si>
  <si>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</si>
  <si>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</si>
  <si>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</si>
  <si>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</si>
  <si>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</si>
  <si>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</si>
  <si>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</si>
  <si>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</si>
  <si>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</si>
  <si>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</si>
  <si>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</si>
  <si>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</si>
  <si>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</si>
  <si>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</si>
  <si>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</si>
  <si>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</si>
  <si>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</si>
  <si>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</si>
  <si>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</si>
  <si>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</si>
  <si>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</si>
  <si>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</si>
  <si>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</si>
  <si>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</si>
  <si>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</si>
  <si>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</si>
  <si>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</si>
  <si>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</si>
  <si>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</si>
  <si>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</si>
  <si>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</si>
  <si>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</si>
  <si>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</si>
  <si>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</si>
  <si>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</si>
  <si>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</si>
  <si>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</si>
  <si>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</si>
  <si>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</si>
  <si>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</si>
  <si>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</si>
  <si>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</si>
  <si>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</si>
  <si>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</si>
  <si>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</si>
  <si>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</si>
  <si>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</si>
  <si>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</si>
  <si>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</si>
  <si>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</si>
  <si>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</si>
  <si>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</si>
  <si>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</si>
  <si>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</si>
  <si>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</si>
  <si>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</si>
  <si>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</si>
  <si>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</si>
  <si>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</si>
  <si>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</si>
  <si>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</si>
  <si>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</si>
  <si>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</si>
  <si>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</si>
  <si>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</si>
  <si>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</si>
  <si>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</si>
  <si>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</si>
  <si>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</si>
  <si>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</si>
  <si>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</si>
  <si>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</si>
  <si>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</si>
  <si>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</si>
  <si>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</si>
  <si>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</si>
  <si>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</si>
  <si>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</si>
  <si>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</si>
  <si>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</si>
  <si>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</si>
  <si>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</si>
  <si>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</si>
  <si>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</si>
  <si>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</si>
  <si>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</si>
  <si>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</si>
  <si>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</si>
  <si>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</si>
  <si>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</si>
  <si>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</si>
  <si>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</si>
  <si>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</si>
  <si>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</si>
  <si>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</si>
  <si>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</si>
  <si>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</si>
  <si>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</si>
  <si>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</si>
  <si>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</si>
  <si>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</si>
  <si>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</si>
  <si>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</si>
  <si>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</si>
  <si>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</si>
  <si>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</si>
  <si>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</si>
  <si>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</si>
  <si>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</si>
  <si>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</si>
  <si>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</si>
  <si>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</si>
  <si>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</si>
  <si>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</si>
  <si>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</si>
  <si>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</si>
  <si>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</si>
  <si>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</si>
  <si>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</si>
  <si>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</si>
  <si>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</si>
  <si>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</si>
  <si>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</si>
  <si>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</si>
  <si>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</si>
  <si>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</si>
  <si>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</si>
  <si>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</si>
  <si>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</si>
  <si>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</si>
  <si>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</si>
  <si>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</si>
  <si>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</si>
  <si>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</si>
  <si>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</si>
  <si>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</si>
  <si>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</si>
  <si>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</si>
  <si>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</si>
  <si>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</si>
  <si>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</si>
  <si>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</si>
  <si>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</si>
  <si>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</si>
  <si>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</si>
  <si>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</si>
  <si>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</si>
  <si>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</si>
  <si>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</si>
  <si>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</si>
  <si>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</si>
  <si>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</si>
  <si>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</si>
  <si>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</si>
  <si>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</si>
  <si>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</si>
  <si>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</si>
  <si>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</si>
  <si>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</si>
  <si>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</si>
  <si>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</si>
  <si>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</si>
  <si>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</si>
  <si>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</si>
  <si>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</si>
  <si>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</si>
  <si>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</si>
  <si>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</si>
  <si>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</si>
  <si>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</si>
  <si>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</si>
  <si>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</si>
  <si>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</si>
  <si>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</si>
  <si>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</si>
  <si>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</si>
  <si>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</si>
  <si>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</si>
  <si>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</si>
  <si>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</si>
  <si>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</si>
  <si>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</si>
  <si>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</si>
  <si>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</si>
  <si>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</si>
  <si>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</si>
  <si>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</si>
  <si>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</si>
  <si>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</si>
  <si>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</si>
  <si>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</si>
  <si>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</si>
  <si>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</si>
  <si>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</si>
  <si>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</si>
  <si>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</si>
  <si>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</si>
  <si>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</si>
  <si>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</si>
  <si>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</si>
  <si>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</si>
  <si>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</si>
  <si>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</si>
  <si>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</si>
  <si>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</si>
  <si>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</si>
  <si>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</si>
  <si>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</si>
  <si>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</si>
  <si>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</si>
  <si>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</si>
  <si>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</si>
  <si>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</si>
  <si>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</si>
  <si>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</si>
  <si>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</si>
  <si>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</si>
  <si>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</si>
  <si>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</si>
  <si>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</si>
  <si>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</si>
  <si>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</si>
  <si>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</si>
  <si>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</si>
  <si>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</si>
  <si>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</si>
  <si>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</si>
  <si>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</si>
  <si>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</si>
  <si>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</si>
  <si>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</si>
  <si>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</si>
  <si>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</si>
  <si>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</si>
  <si>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</si>
  <si>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</si>
  <si>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</si>
  <si>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</si>
  <si>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</si>
  <si>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</si>
  <si>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</si>
  <si>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</si>
  <si>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</si>
  <si>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</si>
  <si>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</si>
  <si>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</si>
  <si>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</si>
  <si>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</si>
  <si>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</si>
  <si>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</si>
  <si>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</si>
  <si>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</si>
  <si>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</si>
  <si>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</si>
  <si>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</si>
  <si>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</si>
  <si>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</si>
  <si>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</si>
  <si>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</si>
  <si>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</si>
  <si>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</si>
  <si>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</si>
  <si>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</si>
  <si>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</si>
  <si>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</si>
  <si>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</si>
  <si>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</si>
  <si>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</si>
  <si>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</si>
  <si>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</si>
  <si>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</si>
  <si>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</si>
  <si>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</si>
  <si>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</si>
  <si>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</si>
  <si>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</si>
  <si>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</si>
  <si>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</si>
  <si>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</si>
  <si>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</si>
  <si>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</si>
  <si>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</si>
  <si>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</si>
  <si>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</si>
  <si>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</si>
  <si>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</si>
  <si>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</si>
  <si>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</si>
  <si>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</si>
  <si>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</si>
  <si>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</si>
  <si>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</si>
  <si>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</si>
  <si>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</si>
  <si>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</si>
  <si>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</si>
  <si>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</si>
  <si>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</si>
  <si>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</si>
  <si>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</si>
  <si>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</si>
  <si>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</si>
  <si>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</si>
  <si>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</si>
  <si>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</si>
  <si>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</si>
  <si>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</si>
  <si>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</si>
  <si>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</si>
  <si>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</si>
  <si>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</si>
  <si>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</si>
  <si>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</si>
  <si>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</si>
  <si>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</si>
  <si>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</si>
  <si>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</si>
  <si>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</si>
  <si>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</si>
  <si>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</si>
  <si>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</si>
  <si>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</si>
  <si>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</si>
  <si>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</si>
  <si>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</si>
  <si>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</si>
  <si>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</si>
  <si>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</si>
  <si>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</si>
  <si>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</si>
  <si>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</si>
  <si>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</si>
  <si>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</si>
  <si>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</si>
  <si>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</si>
  <si>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</si>
  <si>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</si>
  <si>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</si>
  <si>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</si>
  <si>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</si>
  <si>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</si>
  <si>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</si>
  <si>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</si>
  <si>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</si>
  <si>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</si>
  <si>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</si>
  <si>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</si>
  <si>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</si>
  <si>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</si>
  <si>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</si>
  <si>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</si>
  <si>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</si>
  <si>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</si>
  <si>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</si>
  <si>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</si>
  <si>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</si>
  <si>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</si>
  <si>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</si>
  <si>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</si>
  <si>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</si>
  <si>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</si>
  <si>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</si>
  <si>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</si>
  <si>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</si>
  <si>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</si>
  <si>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</si>
  <si>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</si>
  <si>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</si>
  <si>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</si>
  <si>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</si>
  <si>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</si>
  <si>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</si>
  <si>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</si>
  <si>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</si>
  <si>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</si>
  <si>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</si>
  <si>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</si>
  <si>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</si>
  <si>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</si>
  <si>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</si>
  <si>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</si>
  <si>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</si>
  <si>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</si>
  <si>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</si>
  <si>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</si>
  <si>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</si>
  <si>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</si>
  <si>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</si>
  <si>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</si>
  <si>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</si>
  <si>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</si>
  <si>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</si>
  <si>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</si>
  <si>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</si>
  <si>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</si>
  <si>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</si>
  <si>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</si>
  <si>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</si>
  <si>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</si>
  <si>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</si>
  <si>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</si>
  <si>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</si>
  <si>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</si>
  <si>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</si>
  <si>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</si>
  <si>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</si>
  <si>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</si>
  <si>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</si>
  <si>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</si>
  <si>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</si>
  <si>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</si>
  <si>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</si>
  <si>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</si>
  <si>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</si>
  <si>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</si>
  <si>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</si>
  <si>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</si>
  <si>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</si>
  <si>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</si>
  <si>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</si>
  <si>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</si>
  <si>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</si>
  <si>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</si>
  <si>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</si>
  <si>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</si>
  <si>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</si>
  <si>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</si>
  <si>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</si>
  <si>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</si>
  <si>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</si>
  <si>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</si>
  <si>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</si>
  <si>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</si>
  <si>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</si>
  <si>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</si>
  <si>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</si>
  <si>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</si>
  <si>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</si>
  <si>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</si>
  <si>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</si>
  <si>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</si>
  <si>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</si>
  <si>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</si>
  <si>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</si>
  <si>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</si>
  <si>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</si>
  <si>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</si>
  <si>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</si>
  <si>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</si>
  <si>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</si>
  <si>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</si>
  <si>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</si>
  <si>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</si>
  <si>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</si>
  <si>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</si>
  <si>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</si>
  <si>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</si>
  <si>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</si>
  <si>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</si>
  <si>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</si>
  <si>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</si>
  <si>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</si>
  <si>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</si>
  <si>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</si>
  <si>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</si>
  <si>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</si>
  <si>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</si>
  <si>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</si>
  <si>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</si>
  <si>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</si>
  <si>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</si>
  <si>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</si>
  <si>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</si>
  <si>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</si>
  <si>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</si>
  <si>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</si>
  <si>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</si>
  <si>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</si>
  <si>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</si>
  <si>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</si>
  <si>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</si>
  <si>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</si>
  <si>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</si>
  <si>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</si>
  <si>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</si>
  <si>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</si>
  <si>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</si>
  <si>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</si>
  <si>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</si>
  <si>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</si>
  <si>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</si>
  <si>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</si>
  <si>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</si>
  <si>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</si>
  <si>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</si>
  <si>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</si>
  <si>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</si>
  <si>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</si>
  <si>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</si>
  <si>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</si>
  <si>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</si>
  <si>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</si>
  <si>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</si>
  <si>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</si>
  <si>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</si>
  <si>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</si>
  <si>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</si>
  <si>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</si>
  <si>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</si>
  <si>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</si>
  <si>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</si>
  <si>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</si>
  <si>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</si>
  <si>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</si>
  <si>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</si>
  <si>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</si>
  <si>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</si>
  <si>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</si>
  <si>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</si>
  <si>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</si>
  <si>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</si>
  <si>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</si>
  <si>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</si>
  <si>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</si>
  <si>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</si>
  <si>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</si>
  <si>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</si>
  <si>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</si>
  <si>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</si>
  <si>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</si>
  <si>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</si>
  <si>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</si>
  <si>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</si>
  <si>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</si>
  <si>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</si>
  <si>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</si>
  <si>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</si>
  <si>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</si>
  <si>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</si>
  <si>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</si>
  <si>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</si>
  <si>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</si>
  <si>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</si>
  <si>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</si>
  <si>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</si>
  <si>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</si>
  <si>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</si>
  <si>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</si>
  <si>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</si>
  <si>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</si>
  <si>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</si>
  <si>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</si>
  <si>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</si>
  <si>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</si>
  <si>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</si>
  <si>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</si>
  <si>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</si>
  <si>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</si>
  <si>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</si>
  <si>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</si>
  <si>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</si>
  <si>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</si>
  <si>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</si>
  <si>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</si>
  <si>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</si>
  <si>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</si>
  <si>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</si>
  <si>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</si>
  <si>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</si>
  <si>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</si>
  <si>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</si>
  <si>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</si>
  <si>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</si>
  <si>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</si>
  <si>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</si>
  <si>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</si>
  <si>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</si>
  <si>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</si>
  <si>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</si>
  <si>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</si>
  <si>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</si>
  <si>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</si>
  <si>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</si>
  <si>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</si>
  <si>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</si>
  <si>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</si>
  <si>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</si>
  <si>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</si>
  <si>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</si>
  <si>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</si>
  <si>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</si>
  <si>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</si>
  <si>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</si>
  <si>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</si>
  <si>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</si>
  <si>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</si>
  <si>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</si>
  <si>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</si>
  <si>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</si>
  <si>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</si>
  <si>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</si>
  <si>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</si>
  <si>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</si>
  <si>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</si>
  <si>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</si>
  <si>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</si>
  <si>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</si>
  <si>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</si>
  <si>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</si>
  <si>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</si>
  <si>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</si>
  <si>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</si>
  <si>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</si>
  <si>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</si>
  <si>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</si>
  <si>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</si>
  <si>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</si>
  <si>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</si>
  <si>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</si>
  <si>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</si>
  <si>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</si>
  <si>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</si>
  <si>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</si>
  <si>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</si>
  <si>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</si>
  <si>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</si>
  <si>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</si>
  <si>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</si>
  <si>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</si>
  <si>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</si>
  <si>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</si>
  <si>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</si>
  <si>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</si>
  <si>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</si>
  <si>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</si>
  <si>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</si>
  <si>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</si>
  <si>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</si>
  <si>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</si>
  <si>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</si>
  <si>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</si>
  <si>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</si>
  <si>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</si>
  <si>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</si>
  <si>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</si>
  <si>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</si>
  <si>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</si>
  <si>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</si>
  <si>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</si>
  <si>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</si>
  <si>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</si>
  <si>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</si>
  <si>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</si>
  <si>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</si>
  <si>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</si>
  <si>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</si>
  <si>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</si>
  <si>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</si>
  <si>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</si>
  <si>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</si>
  <si>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</si>
  <si>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</si>
  <si>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</si>
  <si>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</si>
  <si>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</si>
  <si>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</si>
  <si>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</si>
  <si>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</si>
  <si>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</si>
  <si>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</si>
  <si>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</si>
  <si>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</si>
  <si>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</si>
  <si>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</si>
  <si>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</si>
  <si>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</si>
  <si>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</si>
  <si>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</si>
  <si>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</si>
  <si>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</si>
  <si>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</si>
  <si>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</si>
  <si>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</si>
  <si>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</si>
  <si>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</si>
  <si>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</si>
  <si>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</si>
  <si>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</si>
  <si>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</si>
  <si>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</si>
  <si>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</si>
  <si>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</si>
  <si>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</si>
  <si>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</si>
  <si>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</si>
  <si>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</si>
  <si>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</si>
  <si>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</si>
  <si>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</si>
  <si>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</si>
  <si>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</si>
  <si>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</si>
  <si>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</si>
  <si>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</si>
  <si>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</si>
  <si>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</si>
  <si>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</si>
  <si>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</si>
  <si>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</si>
  <si>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</si>
  <si>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</si>
  <si>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</si>
  <si>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</si>
  <si>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</si>
  <si>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</si>
  <si>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</si>
  <si>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</si>
  <si>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</si>
  <si>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</si>
  <si>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</si>
  <si>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</si>
  <si>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</si>
  <si>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</si>
  <si>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</si>
  <si>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</si>
  <si>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</si>
  <si>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</si>
  <si>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</si>
  <si>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</si>
  <si>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</si>
  <si>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</si>
  <si>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</si>
  <si>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</si>
  <si>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</si>
  <si>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</si>
  <si>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</si>
  <si>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</si>
  <si>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</si>
  <si>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</si>
  <si>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</si>
  <si>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</si>
  <si>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</si>
  <si>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</si>
  <si>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</si>
  <si>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</si>
  <si>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</si>
  <si>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</si>
  <si>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</si>
  <si>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</si>
  <si>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</si>
  <si>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</si>
  <si>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</si>
  <si>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</si>
  <si>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</si>
  <si>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</si>
  <si>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</si>
  <si>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</si>
  <si>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</si>
  <si>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</si>
  <si>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</si>
  <si>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</si>
  <si>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</si>
  <si>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</si>
  <si>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</si>
  <si>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</si>
  <si>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</si>
  <si>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</si>
  <si>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</si>
  <si>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</si>
  <si>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</si>
  <si>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</si>
  <si>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</si>
  <si>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</si>
  <si>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</si>
  <si>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</si>
  <si>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</si>
  <si>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</si>
  <si>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</si>
  <si>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</si>
  <si>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</si>
  <si>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</si>
  <si>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</si>
  <si>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</si>
  <si>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</si>
  <si>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</si>
  <si>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</si>
  <si>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</si>
  <si>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</si>
  <si>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</si>
  <si>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</si>
  <si>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</si>
  <si>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</si>
  <si>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</si>
  <si>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</si>
  <si>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</si>
  <si>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</si>
  <si>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</si>
  <si>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</si>
  <si>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</si>
  <si>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</si>
  <si>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</si>
  <si>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</si>
  <si>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</si>
  <si>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</si>
  <si>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</si>
  <si>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</si>
  <si>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</si>
  <si>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</si>
  <si>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</si>
  <si>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</si>
  <si>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</si>
  <si>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</si>
  <si>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</si>
  <si>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</si>
  <si>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</si>
  <si>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</si>
  <si>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</si>
  <si>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</si>
  <si>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</si>
  <si>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</si>
  <si>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</si>
  <si>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</si>
  <si>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</si>
  <si>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</si>
  <si>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</si>
  <si>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</si>
  <si>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</si>
  <si>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</si>
  <si>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</si>
  <si>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</si>
  <si>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</si>
  <si>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</si>
  <si>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</si>
  <si>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</si>
  <si>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</si>
  <si>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</si>
  <si>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</si>
  <si>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</si>
  <si>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</si>
  <si>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</si>
  <si>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</si>
  <si>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</si>
  <si>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</si>
  <si>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</si>
  <si>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</si>
  <si>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</si>
  <si>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</si>
  <si>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</si>
  <si>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</si>
  <si>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</si>
  <si>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</si>
  <si>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</si>
  <si>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</si>
  <si>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</si>
  <si>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</si>
  <si>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</si>
  <si>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</si>
  <si>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</si>
  <si>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</si>
  <si>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</si>
  <si>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</si>
  <si>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</si>
  <si>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</si>
  <si>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</si>
  <si>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</si>
  <si>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</si>
  <si>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</si>
  <si>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</si>
  <si>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</si>
  <si>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</si>
  <si>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</si>
  <si>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</si>
  <si>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</si>
  <si>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</si>
  <si>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</si>
  <si>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</si>
  <si>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</si>
  <si>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</si>
  <si>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</si>
  <si>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</si>
  <si>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</si>
  <si>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</si>
  <si>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</si>
  <si>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</si>
  <si>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</si>
  <si>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</si>
  <si>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</si>
  <si>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</si>
  <si>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</si>
  <si>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</si>
  <si>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</si>
  <si>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</si>
  <si>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</si>
  <si>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</si>
  <si>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</si>
  <si>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</si>
  <si>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</si>
  <si>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</si>
  <si>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</si>
  <si>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</si>
  <si>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</si>
  <si>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</si>
  <si>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</si>
  <si>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</si>
  <si>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</si>
  <si>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</si>
  <si>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</si>
  <si>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</si>
  <si>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</si>
  <si>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</si>
  <si>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</si>
  <si>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</si>
  <si>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</si>
  <si>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</si>
  <si>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</si>
  <si>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</si>
  <si>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</si>
  <si>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</si>
  <si>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</si>
  <si>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</si>
  <si>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</si>
  <si>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</si>
  <si>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</si>
  <si>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</si>
  <si>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</si>
  <si>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</si>
  <si>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</si>
  <si>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</si>
  <si>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</si>
  <si>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</si>
  <si>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</si>
  <si>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</si>
  <si>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</si>
  <si>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</si>
  <si>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</si>
  <si>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</si>
  <si>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</si>
  <si>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</si>
  <si>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</si>
  <si>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</si>
  <si>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</si>
  <si>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</si>
  <si>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</si>
  <si>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</si>
  <si>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</si>
  <si>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</si>
  <si>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</si>
  <si>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</si>
  <si>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</si>
  <si>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</si>
  <si>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</si>
  <si>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</si>
  <si>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</si>
  <si>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</si>
  <si>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</si>
  <si>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</si>
  <si>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</si>
  <si>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</si>
  <si>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</si>
  <si>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</si>
  <si>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</si>
  <si>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</si>
  <si>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</si>
  <si>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</si>
  <si>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</si>
  <si>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</si>
  <si>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</si>
  <si>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</si>
  <si>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</si>
  <si>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</si>
  <si>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</si>
  <si>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</si>
  <si>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</si>
  <si>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</si>
  <si>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</si>
  <si>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</si>
  <si>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</si>
  <si>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</si>
  <si>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</si>
  <si>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</si>
  <si>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</si>
  <si>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</si>
  <si>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</si>
  <si>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</si>
  <si>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</si>
  <si>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</si>
  <si>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</si>
  <si>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</si>
  <si>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</si>
  <si>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</si>
  <si>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</si>
  <si>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</si>
  <si>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</si>
  <si>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</si>
  <si>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</si>
  <si>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</si>
  <si>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</si>
  <si>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</si>
  <si>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</si>
  <si>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</si>
  <si>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</si>
  <si>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</si>
  <si>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</si>
  <si>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</si>
  <si>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</si>
  <si>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</si>
  <si>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</si>
  <si>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</si>
  <si>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</si>
  <si>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</si>
  <si>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</si>
  <si>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</si>
  <si>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</si>
  <si>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</si>
  <si>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</si>
  <si>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</si>
  <si>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</si>
  <si>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</si>
  <si>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</si>
  <si>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</si>
  <si>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</si>
  <si>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</si>
  <si>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</si>
  <si>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</si>
  <si>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</si>
  <si>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</si>
  <si>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</si>
  <si>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</si>
  <si>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</si>
  <si>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</si>
  <si>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</si>
  <si>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</si>
  <si>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</si>
  <si>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</si>
  <si>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</si>
  <si>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</si>
  <si>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</si>
  <si>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</si>
  <si>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</si>
  <si>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</si>
  <si>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</si>
  <si>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</si>
  <si>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</si>
  <si>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</si>
  <si>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</si>
  <si>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</si>
  <si>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</si>
  <si>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</si>
  <si>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</si>
  <si>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</si>
  <si>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</si>
  <si>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</si>
  <si>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</si>
  <si>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</si>
  <si>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</si>
  <si>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</si>
  <si>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</si>
  <si>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</si>
  <si>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</si>
  <si>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</si>
  <si>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</si>
  <si>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</si>
  <si>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</si>
  <si>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</si>
  <si>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</si>
  <si>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</si>
  <si>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</si>
  <si>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</si>
  <si>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</si>
  <si>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</si>
  <si>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</si>
  <si>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</si>
  <si>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</si>
  <si>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</si>
  <si>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</si>
  <si>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</si>
  <si>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</si>
  <si>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</si>
  <si>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</si>
  <si>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</si>
  <si>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</si>
  <si>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</si>
  <si>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</si>
  <si>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</si>
  <si>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</si>
  <si>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</si>
  <si>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</si>
  <si>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</si>
  <si>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</si>
  <si>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</si>
  <si>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</si>
  <si>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</si>
  <si>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</si>
  <si>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</si>
  <si>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</si>
  <si>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</si>
  <si>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</si>
  <si>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</si>
  <si>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</si>
  <si>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</si>
  <si>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</si>
  <si>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</si>
  <si>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</si>
  <si>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</si>
  <si>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</si>
  <si>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</si>
  <si>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</si>
  <si>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</si>
  <si>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</si>
  <si>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</si>
  <si>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</si>
  <si>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</si>
  <si>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</si>
  <si>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</si>
  <si>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</si>
  <si>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</si>
  <si>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</si>
  <si>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</si>
  <si>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</si>
  <si>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</si>
  <si>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</si>
  <si>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</si>
  <si>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</si>
  <si>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</si>
  <si>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</si>
  <si>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</si>
  <si>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</si>
  <si>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</si>
  <si>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</si>
  <si>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</si>
  <si>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</si>
  <si>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</si>
  <si>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</si>
  <si>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</si>
  <si>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</si>
  <si>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</si>
  <si>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</si>
  <si>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</si>
  <si>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</si>
  <si>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</si>
  <si>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</si>
  <si>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</si>
  <si>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</si>
  <si>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</si>
  <si>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</si>
  <si>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</si>
  <si>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</si>
  <si>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</si>
  <si>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</si>
  <si>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</si>
  <si>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</si>
  <si>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</si>
  <si>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</si>
  <si>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</si>
  <si>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</si>
  <si>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</si>
  <si>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</si>
  <si>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</si>
  <si>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</si>
  <si>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</si>
  <si>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</si>
  <si>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</si>
  <si>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</si>
  <si>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</si>
  <si>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</si>
  <si>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</si>
  <si>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</si>
  <si>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</si>
  <si>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</si>
  <si>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</si>
  <si>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</si>
  <si>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</si>
  <si>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</si>
  <si>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</si>
  <si>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</si>
  <si>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</si>
  <si>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</si>
  <si>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</si>
  <si>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</si>
  <si>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</si>
  <si>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</si>
  <si>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</si>
  <si>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</si>
  <si>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</si>
  <si>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</si>
  <si>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</si>
  <si>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</si>
  <si>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</si>
  <si>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</si>
  <si>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</si>
  <si>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</si>
  <si>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</si>
  <si>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</si>
  <si>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</si>
  <si>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</si>
  <si>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</si>
  <si>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</si>
  <si>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</si>
  <si>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</si>
  <si>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</si>
  <si>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</si>
  <si>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</si>
  <si>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</si>
  <si>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</si>
  <si>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</si>
  <si>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</si>
  <si>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</si>
  <si>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</si>
  <si>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</si>
  <si>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</si>
  <si>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</si>
  <si>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</si>
  <si>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</si>
  <si>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</si>
  <si>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</si>
  <si>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</si>
  <si>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</si>
  <si>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</si>
  <si>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</si>
  <si>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</si>
  <si>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</si>
  <si>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</si>
  <si>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</si>
  <si>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</si>
  <si>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</si>
  <si>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</si>
  <si>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</si>
  <si>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</si>
  <si>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</si>
  <si>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</si>
  <si>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</si>
  <si>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</si>
  <si>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</si>
  <si>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</si>
  <si>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</si>
  <si>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</si>
  <si>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</si>
  <si>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</si>
  <si>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</si>
  <si>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</si>
  <si>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</si>
  <si>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</si>
  <si>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</si>
  <si>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</si>
  <si>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</si>
  <si>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</si>
  <si>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</si>
  <si>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</si>
  <si>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</si>
  <si>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</si>
  <si>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</si>
  <si>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</si>
  <si>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</si>
  <si>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</si>
  <si>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</si>
  <si>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</si>
  <si>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</si>
  <si>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</si>
  <si>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</si>
  <si>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</si>
  <si>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</si>
  <si>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</si>
  <si>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</si>
  <si>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</si>
  <si>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</si>
  <si>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</si>
  <si>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</si>
  <si>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</si>
  <si>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</si>
  <si>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</si>
  <si>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</si>
  <si>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</si>
  <si>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</si>
  <si>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</si>
  <si>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</si>
  <si>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</si>
  <si>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</si>
  <si>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</si>
  <si>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</si>
  <si>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</si>
  <si>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</si>
  <si>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</si>
  <si>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</si>
  <si>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</si>
  <si>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</si>
  <si>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</si>
  <si>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</si>
  <si>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</si>
  <si>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</si>
  <si>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</si>
  <si>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</si>
  <si>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</si>
  <si>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</si>
  <si>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</si>
  <si>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</si>
  <si>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</si>
  <si>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</si>
  <si>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</si>
  <si>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</si>
  <si>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</si>
  <si>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</si>
  <si>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</si>
  <si>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</si>
  <si>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</si>
  <si>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</si>
  <si>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</si>
  <si>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</si>
  <si>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</si>
  <si>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</si>
  <si>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</si>
  <si>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</si>
  <si>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</si>
  <si>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</si>
  <si>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</si>
  <si>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</si>
  <si>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</si>
  <si>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</si>
  <si>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</si>
  <si>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</si>
  <si>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</si>
  <si>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</si>
  <si>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</si>
  <si>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</si>
  <si>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</si>
  <si>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</si>
  <si>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</si>
  <si>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</si>
  <si>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</si>
  <si>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</si>
  <si>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</si>
  <si>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</si>
  <si>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</si>
  <si>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</si>
  <si>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</si>
  <si>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</si>
  <si>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</si>
  <si>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</si>
  <si>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</si>
  <si>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</si>
  <si>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</si>
  <si>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</si>
  <si>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</si>
  <si>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</si>
  <si>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</si>
  <si>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</si>
  <si>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</si>
  <si>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</si>
  <si>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</si>
  <si>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</si>
  <si>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</si>
  <si>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</si>
  <si>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</si>
  <si>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</si>
  <si>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</si>
  <si>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</si>
  <si>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</si>
  <si>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</si>
  <si>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</si>
  <si>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</si>
  <si>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</si>
  <si>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</si>
  <si>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</si>
  <si>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</si>
  <si>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</si>
  <si>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</si>
  <si>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</si>
  <si>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</si>
  <si>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</si>
  <si>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</si>
  <si>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</si>
  <si>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</si>
  <si>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</si>
  <si>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</si>
  <si>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</si>
  <si>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</si>
  <si>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</si>
  <si>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</si>
  <si>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</si>
  <si>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</si>
  <si>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</si>
  <si>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</si>
  <si>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</si>
  <si>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</si>
  <si>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</si>
  <si>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</si>
  <si>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</si>
  <si>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</si>
  <si>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</si>
  <si>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</si>
  <si>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</si>
  <si>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</si>
  <si>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</si>
  <si>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</si>
  <si>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</si>
  <si>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</si>
  <si>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</si>
  <si>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</si>
  <si>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</si>
  <si>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</si>
  <si>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</si>
  <si>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</si>
  <si>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</si>
  <si>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</si>
  <si>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</si>
  <si>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</si>
  <si>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</si>
  <si>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</si>
  <si>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</si>
  <si>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</si>
  <si>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</si>
  <si>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</si>
  <si>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</si>
  <si>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</si>
  <si>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</si>
  <si>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</si>
  <si>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</si>
  <si>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</si>
  <si>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</si>
  <si>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</si>
  <si>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</si>
  <si>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</si>
  <si>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</si>
  <si>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</si>
  <si>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</si>
  <si>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</si>
  <si>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</si>
  <si>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</si>
  <si>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</si>
  <si>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</si>
  <si>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</si>
  <si>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</si>
  <si>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</si>
  <si>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</si>
  <si>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</si>
  <si>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</si>
  <si>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</si>
  <si>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</si>
  <si>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</si>
  <si>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</si>
  <si>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</si>
  <si>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</si>
  <si>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</si>
  <si>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</si>
  <si>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</si>
  <si>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</si>
  <si>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</si>
  <si>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</si>
  <si>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</si>
  <si>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</si>
  <si>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</si>
  <si>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</si>
  <si>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</si>
  <si>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</si>
  <si>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</si>
  <si>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</si>
  <si>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</si>
  <si>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</si>
  <si>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</si>
  <si>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</si>
  <si>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</si>
  <si>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</si>
  <si>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</si>
  <si>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</si>
  <si>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</si>
  <si>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</si>
  <si>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</si>
  <si>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</si>
  <si>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</si>
  <si>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</si>
  <si>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</si>
  <si>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</si>
  <si>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</si>
  <si>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</si>
  <si>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</si>
  <si>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</si>
  <si>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</si>
  <si>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</si>
  <si>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</si>
  <si>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</si>
  <si>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</si>
  <si>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</si>
  <si>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</si>
  <si>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</si>
  <si>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</si>
  <si>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</si>
  <si>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</si>
  <si>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</si>
  <si>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</si>
  <si>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</si>
  <si>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</si>
  <si>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</si>
  <si>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</si>
  <si>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</si>
  <si>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</si>
  <si>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</si>
  <si>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</si>
  <si>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</si>
  <si>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</si>
  <si>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</si>
  <si>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</si>
  <si>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</si>
  <si>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</si>
  <si>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</si>
  <si>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</si>
  <si>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</si>
  <si>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</si>
  <si>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</si>
  <si>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</si>
  <si>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</si>
  <si>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</si>
  <si>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</si>
  <si>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</si>
  <si>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</si>
  <si>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</si>
  <si>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</si>
  <si>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</si>
  <si>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</si>
  <si>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</si>
  <si>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</si>
  <si>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</si>
  <si>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</si>
  <si>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</si>
  <si>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</si>
  <si>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</si>
  <si>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</si>
  <si>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</si>
  <si>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</si>
  <si>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</si>
  <si>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</si>
  <si>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</si>
  <si>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</si>
  <si>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</si>
  <si>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</si>
  <si>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</si>
  <si>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</si>
  <si>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</si>
  <si>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</si>
  <si>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</si>
  <si>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</si>
  <si>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</si>
  <si>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</si>
  <si>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</si>
  <si>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</si>
  <si>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</si>
  <si>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</si>
  <si>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</si>
  <si>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</si>
  <si>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</si>
  <si>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</si>
  <si>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</si>
  <si>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</si>
  <si>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</si>
  <si>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</si>
  <si>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</si>
  <si>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</si>
  <si>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</si>
  <si>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</si>
  <si>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</si>
  <si>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</si>
  <si>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</si>
  <si>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</si>
  <si>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</si>
  <si>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</si>
  <si>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</si>
  <si>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</si>
  <si>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</si>
  <si>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</si>
  <si>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</si>
  <si>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</si>
  <si>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</si>
  <si>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</si>
  <si>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</si>
  <si>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</si>
  <si>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</si>
  <si>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</si>
  <si>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</si>
  <si>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</si>
  <si>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</si>
  <si>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</si>
  <si>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</si>
  <si>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</si>
  <si>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</si>
  <si>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</si>
  <si>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</si>
  <si>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</si>
  <si>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</si>
  <si>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</si>
  <si>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</si>
  <si>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</si>
  <si>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</si>
  <si>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</si>
  <si>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</si>
  <si>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</si>
  <si>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</si>
  <si>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</si>
  <si>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</si>
  <si>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</si>
  <si>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</si>
  <si>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</si>
  <si>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</si>
  <si>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</si>
  <si>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</si>
  <si>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</si>
  <si>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</si>
  <si>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</si>
  <si>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</si>
  <si>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</si>
  <si>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</si>
  <si>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</si>
  <si>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</si>
  <si>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</si>
  <si>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</si>
  <si>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</si>
  <si>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</si>
  <si>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</si>
  <si>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</si>
  <si>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</si>
  <si>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</si>
  <si>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</si>
  <si>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</si>
  <si>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</si>
  <si>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</si>
  <si>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</si>
  <si>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</si>
  <si>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</si>
  <si>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</si>
  <si>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</si>
  <si>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</si>
  <si>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</si>
  <si>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</si>
  <si>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</si>
  <si>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</si>
  <si>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</si>
  <si>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</si>
  <si>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</si>
  <si>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</si>
  <si>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</si>
  <si>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</si>
  <si>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</si>
  <si>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</si>
  <si>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</si>
  <si>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</si>
  <si>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</si>
  <si>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</si>
  <si>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</si>
  <si>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</si>
  <si>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</si>
  <si>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</si>
  <si>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</si>
  <si>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</si>
  <si>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</si>
  <si>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</si>
  <si>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</si>
  <si>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</si>
  <si>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</si>
  <si>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</si>
  <si>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</si>
  <si>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</si>
  <si>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</si>
  <si>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</si>
  <si>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</si>
  <si>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</si>
  <si>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</si>
  <si>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</si>
  <si>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</si>
  <si>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</si>
  <si>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</si>
  <si>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</si>
  <si>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</si>
  <si>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</si>
  <si>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</si>
  <si>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</si>
  <si>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</si>
  <si>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</si>
  <si>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</si>
  <si>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</si>
  <si>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</si>
  <si>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</si>
  <si>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</si>
  <si>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</si>
  <si>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</si>
  <si>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</si>
  <si>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</si>
  <si>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</si>
  <si>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</si>
  <si>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</si>
  <si>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</si>
  <si>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</si>
  <si>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</si>
  <si>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</si>
  <si>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</si>
  <si>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</si>
  <si>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</si>
  <si>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</si>
  <si>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</si>
  <si>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</si>
  <si>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</si>
  <si>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</si>
  <si>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</si>
  <si>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</si>
  <si>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</si>
  <si>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</si>
  <si>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</si>
  <si>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</si>
  <si>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</si>
  <si>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</si>
  <si>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</si>
  <si>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</si>
  <si>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</si>
  <si>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</si>
  <si>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</si>
  <si>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</si>
  <si>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房产证号</t>
    <phoneticPr fontId="134" type="noConversion"/>
  </si>
  <si>
    <t>坐落</t>
    <phoneticPr fontId="134" type="noConversion"/>
  </si>
  <si>
    <t>面积</t>
    <phoneticPr fontId="134" type="noConversion"/>
  </si>
  <si>
    <r>
      <t>X京房权证朝字第</t>
    </r>
    <r>
      <rPr>
        <sz val="11"/>
        <color theme="1"/>
        <rFont val="宋体"/>
        <family val="3"/>
        <charset val="134"/>
        <scheme val="minor"/>
      </rPr>
      <t>1325268号</t>
    </r>
    <phoneticPr fontId="134" type="noConversion"/>
  </si>
  <si>
    <r>
      <t>朝阳区东三环北路甲2</t>
    </r>
    <r>
      <rPr>
        <sz val="11"/>
        <color theme="1"/>
        <rFont val="宋体"/>
        <family val="3"/>
        <charset val="134"/>
        <scheme val="minor"/>
      </rPr>
      <t>6号楼-1层07-2</t>
    </r>
    <phoneticPr fontId="134" type="noConversion"/>
  </si>
  <si>
    <r>
      <t>X京房权证朝字第132526</t>
    </r>
    <r>
      <rPr>
        <sz val="11"/>
        <color theme="1"/>
        <rFont val="宋体"/>
        <family val="3"/>
        <charset val="134"/>
        <scheme val="minor"/>
      </rPr>
      <t>9</t>
    </r>
    <r>
      <rPr>
        <sz val="11"/>
        <color theme="1"/>
        <rFont val="宋体"/>
        <family val="3"/>
        <charset val="134"/>
        <scheme val="minor"/>
      </rPr>
      <t>号</t>
    </r>
    <phoneticPr fontId="134" type="noConversion"/>
  </si>
  <si>
    <t>朝阳区东三环北路甲26号楼-1层07-3</t>
    <phoneticPr fontId="134" type="noConversion"/>
  </si>
  <si>
    <r>
      <t>X京房权证朝字第1325271</t>
    </r>
    <r>
      <rPr>
        <sz val="11"/>
        <color theme="1"/>
        <rFont val="宋体"/>
        <family val="3"/>
        <charset val="134"/>
        <scheme val="minor"/>
      </rPr>
      <t>号</t>
    </r>
    <phoneticPr fontId="134" type="noConversion"/>
  </si>
  <si>
    <t>朝阳区东三环北路甲26号楼-1层07-4</t>
    <phoneticPr fontId="134" type="noConversion"/>
  </si>
  <si>
    <t>商业07-2</t>
  </si>
  <si>
    <t>商业07-3</t>
  </si>
  <si>
    <t>商业07-4</t>
  </si>
  <si>
    <t>地下</t>
  </si>
  <si>
    <t>是</t>
  </si>
  <si>
    <t>否</t>
  </si>
  <si>
    <t>商业07-2</t>
    <phoneticPr fontId="7" type="noConversion"/>
  </si>
  <si>
    <t>抵押</t>
  </si>
  <si>
    <t>房地产抵押价值</t>
  </si>
  <si>
    <t>北京市</t>
  </si>
  <si>
    <t>企业</t>
  </si>
  <si>
    <t>成新度</t>
  </si>
  <si>
    <t>直线</t>
    <phoneticPr fontId="3" type="noConversion"/>
  </si>
  <si>
    <t>观察</t>
    <phoneticPr fontId="3" type="noConversion"/>
  </si>
  <si>
    <t>收益法 (元)</t>
  </si>
  <si>
    <t>挂牌</t>
    <phoneticPr fontId="3" type="noConversion"/>
  </si>
  <si>
    <r>
      <t>35-40</t>
    </r>
    <r>
      <rPr>
        <sz val="11"/>
        <rFont val="宋体"/>
        <family val="3"/>
        <charset val="134"/>
      </rPr>
      <t>年</t>
    </r>
    <phoneticPr fontId="3" type="noConversion"/>
  </si>
  <si>
    <r>
      <t>30-35</t>
    </r>
    <r>
      <rPr>
        <sz val="11"/>
        <rFont val="宋体"/>
        <family val="3"/>
        <charset val="134"/>
      </rPr>
      <t>年</t>
    </r>
    <phoneticPr fontId="3" type="noConversion"/>
  </si>
  <si>
    <r>
      <t>25-30</t>
    </r>
    <r>
      <rPr>
        <sz val="11"/>
        <rFont val="宋体"/>
        <family val="3"/>
        <charset val="134"/>
      </rPr>
      <t>年</t>
    </r>
    <phoneticPr fontId="3" type="noConversion"/>
  </si>
  <si>
    <r>
      <t>20-25</t>
    </r>
    <r>
      <rPr>
        <sz val="11"/>
        <rFont val="宋体"/>
        <family val="3"/>
        <charset val="134"/>
      </rPr>
      <t>年</t>
    </r>
    <phoneticPr fontId="3" type="noConversion"/>
  </si>
  <si>
    <r>
      <t>15-20</t>
    </r>
    <r>
      <rPr>
        <sz val="11"/>
        <rFont val="宋体"/>
        <family val="3"/>
        <charset val="134"/>
      </rPr>
      <t>年</t>
    </r>
    <phoneticPr fontId="3" type="noConversion"/>
  </si>
  <si>
    <r>
      <t>10-15</t>
    </r>
    <r>
      <rPr>
        <sz val="11"/>
        <rFont val="宋体"/>
        <family val="3"/>
        <charset val="134"/>
      </rPr>
      <t>年</t>
    </r>
    <phoneticPr fontId="3" type="noConversion"/>
  </si>
  <si>
    <t>街角地</t>
  </si>
  <si>
    <t>多面临街</t>
  </si>
  <si>
    <t>双面临街</t>
  </si>
  <si>
    <t>单面临街</t>
  </si>
  <si>
    <t>不临街</t>
  </si>
  <si>
    <t>外铺</t>
    <phoneticPr fontId="3" type="noConversion"/>
  </si>
  <si>
    <t>内铺</t>
    <phoneticPr fontId="3" type="noConversion"/>
  </si>
  <si>
    <t>大</t>
  </si>
  <si>
    <t>较大</t>
  </si>
  <si>
    <t>较小</t>
  </si>
  <si>
    <t>小</t>
  </si>
  <si>
    <t>一层</t>
  </si>
  <si>
    <t>二层</t>
  </si>
  <si>
    <t>地下一层</t>
    <phoneticPr fontId="3" type="noConversion"/>
  </si>
  <si>
    <t>商场</t>
    <phoneticPr fontId="134" type="noConversion"/>
  </si>
  <si>
    <t>步行街</t>
    <phoneticPr fontId="134" type="noConversion"/>
  </si>
  <si>
    <t>住宅配套商业</t>
  </si>
  <si>
    <t>写字楼底商</t>
  </si>
  <si>
    <t>钢混</t>
  </si>
  <si>
    <t>砖混</t>
    <phoneticPr fontId="3" type="noConversion"/>
  </si>
  <si>
    <t>精装修</t>
  </si>
  <si>
    <t>普通装修</t>
  </si>
  <si>
    <t>可餐饮</t>
  </si>
  <si>
    <t>不可餐饮</t>
  </si>
  <si>
    <t>5米</t>
  </si>
  <si>
    <r>
      <rPr>
        <sz val="11"/>
        <color indexed="8"/>
        <rFont val="Arial"/>
        <family val="2"/>
      </rPr>
      <t>3</t>
    </r>
    <r>
      <rPr>
        <sz val="11"/>
        <color indexed="8"/>
        <rFont val="宋体"/>
        <family val="3"/>
        <charset val="134"/>
      </rPr>
      <t>米</t>
    </r>
  </si>
  <si>
    <t>较适宜</t>
  </si>
  <si>
    <t>简单装修</t>
  </si>
  <si>
    <t>毛坯</t>
  </si>
  <si>
    <t>单套模式</t>
  </si>
  <si>
    <t>售价</t>
  </si>
  <si>
    <t>含税</t>
  </si>
  <si>
    <t>万通中心</t>
    <phoneticPr fontId="3" type="noConversion"/>
  </si>
  <si>
    <t>三里屯soho</t>
    <phoneticPr fontId="3" type="noConversion"/>
  </si>
  <si>
    <t>俊豪中央公园</t>
    <phoneticPr fontId="3" type="noConversion"/>
  </si>
  <si>
    <t>正常</t>
  </si>
  <si>
    <t>挂牌</t>
  </si>
  <si>
    <t>商业</t>
    <phoneticPr fontId="30" type="noConversion"/>
  </si>
  <si>
    <r>
      <t>20-25</t>
    </r>
    <r>
      <rPr>
        <sz val="11"/>
        <color indexed="8"/>
        <rFont val="宋体"/>
        <family val="3"/>
        <charset val="134"/>
      </rPr>
      <t>年</t>
    </r>
    <phoneticPr fontId="30" type="noConversion"/>
  </si>
  <si>
    <r>
      <t>25-30</t>
    </r>
    <r>
      <rPr>
        <sz val="11"/>
        <color indexed="8"/>
        <rFont val="宋体"/>
        <family val="3"/>
        <charset val="134"/>
      </rPr>
      <t>年</t>
    </r>
    <phoneticPr fontId="30" type="noConversion"/>
  </si>
  <si>
    <r>
      <t>15-20</t>
    </r>
    <r>
      <rPr>
        <sz val="11"/>
        <color indexed="8"/>
        <rFont val="宋体"/>
        <family val="3"/>
        <charset val="134"/>
      </rPr>
      <t>年</t>
    </r>
    <phoneticPr fontId="30" type="noConversion"/>
  </si>
  <si>
    <t>土地剩余年期</t>
    <phoneticPr fontId="30" type="noConversion"/>
  </si>
  <si>
    <t>地下一层</t>
  </si>
  <si>
    <t>3米</t>
  </si>
  <si>
    <t>建成年代</t>
    <phoneticPr fontId="30" type="noConversion"/>
  </si>
  <si>
    <t>https://shangye.ke.com/bj/sp_buy/101128734185.html?tags=%E8%BF%91%E5%9C%B0%E9%93%81%2C%E6%9C%89%E4%BE%9B%E6%9A%96%2C%E7%B2%BE%E8%A3%85%E4%BF%AE%2C%E5%8F%AF%E6%B3%A8%E5%86%8C%2C%E4%B8%8B%E6%B0%B4%2C%E4%B8%8A%E6%B0%B4%2C%E6%89%B6%E6%A2%AF%2C220v%2C%E5%B8%A6%E5%AE%B6%E5%85%B7</t>
    <phoneticPr fontId="134" type="noConversion"/>
  </si>
  <si>
    <t>https://shangye.ke.com/bj/sp_buy/101130168344.html?tags=%E8%BF%91%E5%9C%B0%E9%93%81</t>
  </si>
  <si>
    <t>https://shangye.ke.com/bj/sp_buy/101118718755.html?tags=%E8%BF%91%E5%9C%B0%E9%93%81%2C%E5%8F%AF%E5%A2%9E%E5%AE%B9%E7%94%B5%E5%8A%9B%2C%E5%8F%AF%E6%B3%A8%E5%86%8C%2C%E4%B8%8B%E6%B0%B4%2C%E4%B8%8A%E6%B0%B4</t>
  </si>
  <si>
    <t>押一</t>
  </si>
  <si>
    <t>按不含税租金收入（有效毛租金收入）计税</t>
  </si>
  <si>
    <t>非生产用房</t>
  </si>
  <si>
    <t>比较法-商业</t>
  </si>
  <si>
    <t>总价</t>
    <phoneticPr fontId="24" type="noConversion"/>
  </si>
  <si>
    <t>好</t>
  </si>
  <si>
    <t>泰悦豪庭</t>
    <phoneticPr fontId="3" type="noConversion"/>
  </si>
  <si>
    <t>圣世一品</t>
    <phoneticPr fontId="3" type="noConversion"/>
  </si>
  <si>
    <t>直线成新</t>
    <phoneticPr fontId="134" type="noConversion"/>
  </si>
  <si>
    <t>观察成新</t>
    <phoneticPr fontId="134" type="noConversion"/>
  </si>
  <si>
    <t>租金</t>
  </si>
  <si>
    <t>一般</t>
    <phoneticPr fontId="134" type="noConversion"/>
  </si>
  <si>
    <t>较好</t>
    <phoneticPr fontId="134" type="noConversion"/>
  </si>
  <si>
    <t>求地下一层</t>
    <phoneticPr fontId="134" type="noConversion"/>
  </si>
  <si>
    <t>自定义容积率</t>
  </si>
  <si>
    <t>不临65条商业街</t>
  </si>
  <si>
    <t>与级别开发程度不一致</t>
  </si>
  <si>
    <t>通路</t>
  </si>
  <si>
    <t>通电</t>
  </si>
  <si>
    <t>通讯</t>
  </si>
  <si>
    <t>通上水</t>
  </si>
  <si>
    <t>通下水</t>
  </si>
  <si>
    <t>燃气</t>
  </si>
  <si>
    <t>平整</t>
  </si>
  <si>
    <t>按公示增长率计算</t>
  </si>
  <si>
    <t>中心城区</t>
  </si>
  <si>
    <t>容积率修正</t>
  </si>
  <si>
    <t>未包含在土地购买价格中</t>
  </si>
  <si>
    <t>全部缴纳</t>
  </si>
  <si>
    <t>已包含在土地取得成本中</t>
  </si>
  <si>
    <t>单价</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</si>
</sst>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3" fillId="0" borderId="0" applyNumberFormat="0" applyFill="0" applyBorder="0" applyAlignment="0" applyProtection="0">
      <alignment vertical="center"/>
    </xf>
  </cellStyleXfs>
  <cellXfs count="47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95" fillId="0" borderId="0" xfId="18" applyAlignment="1">
      <alignment horizontal="left" vertical="center"/>
    </xf>
    <xf numFmtId="58" fontId="95" fillId="0" borderId="0" xfId="18" applyNumberFormat="1" applyAlignment="1">
      <alignment horizontal="left" vertical="center"/>
    </xf>
    <xf numFmtId="0" fontId="128" fillId="0" borderId="51" xfId="0" applyFont="1" applyBorder="1" applyAlignment="1" applyProtection="1">
      <alignment horizontal="left" vertical="center" wrapText="1"/>
      <protection locked="0"/>
    </xf>
    <xf numFmtId="0" fontId="128" fillId="0" borderId="46" xfId="0" applyFont="1" applyBorder="1" applyAlignment="1" applyProtection="1">
      <alignment horizontal="left" vertical="center" wrapText="1"/>
      <protection locked="0"/>
    </xf>
    <xf numFmtId="0" fontId="128" fillId="0" borderId="5" xfId="0" applyFont="1" applyBorder="1" applyAlignment="1" applyProtection="1">
      <alignment horizontal="left" vertical="center" wrapText="1"/>
      <protection locked="0"/>
    </xf>
    <xf numFmtId="0" fontId="293" fillId="0" borderId="0" xfId="19">
      <alignment vertical="center"/>
    </xf>
    <xf numFmtId="0" fontId="95" fillId="0" borderId="0" xfId="18">
      <alignment vertical="center"/>
    </xf>
    <xf numFmtId="0" fontId="77" fillId="7" borderId="0" xfId="0" applyFont="1" applyFill="1" applyProtection="1">
      <alignment vertical="center"/>
      <protection locked="0"/>
    </xf>
    <xf numFmtId="0" fontId="128" fillId="0" borderId="33" xfId="0" applyFont="1" applyBorder="1" applyAlignment="1" applyProtection="1">
      <alignment horizontal="left" vertical="center" wrapText="1"/>
      <protection locked="0"/>
    </xf>
    <xf numFmtId="0" fontId="94" fillId="0" borderId="37" xfId="0" applyFont="1" applyBorder="1" applyAlignment="1" applyProtection="1">
      <alignment horizontal="left" vertical="center" wrapText="1"/>
      <protection locked="0"/>
    </xf>
    <xf numFmtId="0" fontId="94" fillId="12" borderId="0" xfId="0" applyFont="1" applyFill="1" applyAlignment="1" applyProtection="1">
      <alignment horizontal="center"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7" fillId="0" borderId="3" xfId="0" applyFont="1" applyBorder="1" applyAlignment="1" applyProtection="1">
      <alignment horizontal="left" vertical="center" wrapText="1"/>
      <protection locked="0"/>
    </xf>
    <xf numFmtId="0" fontId="207" fillId="0" borderId="23" xfId="0" applyFont="1" applyBorder="1" applyAlignment="1" applyProtection="1">
      <alignment horizontal="left"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6">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133350</xdr:rowOff>
    </xdr:from>
    <xdr:to>
      <xdr:col>5</xdr:col>
      <xdr:colOff>122692</xdr:colOff>
      <xdr:row>35</xdr:row>
      <xdr:rowOff>161206</xdr:rowOff>
    </xdr:to>
    <xdr:pic>
      <xdr:nvPicPr>
        <xdr:cNvPr id="2" name="图片 1">
          <a:extLst>
            <a:ext uri="{FF2B5EF4-FFF2-40B4-BE49-F238E27FC236}">
              <a16:creationId xmlns:a16="http://schemas.microsoft.com/office/drawing/2014/main" id="{E687EC8C-C014-4D56-9F1F-63ABE33B0696}"/>
            </a:ext>
          </a:extLst>
        </xdr:cNvPr>
        <xdr:cNvPicPr>
          <a:picLocks noChangeAspect="1"/>
        </xdr:cNvPicPr>
      </xdr:nvPicPr>
      <xdr:blipFill>
        <a:blip xmlns:r="http://schemas.openxmlformats.org/officeDocument/2006/relationships" r:embed="rId1"/>
        <a:stretch>
          <a:fillRect/>
        </a:stretch>
      </xdr:blipFill>
      <xdr:spPr>
        <a:xfrm>
          <a:off x="0" y="1162050"/>
          <a:ext cx="6675892" cy="4999906"/>
        </a:xfrm>
        <a:prstGeom prst="rect">
          <a:avLst/>
        </a:prstGeom>
      </xdr:spPr>
    </xdr:pic>
    <xdr:clientData/>
  </xdr:twoCellAnchor>
  <xdr:oneCellAnchor>
    <xdr:from>
      <xdr:col>2</xdr:col>
      <xdr:colOff>110425</xdr:colOff>
      <xdr:row>14</xdr:row>
      <xdr:rowOff>127598</xdr:rowOff>
    </xdr:from>
    <xdr:ext cx="512576" cy="311496"/>
    <xdr:sp macro="" textlink="">
      <xdr:nvSpPr>
        <xdr:cNvPr id="3" name="矩形 2">
          <a:extLst>
            <a:ext uri="{FF2B5EF4-FFF2-40B4-BE49-F238E27FC236}">
              <a16:creationId xmlns:a16="http://schemas.microsoft.com/office/drawing/2014/main" id="{3CFA38E2-DDD2-4B83-BF0A-2158BF07B1DB}"/>
            </a:ext>
          </a:extLst>
        </xdr:cNvPr>
        <xdr:cNvSpPr/>
      </xdr:nvSpPr>
      <xdr:spPr>
        <a:xfrm>
          <a:off x="2786950" y="2527898"/>
          <a:ext cx="512576" cy="311496"/>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07-2</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xdr:col>
      <xdr:colOff>66675</xdr:colOff>
      <xdr:row>20</xdr:row>
      <xdr:rowOff>9525</xdr:rowOff>
    </xdr:from>
    <xdr:ext cx="512577" cy="311496"/>
    <xdr:sp macro="" textlink="">
      <xdr:nvSpPr>
        <xdr:cNvPr id="4" name="矩形 3">
          <a:extLst>
            <a:ext uri="{FF2B5EF4-FFF2-40B4-BE49-F238E27FC236}">
              <a16:creationId xmlns:a16="http://schemas.microsoft.com/office/drawing/2014/main" id="{38065E5D-2B92-41B1-AF36-239F5F1093F6}"/>
            </a:ext>
          </a:extLst>
        </xdr:cNvPr>
        <xdr:cNvSpPr/>
      </xdr:nvSpPr>
      <xdr:spPr>
        <a:xfrm>
          <a:off x="2743200" y="3438525"/>
          <a:ext cx="512577" cy="311496"/>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07-3</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xdr:col>
      <xdr:colOff>95250</xdr:colOff>
      <xdr:row>26</xdr:row>
      <xdr:rowOff>133350</xdr:rowOff>
    </xdr:from>
    <xdr:ext cx="512577" cy="311496"/>
    <xdr:sp macro="" textlink="">
      <xdr:nvSpPr>
        <xdr:cNvPr id="5" name="矩形 4">
          <a:extLst>
            <a:ext uri="{FF2B5EF4-FFF2-40B4-BE49-F238E27FC236}">
              <a16:creationId xmlns:a16="http://schemas.microsoft.com/office/drawing/2014/main" id="{BAB41052-83BB-481C-AC10-3D65513B9E43}"/>
            </a:ext>
          </a:extLst>
        </xdr:cNvPr>
        <xdr:cNvSpPr/>
      </xdr:nvSpPr>
      <xdr:spPr>
        <a:xfrm>
          <a:off x="2771775" y="4591050"/>
          <a:ext cx="512577" cy="311496"/>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07-4</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45</xdr:row>
      <xdr:rowOff>129176</xdr:rowOff>
    </xdr:from>
    <xdr:to>
      <xdr:col>12</xdr:col>
      <xdr:colOff>19270</xdr:colOff>
      <xdr:row>70</xdr:row>
      <xdr:rowOff>76200</xdr:rowOff>
    </xdr:to>
    <xdr:pic>
      <xdr:nvPicPr>
        <xdr:cNvPr id="2" name="图片 1">
          <a:extLst>
            <a:ext uri="{FF2B5EF4-FFF2-40B4-BE49-F238E27FC236}">
              <a16:creationId xmlns:a16="http://schemas.microsoft.com/office/drawing/2014/main" id="{BD6DC059-72D1-4E4C-AC83-B3A721463B18}"/>
            </a:ext>
          </a:extLst>
        </xdr:cNvPr>
        <xdr:cNvPicPr>
          <a:picLocks noChangeAspect="1"/>
        </xdr:cNvPicPr>
      </xdr:nvPicPr>
      <xdr:blipFill>
        <a:blip xmlns:r="http://schemas.openxmlformats.org/officeDocument/2006/relationships" r:embed="rId1"/>
        <a:stretch>
          <a:fillRect/>
        </a:stretch>
      </xdr:blipFill>
      <xdr:spPr>
        <a:xfrm>
          <a:off x="0" y="7844426"/>
          <a:ext cx="8248870" cy="4233274"/>
        </a:xfrm>
        <a:prstGeom prst="rect">
          <a:avLst/>
        </a:prstGeom>
      </xdr:spPr>
    </xdr:pic>
    <xdr:clientData/>
  </xdr:twoCellAnchor>
  <xdr:twoCellAnchor>
    <xdr:from>
      <xdr:col>0</xdr:col>
      <xdr:colOff>0</xdr:colOff>
      <xdr:row>20</xdr:row>
      <xdr:rowOff>85725</xdr:rowOff>
    </xdr:from>
    <xdr:to>
      <xdr:col>13</xdr:col>
      <xdr:colOff>656785</xdr:colOff>
      <xdr:row>45</xdr:row>
      <xdr:rowOff>56270</xdr:rowOff>
    </xdr:to>
    <xdr:grpSp>
      <xdr:nvGrpSpPr>
        <xdr:cNvPr id="6" name="组合 5">
          <a:extLst>
            <a:ext uri="{FF2B5EF4-FFF2-40B4-BE49-F238E27FC236}">
              <a16:creationId xmlns:a16="http://schemas.microsoft.com/office/drawing/2014/main" id="{9B3CB16C-1941-4DB0-AE2B-3AA7DB1ACAA7}"/>
            </a:ext>
          </a:extLst>
        </xdr:cNvPr>
        <xdr:cNvGrpSpPr/>
      </xdr:nvGrpSpPr>
      <xdr:grpSpPr>
        <a:xfrm>
          <a:off x="0" y="3514725"/>
          <a:ext cx="9572185" cy="4256795"/>
          <a:chOff x="523874" y="3495675"/>
          <a:chExt cx="9572185" cy="4256795"/>
        </a:xfrm>
      </xdr:grpSpPr>
      <xdr:pic>
        <xdr:nvPicPr>
          <xdr:cNvPr id="7" name="图片 6">
            <a:extLst>
              <a:ext uri="{FF2B5EF4-FFF2-40B4-BE49-F238E27FC236}">
                <a16:creationId xmlns:a16="http://schemas.microsoft.com/office/drawing/2014/main" id="{70EB544D-452F-46D3-F992-43CCBBA73E49}"/>
              </a:ext>
            </a:extLst>
          </xdr:cNvPr>
          <xdr:cNvPicPr>
            <a:picLocks noChangeAspect="1"/>
          </xdr:cNvPicPr>
        </xdr:nvPicPr>
        <xdr:blipFill rotWithShape="1">
          <a:blip xmlns:r="http://schemas.openxmlformats.org/officeDocument/2006/relationships" r:embed="rId2"/>
          <a:srcRect l="6316"/>
          <a:stretch>
            <a:fillRect/>
          </a:stretch>
        </xdr:blipFill>
        <xdr:spPr>
          <a:xfrm>
            <a:off x="523874" y="3495675"/>
            <a:ext cx="7770827" cy="4256795"/>
          </a:xfrm>
          <a:prstGeom prst="rect">
            <a:avLst/>
          </a:prstGeom>
        </xdr:spPr>
      </xdr:pic>
      <xdr:pic>
        <xdr:nvPicPr>
          <xdr:cNvPr id="8" name="图片 7">
            <a:extLst>
              <a:ext uri="{FF2B5EF4-FFF2-40B4-BE49-F238E27FC236}">
                <a16:creationId xmlns:a16="http://schemas.microsoft.com/office/drawing/2014/main" id="{F9138491-BB7A-A2B6-4504-9FA5FFC65E78}"/>
              </a:ext>
            </a:extLst>
          </xdr:cNvPr>
          <xdr:cNvPicPr>
            <a:picLocks noChangeAspect="1"/>
          </xdr:cNvPicPr>
        </xdr:nvPicPr>
        <xdr:blipFill>
          <a:blip xmlns:r="http://schemas.openxmlformats.org/officeDocument/2006/relationships" r:embed="rId3"/>
          <a:stretch>
            <a:fillRect/>
          </a:stretch>
        </xdr:blipFill>
        <xdr:spPr>
          <a:xfrm>
            <a:off x="6572250" y="4762500"/>
            <a:ext cx="3523809" cy="2857143"/>
          </a:xfrm>
          <a:prstGeom prst="rect">
            <a:avLst/>
          </a:prstGeom>
        </xdr:spPr>
      </xdr:pic>
    </xdr:grpSp>
    <xdr:clientData/>
  </xdr:twoCellAnchor>
  <xdr:twoCellAnchor>
    <xdr:from>
      <xdr:col>0</xdr:col>
      <xdr:colOff>0</xdr:colOff>
      <xdr:row>0</xdr:row>
      <xdr:rowOff>0</xdr:rowOff>
    </xdr:from>
    <xdr:to>
      <xdr:col>16</xdr:col>
      <xdr:colOff>237691</xdr:colOff>
      <xdr:row>20</xdr:row>
      <xdr:rowOff>111227</xdr:rowOff>
    </xdr:to>
    <xdr:grpSp>
      <xdr:nvGrpSpPr>
        <xdr:cNvPr id="10" name="组合 9">
          <a:extLst>
            <a:ext uri="{FF2B5EF4-FFF2-40B4-BE49-F238E27FC236}">
              <a16:creationId xmlns:a16="http://schemas.microsoft.com/office/drawing/2014/main" id="{7EE72476-0BEA-96C9-930C-A3DDEFC3203F}"/>
            </a:ext>
          </a:extLst>
        </xdr:cNvPr>
        <xdr:cNvGrpSpPr/>
      </xdr:nvGrpSpPr>
      <xdr:grpSpPr>
        <a:xfrm>
          <a:off x="0" y="0"/>
          <a:ext cx="11210491" cy="3540227"/>
          <a:chOff x="0" y="1"/>
          <a:chExt cx="11210491" cy="3540227"/>
        </a:xfrm>
      </xdr:grpSpPr>
      <xdr:pic>
        <xdr:nvPicPr>
          <xdr:cNvPr id="5" name="图片 4">
            <a:extLst>
              <a:ext uri="{FF2B5EF4-FFF2-40B4-BE49-F238E27FC236}">
                <a16:creationId xmlns:a16="http://schemas.microsoft.com/office/drawing/2014/main" id="{2FA7DE73-D206-7ED0-F80C-44AFD5E72271}"/>
              </a:ext>
            </a:extLst>
          </xdr:cNvPr>
          <xdr:cNvPicPr>
            <a:picLocks noChangeAspect="1"/>
          </xdr:cNvPicPr>
        </xdr:nvPicPr>
        <xdr:blipFill>
          <a:blip xmlns:r="http://schemas.openxmlformats.org/officeDocument/2006/relationships" r:embed="rId4"/>
          <a:stretch>
            <a:fillRect/>
          </a:stretch>
        </xdr:blipFill>
        <xdr:spPr>
          <a:xfrm>
            <a:off x="7743824" y="190500"/>
            <a:ext cx="3466667" cy="2752381"/>
          </a:xfrm>
          <a:prstGeom prst="rect">
            <a:avLst/>
          </a:prstGeom>
        </xdr:spPr>
      </xdr:pic>
      <xdr:pic>
        <xdr:nvPicPr>
          <xdr:cNvPr id="9" name="图片 8">
            <a:extLst>
              <a:ext uri="{FF2B5EF4-FFF2-40B4-BE49-F238E27FC236}">
                <a16:creationId xmlns:a16="http://schemas.microsoft.com/office/drawing/2014/main" id="{E74AF355-50CD-B408-E1C6-D870A5B46D08}"/>
              </a:ext>
            </a:extLst>
          </xdr:cNvPr>
          <xdr:cNvPicPr>
            <a:picLocks noChangeAspect="1"/>
          </xdr:cNvPicPr>
        </xdr:nvPicPr>
        <xdr:blipFill>
          <a:blip xmlns:r="http://schemas.openxmlformats.org/officeDocument/2006/relationships" r:embed="rId5"/>
          <a:stretch>
            <a:fillRect/>
          </a:stretch>
        </xdr:blipFill>
        <xdr:spPr>
          <a:xfrm>
            <a:off x="0" y="1"/>
            <a:ext cx="7839075" cy="3540227"/>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675371</xdr:colOff>
      <xdr:row>21</xdr:row>
      <xdr:rowOff>78486</xdr:rowOff>
    </xdr:to>
    <xdr:grpSp>
      <xdr:nvGrpSpPr>
        <xdr:cNvPr id="4" name="组合 3">
          <a:extLst>
            <a:ext uri="{FF2B5EF4-FFF2-40B4-BE49-F238E27FC236}">
              <a16:creationId xmlns:a16="http://schemas.microsoft.com/office/drawing/2014/main" id="{DD823DF7-E032-A752-F1C6-B727BCFC833E}"/>
            </a:ext>
          </a:extLst>
        </xdr:cNvPr>
        <xdr:cNvGrpSpPr/>
      </xdr:nvGrpSpPr>
      <xdr:grpSpPr>
        <a:xfrm>
          <a:off x="0" y="0"/>
          <a:ext cx="13019771" cy="3678936"/>
          <a:chOff x="0" y="0"/>
          <a:chExt cx="13019771" cy="3678936"/>
        </a:xfrm>
      </xdr:grpSpPr>
      <xdr:pic>
        <xdr:nvPicPr>
          <xdr:cNvPr id="2" name="图片 1">
            <a:extLst>
              <a:ext uri="{FF2B5EF4-FFF2-40B4-BE49-F238E27FC236}">
                <a16:creationId xmlns:a16="http://schemas.microsoft.com/office/drawing/2014/main" id="{72AFA78A-F4FC-DE93-52B8-CCACB53E7121}"/>
              </a:ext>
            </a:extLst>
          </xdr:cNvPr>
          <xdr:cNvPicPr>
            <a:picLocks noChangeAspect="1"/>
          </xdr:cNvPicPr>
        </xdr:nvPicPr>
        <xdr:blipFill>
          <a:blip xmlns:r="http://schemas.openxmlformats.org/officeDocument/2006/relationships" r:embed="rId1"/>
          <a:stretch>
            <a:fillRect/>
          </a:stretch>
        </xdr:blipFill>
        <xdr:spPr>
          <a:xfrm>
            <a:off x="0" y="0"/>
            <a:ext cx="7477125" cy="3678936"/>
          </a:xfrm>
          <a:prstGeom prst="rect">
            <a:avLst/>
          </a:prstGeom>
        </xdr:spPr>
      </xdr:pic>
      <xdr:pic>
        <xdr:nvPicPr>
          <xdr:cNvPr id="3" name="图片 2">
            <a:extLst>
              <a:ext uri="{FF2B5EF4-FFF2-40B4-BE49-F238E27FC236}">
                <a16:creationId xmlns:a16="http://schemas.microsoft.com/office/drawing/2014/main" id="{84D48741-461C-D770-856D-1503F09AE9AD}"/>
              </a:ext>
            </a:extLst>
          </xdr:cNvPr>
          <xdr:cNvPicPr>
            <a:picLocks noChangeAspect="1"/>
          </xdr:cNvPicPr>
        </xdr:nvPicPr>
        <xdr:blipFill>
          <a:blip xmlns:r="http://schemas.openxmlformats.org/officeDocument/2006/relationships" r:embed="rId2"/>
          <a:stretch>
            <a:fillRect/>
          </a:stretch>
        </xdr:blipFill>
        <xdr:spPr>
          <a:xfrm>
            <a:off x="7096125" y="0"/>
            <a:ext cx="5923646" cy="3020357"/>
          </a:xfrm>
          <a:prstGeom prst="rect">
            <a:avLst/>
          </a:prstGeom>
        </xdr:spPr>
      </xdr:pic>
    </xdr:grpSp>
    <xdr:clientData/>
  </xdr:twoCellAnchor>
  <xdr:twoCellAnchor>
    <xdr:from>
      <xdr:col>0</xdr:col>
      <xdr:colOff>0</xdr:colOff>
      <xdr:row>21</xdr:row>
      <xdr:rowOff>66675</xdr:rowOff>
    </xdr:from>
    <xdr:to>
      <xdr:col>18</xdr:col>
      <xdr:colOff>446805</xdr:colOff>
      <xdr:row>42</xdr:row>
      <xdr:rowOff>37442</xdr:rowOff>
    </xdr:to>
    <xdr:grpSp>
      <xdr:nvGrpSpPr>
        <xdr:cNvPr id="7" name="组合 6">
          <a:extLst>
            <a:ext uri="{FF2B5EF4-FFF2-40B4-BE49-F238E27FC236}">
              <a16:creationId xmlns:a16="http://schemas.microsoft.com/office/drawing/2014/main" id="{2E9CC22E-9B47-E802-7DFE-18082C298FE9}"/>
            </a:ext>
          </a:extLst>
        </xdr:cNvPr>
        <xdr:cNvGrpSpPr/>
      </xdr:nvGrpSpPr>
      <xdr:grpSpPr>
        <a:xfrm>
          <a:off x="0" y="3667125"/>
          <a:ext cx="12791205" cy="3571217"/>
          <a:chOff x="0" y="3667125"/>
          <a:chExt cx="12791205" cy="3571217"/>
        </a:xfrm>
      </xdr:grpSpPr>
      <xdr:pic>
        <xdr:nvPicPr>
          <xdr:cNvPr id="5" name="图片 4">
            <a:extLst>
              <a:ext uri="{FF2B5EF4-FFF2-40B4-BE49-F238E27FC236}">
                <a16:creationId xmlns:a16="http://schemas.microsoft.com/office/drawing/2014/main" id="{85A910F2-F7C2-87DD-ACFB-10A4F8CEE898}"/>
              </a:ext>
            </a:extLst>
          </xdr:cNvPr>
          <xdr:cNvPicPr>
            <a:picLocks noChangeAspect="1"/>
          </xdr:cNvPicPr>
        </xdr:nvPicPr>
        <xdr:blipFill>
          <a:blip xmlns:r="http://schemas.openxmlformats.org/officeDocument/2006/relationships" r:embed="rId3"/>
          <a:stretch>
            <a:fillRect/>
          </a:stretch>
        </xdr:blipFill>
        <xdr:spPr>
          <a:xfrm>
            <a:off x="0" y="3667125"/>
            <a:ext cx="7697813" cy="3571217"/>
          </a:xfrm>
          <a:prstGeom prst="rect">
            <a:avLst/>
          </a:prstGeom>
        </xdr:spPr>
      </xdr:pic>
      <xdr:pic>
        <xdr:nvPicPr>
          <xdr:cNvPr id="6" name="图片 5">
            <a:extLst>
              <a:ext uri="{FF2B5EF4-FFF2-40B4-BE49-F238E27FC236}">
                <a16:creationId xmlns:a16="http://schemas.microsoft.com/office/drawing/2014/main" id="{F832D037-5E6E-45FB-75CE-CC7CEC6DCB67}"/>
              </a:ext>
            </a:extLst>
          </xdr:cNvPr>
          <xdr:cNvPicPr>
            <a:picLocks noChangeAspect="1"/>
          </xdr:cNvPicPr>
        </xdr:nvPicPr>
        <xdr:blipFill>
          <a:blip xmlns:r="http://schemas.openxmlformats.org/officeDocument/2006/relationships" r:embed="rId4"/>
          <a:stretch>
            <a:fillRect/>
          </a:stretch>
        </xdr:blipFill>
        <xdr:spPr>
          <a:xfrm>
            <a:off x="7029450" y="3852517"/>
            <a:ext cx="5761755" cy="3176453"/>
          </a:xfrm>
          <a:prstGeom prst="rect">
            <a:avLst/>
          </a:prstGeom>
        </xdr:spPr>
      </xdr:pic>
    </xdr:grpSp>
    <xdr:clientData/>
  </xdr:twoCellAnchor>
  <xdr:twoCellAnchor>
    <xdr:from>
      <xdr:col>0</xdr:col>
      <xdr:colOff>0</xdr:colOff>
      <xdr:row>43</xdr:row>
      <xdr:rowOff>0</xdr:rowOff>
    </xdr:from>
    <xdr:to>
      <xdr:col>17</xdr:col>
      <xdr:colOff>180140</xdr:colOff>
      <xdr:row>63</xdr:row>
      <xdr:rowOff>66040</xdr:rowOff>
    </xdr:to>
    <xdr:grpSp>
      <xdr:nvGrpSpPr>
        <xdr:cNvPr id="10" name="组合 9">
          <a:extLst>
            <a:ext uri="{FF2B5EF4-FFF2-40B4-BE49-F238E27FC236}">
              <a16:creationId xmlns:a16="http://schemas.microsoft.com/office/drawing/2014/main" id="{87B7BC3A-255A-916E-332D-B4089A308102}"/>
            </a:ext>
          </a:extLst>
        </xdr:cNvPr>
        <xdr:cNvGrpSpPr/>
      </xdr:nvGrpSpPr>
      <xdr:grpSpPr>
        <a:xfrm>
          <a:off x="0" y="7372350"/>
          <a:ext cx="11838740" cy="3495040"/>
          <a:chOff x="0" y="7372350"/>
          <a:chExt cx="11838740" cy="3495040"/>
        </a:xfrm>
      </xdr:grpSpPr>
      <xdr:pic>
        <xdr:nvPicPr>
          <xdr:cNvPr id="8" name="图片 7">
            <a:extLst>
              <a:ext uri="{FF2B5EF4-FFF2-40B4-BE49-F238E27FC236}">
                <a16:creationId xmlns:a16="http://schemas.microsoft.com/office/drawing/2014/main" id="{0F4A02BA-BF51-36E4-997E-8B356F7F9A8C}"/>
              </a:ext>
            </a:extLst>
          </xdr:cNvPr>
          <xdr:cNvPicPr>
            <a:picLocks noChangeAspect="1"/>
          </xdr:cNvPicPr>
        </xdr:nvPicPr>
        <xdr:blipFill>
          <a:blip xmlns:r="http://schemas.openxmlformats.org/officeDocument/2006/relationships" r:embed="rId5"/>
          <a:stretch>
            <a:fillRect/>
          </a:stretch>
        </xdr:blipFill>
        <xdr:spPr>
          <a:xfrm>
            <a:off x="0" y="7372350"/>
            <a:ext cx="7796628" cy="3495040"/>
          </a:xfrm>
          <a:prstGeom prst="rect">
            <a:avLst/>
          </a:prstGeom>
        </xdr:spPr>
      </xdr:pic>
      <xdr:pic>
        <xdr:nvPicPr>
          <xdr:cNvPr id="9" name="图片 8">
            <a:extLst>
              <a:ext uri="{FF2B5EF4-FFF2-40B4-BE49-F238E27FC236}">
                <a16:creationId xmlns:a16="http://schemas.microsoft.com/office/drawing/2014/main" id="{62FBA4C7-FCCD-AD07-BA63-EA1C6C1E7C2E}"/>
              </a:ext>
            </a:extLst>
          </xdr:cNvPr>
          <xdr:cNvPicPr>
            <a:picLocks noChangeAspect="1"/>
          </xdr:cNvPicPr>
        </xdr:nvPicPr>
        <xdr:blipFill>
          <a:blip xmlns:r="http://schemas.openxmlformats.org/officeDocument/2006/relationships" r:embed="rId6"/>
          <a:stretch>
            <a:fillRect/>
          </a:stretch>
        </xdr:blipFill>
        <xdr:spPr>
          <a:xfrm>
            <a:off x="6572250" y="7508717"/>
            <a:ext cx="5266490" cy="2644514"/>
          </a:xfrm>
          <a:prstGeom prst="rect">
            <a:avLst/>
          </a:prstGeom>
        </xdr:spPr>
      </xdr:pic>
    </xdr:grpSp>
    <xdr:clientData/>
  </xdr:twoCellAnchor>
  <xdr:twoCellAnchor editAs="oneCell">
    <xdr:from>
      <xdr:col>0</xdr:col>
      <xdr:colOff>0</xdr:colOff>
      <xdr:row>64</xdr:row>
      <xdr:rowOff>66675</xdr:rowOff>
    </xdr:from>
    <xdr:to>
      <xdr:col>12</xdr:col>
      <xdr:colOff>673676</xdr:colOff>
      <xdr:row>93</xdr:row>
      <xdr:rowOff>56432</xdr:rowOff>
    </xdr:to>
    <xdr:pic>
      <xdr:nvPicPr>
        <xdr:cNvPr id="11" name="图片 10">
          <a:extLst>
            <a:ext uri="{FF2B5EF4-FFF2-40B4-BE49-F238E27FC236}">
              <a16:creationId xmlns:a16="http://schemas.microsoft.com/office/drawing/2014/main" id="{D4DFDD8A-6CA1-F2CD-DF1D-500A548C6222}"/>
            </a:ext>
          </a:extLst>
        </xdr:cNvPr>
        <xdr:cNvPicPr>
          <a:picLocks noChangeAspect="1"/>
        </xdr:cNvPicPr>
      </xdr:nvPicPr>
      <xdr:blipFill>
        <a:blip xmlns:r="http://schemas.openxmlformats.org/officeDocument/2006/relationships" r:embed="rId7"/>
        <a:stretch>
          <a:fillRect/>
        </a:stretch>
      </xdr:blipFill>
      <xdr:spPr>
        <a:xfrm>
          <a:off x="0" y="11039475"/>
          <a:ext cx="8903276" cy="49618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strator\Desktop\&#19968;&#23457;&#20462;&#25913;-&#27979;&#31639;-&#21338;&#29790;&#22823;&#21414;&#19977;&#22871;&#21830;&#19994;-&#24352;&#27901;20250903-104457-&#21608;&#24420;20250903-150223.xlsx" TargetMode="External"/><Relationship Id="rId1" Type="http://schemas.openxmlformats.org/officeDocument/2006/relationships/externalLinkPath" Target="&#19968;&#23457;&#20462;&#25913;-&#27979;&#31639;-&#21338;&#29790;&#22823;&#21414;&#19977;&#22871;&#21830;&#19994;-&#24352;&#27901;20250903-104457-&#21608;&#24420;20250903-1502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租金比较法"/>
      <sheetName val="Sheet2"/>
      <sheetName val="Sheet4"/>
      <sheetName val="典型户型修正"/>
      <sheetName val="基准地价（汇总）"/>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商业07-2</v>
          </cell>
        </row>
        <row r="20">
          <cell r="C20"/>
        </row>
        <row r="21">
          <cell r="C21"/>
        </row>
        <row r="22">
          <cell r="C22"/>
        </row>
        <row r="23">
          <cell r="C23"/>
        </row>
        <row r="24">
          <cell r="C24"/>
        </row>
        <row r="25">
          <cell r="C25"/>
        </row>
        <row r="26">
          <cell r="C26"/>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一层</v>
          </cell>
          <cell r="D92" t="str">
            <v>二层</v>
          </cell>
          <cell r="E92" t="str">
            <v>地下一层</v>
          </cell>
          <cell r="F92"/>
          <cell r="G92"/>
          <cell r="H92"/>
          <cell r="I92"/>
          <cell r="J92"/>
          <cell r="K92"/>
          <cell r="L92"/>
          <cell r="M92"/>
        </row>
        <row r="100">
          <cell r="B100" t="str">
            <v>商业类型</v>
          </cell>
          <cell r="C100" t="str">
            <v>商场</v>
          </cell>
          <cell r="D100" t="str">
            <v>步行街</v>
          </cell>
          <cell r="E100" t="str">
            <v>住宅配套商业</v>
          </cell>
          <cell r="F100" t="str">
            <v>写字楼底商</v>
          </cell>
          <cell r="G100"/>
          <cell r="H100"/>
          <cell r="I100"/>
          <cell r="J100"/>
          <cell r="K100"/>
          <cell r="L100"/>
          <cell r="M100"/>
        </row>
        <row r="105">
          <cell r="B105" t="str">
            <v>建筑结构</v>
          </cell>
          <cell r="C105" t="str">
            <v>钢混</v>
          </cell>
          <cell r="D105" t="str">
            <v>砖混</v>
          </cell>
          <cell r="E105"/>
          <cell r="F105"/>
          <cell r="G105"/>
          <cell r="H105"/>
          <cell r="I105"/>
          <cell r="J105"/>
          <cell r="K105"/>
          <cell r="L105"/>
          <cell r="M105"/>
        </row>
        <row r="107">
          <cell r="B107" t="str">
            <v>公共部分装修</v>
          </cell>
          <cell r="C107" t="str">
            <v>精装修</v>
          </cell>
          <cell r="D107" t="str">
            <v>普通装修</v>
          </cell>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5米</v>
          </cell>
          <cell r="D116" t="str">
            <v>3米</v>
          </cell>
          <cell r="E116"/>
          <cell r="F116"/>
          <cell r="G116"/>
          <cell r="H116"/>
          <cell r="I116"/>
          <cell r="J116"/>
          <cell r="K116"/>
          <cell r="L116"/>
          <cell r="M116"/>
        </row>
        <row r="120">
          <cell r="B120" t="str">
            <v>进深比</v>
          </cell>
          <cell r="C120" t="str">
            <v>较适宜</v>
          </cell>
          <cell r="D120"/>
          <cell r="E120"/>
          <cell r="F120"/>
          <cell r="G120"/>
          <cell r="H120"/>
          <cell r="I120"/>
          <cell r="J120"/>
          <cell r="K120"/>
          <cell r="L120"/>
          <cell r="M120"/>
        </row>
        <row r="122">
          <cell r="B122" t="str">
            <v>内部装修</v>
          </cell>
          <cell r="C122" t="str">
            <v>普通装修</v>
          </cell>
          <cell r="D122" t="str">
            <v>简单装修</v>
          </cell>
          <cell r="E122" t="str">
            <v>毛坯</v>
          </cell>
          <cell r="F122"/>
          <cell r="G122"/>
          <cell r="H122"/>
          <cell r="I122"/>
          <cell r="J122"/>
          <cell r="K122"/>
          <cell r="L122"/>
          <cell r="M122"/>
        </row>
      </sheetData>
      <sheetData sheetId="23"/>
      <sheetData sheetId="24"/>
      <sheetData sheetId="25"/>
      <sheetData sheetId="2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7">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28">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29">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0">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1">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2">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3"/>
      <sheetData sheetId="34"/>
      <sheetData sheetId="35"/>
      <sheetData sheetId="3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row r="22">
          <cell r="T22">
            <v>15265614</v>
          </cell>
        </row>
      </sheetData>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row r="140">
          <cell r="C140"/>
        </row>
      </sheetData>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估价对象为北京市房地产，为所有。根据《国有土地使用证》[]，估价对象（分摊）出让国有建设用地使用权面积为0平方米，建筑面积为138.79平方米。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估价对象为北京市房地产,属开发建设的，该项目尚在开发建设中。根据《国有土地使用证》[]，估价对象（分摊）出让国有建设用地使用权面积为0平方米，规划建筑面积为138.79平方米。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2026年1月28日（评估专业人员实地查勘之日）</v>
      </c>
    </row>
    <row r="13" spans="1:2">
      <c r="A13" s="793" t="s">
        <v>523</v>
      </c>
      <c r="B13" s="794"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475.96640000000002</v>
      </c>
    </row>
    <row r="21" spans="1:2">
      <c r="A21" s="793" t="s">
        <v>531</v>
      </c>
      <c r="B21" s="794">
        <f ca="1">'预评函-2'!D7</f>
        <v>2470927</v>
      </c>
    </row>
    <row r="22" spans="1:2">
      <c r="A22" s="793" t="s">
        <v>532</v>
      </c>
      <c r="B22" s="794" t="str">
        <f ca="1">'预评函-2'!D6</f>
        <v>肆佰柒拾伍万玖仟陆佰陆拾肆元整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475.96640000000002</v>
      </c>
    </row>
    <row r="31" spans="1:2">
      <c r="A31" s="793" t="s">
        <v>570</v>
      </c>
      <c r="B31" s="794">
        <f ca="1">'预评函-2'!D15</f>
        <v>2470927</v>
      </c>
    </row>
    <row r="32" spans="1:2">
      <c r="A32" s="793" t="s">
        <v>537</v>
      </c>
      <c r="B32" s="794" t="str">
        <f ca="1">'预评函-2'!D14</f>
        <v>肆佰柒拾伍万玖仟陆佰陆拾肆元整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138.79</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2042</v>
      </c>
      <c r="B2" s="1704">
        <f ca="1">TODAY()</f>
        <v>46098</v>
      </c>
      <c r="C2" s="1705" t="s">
        <v>2043</v>
      </c>
      <c r="D2" s="1705"/>
      <c r="E2" s="1705"/>
      <c r="F2" s="1701"/>
      <c r="G2" s="1701"/>
      <c r="H2" s="1701"/>
    </row>
    <row r="3" spans="1:8" ht="24" customHeight="1">
      <c r="A3" s="1706" t="s">
        <v>2044</v>
      </c>
      <c r="B3" s="876" t="s">
        <v>2045</v>
      </c>
      <c r="C3" s="876" t="s">
        <v>2046</v>
      </c>
      <c r="D3" s="1707" t="s">
        <v>2047</v>
      </c>
      <c r="E3" s="1708" t="s">
        <v>2048</v>
      </c>
      <c r="F3" s="876" t="s">
        <v>2049</v>
      </c>
      <c r="G3" s="876" t="s">
        <v>2046</v>
      </c>
      <c r="H3" s="1707" t="s">
        <v>2050</v>
      </c>
    </row>
    <row r="4" spans="1:8" ht="24" customHeight="1">
      <c r="A4" s="876" t="s">
        <v>2051</v>
      </c>
      <c r="B4" s="3489" t="str">
        <f ca="1">IF(C4&lt;B2,"已过期",1119970066)</f>
        <v>已过期</v>
      </c>
      <c r="C4" s="876">
        <v>45937</v>
      </c>
      <c r="D4" s="1709" t="str">
        <f ca="1">A4&amp;"（注册号："&amp;B4&amp;"）"</f>
        <v>梁津（注册号：已过期）</v>
      </c>
      <c r="E4" s="1710" t="s">
        <v>2051</v>
      </c>
      <c r="F4" s="3489">
        <f ca="1">IF(G4&lt;B2,"已过期",96010014)</f>
        <v>96010014</v>
      </c>
      <c r="G4" s="1711">
        <v>47118</v>
      </c>
      <c r="H4" s="1712" t="str">
        <f ca="1">E4&amp;"（注册号："&amp;F4&amp;"）"</f>
        <v>梁津（注册号：96010014）</v>
      </c>
    </row>
    <row r="5" spans="1:8" ht="24" customHeight="1">
      <c r="A5" s="876" t="s">
        <v>2052</v>
      </c>
      <c r="B5" s="3489" t="str">
        <f ca="1">IF(C5&lt;B2,"已过期",1119970111)</f>
        <v>已过期</v>
      </c>
      <c r="C5" s="876">
        <v>45937</v>
      </c>
      <c r="D5" s="1709" t="str">
        <f t="shared" ref="D5:D15" ca="1" si="0">A5&amp;"（注册号："&amp;B5&amp;"）"</f>
        <v>叶凌（注册号：已过期）</v>
      </c>
      <c r="E5" s="1710" t="s">
        <v>2052</v>
      </c>
      <c r="F5" s="3489">
        <f ca="1">IF(G5&lt;B2,"已过期",94010078)</f>
        <v>94010078</v>
      </c>
      <c r="G5" s="1711">
        <v>46387</v>
      </c>
      <c r="H5" s="1712" t="str">
        <f t="shared" ref="H5:H16" ca="1" si="1">E5&amp;"（注册号："&amp;F5&amp;"）"</f>
        <v>叶凌（注册号：94010078）</v>
      </c>
    </row>
    <row r="6" spans="1:8" ht="24" customHeight="1">
      <c r="A6" s="876" t="s">
        <v>2053</v>
      </c>
      <c r="B6" s="3489" t="str">
        <f ca="1">IF(C6&lt;B2,"已过期",1120050019)</f>
        <v>已过期</v>
      </c>
      <c r="C6" s="876">
        <v>45410</v>
      </c>
      <c r="D6" s="1709" t="str">
        <f t="shared" ca="1" si="0"/>
        <v>王鹏（注册号：已过期）</v>
      </c>
      <c r="E6" s="1710" t="s">
        <v>2053</v>
      </c>
      <c r="F6" s="3489">
        <f ca="1">IF(G6&lt;B2,"已过期",2002110030)</f>
        <v>2002110030</v>
      </c>
      <c r="G6" s="1711">
        <v>46387</v>
      </c>
      <c r="H6" s="1712" t="str">
        <f t="shared" ca="1" si="1"/>
        <v>王鹏（注册号：2002110030）</v>
      </c>
    </row>
    <row r="7" spans="1:8" ht="24" customHeight="1">
      <c r="A7" s="876" t="s">
        <v>2054</v>
      </c>
      <c r="B7" s="3489" t="str">
        <f ca="1">IF(C7&lt;B2,"已过期",1120000080)</f>
        <v>已过期</v>
      </c>
      <c r="C7" s="876">
        <v>45937</v>
      </c>
      <c r="D7" s="1709" t="str">
        <f t="shared" ca="1" si="0"/>
        <v>欧红伟（注册号：已过期）</v>
      </c>
      <c r="E7" s="1710" t="s">
        <v>2054</v>
      </c>
      <c r="F7" s="3489">
        <f ca="1">IF(G7&lt;B2,"已过期",2000110082)</f>
        <v>2000110082</v>
      </c>
      <c r="G7" s="1711">
        <v>46387</v>
      </c>
      <c r="H7" s="1712" t="str">
        <f t="shared" ca="1" si="1"/>
        <v>欧红伟（注册号：2000110082）</v>
      </c>
    </row>
    <row r="8" spans="1:8" ht="24" customHeight="1">
      <c r="A8" s="876" t="s">
        <v>2055</v>
      </c>
      <c r="B8" s="3489" t="str">
        <f ca="1">IF(C8&lt;B2,"已过期",1419970001)</f>
        <v>已过期</v>
      </c>
      <c r="C8" s="876">
        <v>45937</v>
      </c>
      <c r="D8" s="1709" t="str">
        <f t="shared" ca="1" si="0"/>
        <v>吴薇（注册号：已过期）</v>
      </c>
      <c r="E8" s="1710" t="s">
        <v>2055</v>
      </c>
      <c r="F8" s="3489">
        <f ca="1">IF(G8&lt;B2,"已过期",2002110125)</f>
        <v>2002110125</v>
      </c>
      <c r="G8" s="1711">
        <v>47118</v>
      </c>
      <c r="H8" s="1712" t="str">
        <f t="shared" ca="1" si="1"/>
        <v>吴薇（注册号：2002110125）</v>
      </c>
    </row>
    <row r="9" spans="1:8" ht="24" customHeight="1">
      <c r="A9" s="876" t="s">
        <v>2056</v>
      </c>
      <c r="B9" s="3489" t="str">
        <f ca="1">IF(C9&lt;B2,"已过期",1120060040)</f>
        <v>已过期</v>
      </c>
      <c r="C9" s="1707">
        <v>45592</v>
      </c>
      <c r="D9" s="1709" t="str">
        <f t="shared" ca="1" si="0"/>
        <v>陈颖（注册号：已过期）</v>
      </c>
      <c r="E9" s="1710" t="s">
        <v>2056</v>
      </c>
      <c r="F9" s="3489">
        <f ca="1">IF(G9&lt;B2,"已过期",2004110096)</f>
        <v>2004110096</v>
      </c>
      <c r="G9" s="1711">
        <v>47118</v>
      </c>
      <c r="H9" s="1712" t="str">
        <f t="shared" ca="1" si="1"/>
        <v>陈颖（注册号：2004110096）</v>
      </c>
    </row>
    <row r="10" spans="1:8" ht="24" customHeight="1">
      <c r="A10" s="876" t="s">
        <v>2057</v>
      </c>
      <c r="B10" s="3489" t="str">
        <f ca="1">IF(C10&lt;B2,"已过期",1120100036)</f>
        <v>已过期</v>
      </c>
      <c r="C10" s="1707">
        <v>45752</v>
      </c>
      <c r="D10" s="1709" t="str">
        <f t="shared" ca="1" si="0"/>
        <v>崔锴（注册号：已过期）</v>
      </c>
      <c r="E10" s="1710" t="s">
        <v>2057</v>
      </c>
      <c r="F10" s="3489">
        <f ca="1">IF(G10&lt;B2,"已过期",2010110070)</f>
        <v>2010110070</v>
      </c>
      <c r="G10" s="1711">
        <v>47907</v>
      </c>
      <c r="H10" s="1712" t="str">
        <f t="shared" ca="1" si="1"/>
        <v>崔锴（注册号：2010110070）</v>
      </c>
    </row>
    <row r="11" spans="1:8" ht="24" customHeight="1">
      <c r="A11" s="876" t="s">
        <v>2058</v>
      </c>
      <c r="B11" s="3489" t="str">
        <f ca="1">IF(C11&lt;B2,"已过期",1120070131)</f>
        <v>已过期</v>
      </c>
      <c r="C11" s="876">
        <v>45937</v>
      </c>
      <c r="D11" s="1709" t="str">
        <f t="shared" ca="1" si="0"/>
        <v>郑燚（注册号：已过期）</v>
      </c>
      <c r="E11" s="1710" t="s">
        <v>2058</v>
      </c>
      <c r="F11" s="3489">
        <f ca="1">IF(G11&lt;B2,"已过期",2014110011)</f>
        <v>2014110011</v>
      </c>
      <c r="G11" s="1711">
        <v>49302</v>
      </c>
      <c r="H11" s="1712" t="str">
        <f t="shared" ca="1" si="1"/>
        <v>郑燚（注册号：2014110011）</v>
      </c>
    </row>
    <row r="12" spans="1:8" ht="24" customHeight="1">
      <c r="A12" s="876" t="s">
        <v>2059</v>
      </c>
      <c r="B12" s="3489" t="str">
        <f ca="1">IF(C12&lt;B2,"已过期",1120040230)</f>
        <v>已过期</v>
      </c>
      <c r="C12" s="1707">
        <v>45937</v>
      </c>
      <c r="D12" s="1709" t="str">
        <f t="shared" ca="1" si="0"/>
        <v>苏海（注册号：已过期）</v>
      </c>
      <c r="E12" s="1710" t="s">
        <v>2059</v>
      </c>
      <c r="F12" s="3489">
        <f ca="1">IF(G12&lt;B2,"已过期",98030020)</f>
        <v>98030020</v>
      </c>
      <c r="G12" s="1711">
        <v>47118</v>
      </c>
      <c r="H12" s="1712" t="str">
        <f t="shared" ca="1" si="1"/>
        <v>苏海（注册号：98030020）</v>
      </c>
    </row>
    <row r="13" spans="1:8" ht="24" customHeight="1">
      <c r="A13" s="876" t="s">
        <v>2060</v>
      </c>
      <c r="B13" s="3489" t="str">
        <f ca="1">IF(C13&lt;B2,"已过期",1120020033)</f>
        <v>已过期</v>
      </c>
      <c r="C13" s="876">
        <v>45375</v>
      </c>
      <c r="D13" s="1709" t="str">
        <f t="shared" ca="1" si="0"/>
        <v>刘敬东（注册号：已过期）</v>
      </c>
      <c r="E13" s="1710" t="s">
        <v>2060</v>
      </c>
      <c r="F13" s="3489">
        <f ca="1">IF(G13&lt;B2,"已过期",2000110137)</f>
        <v>2000110137</v>
      </c>
      <c r="G13" s="1711">
        <v>46387</v>
      </c>
      <c r="H13" s="1712" t="str">
        <f t="shared" ca="1" si="1"/>
        <v>刘敬东（注册号：2000110137）</v>
      </c>
    </row>
    <row r="14" spans="1:8" ht="24" customHeight="1">
      <c r="A14" s="876" t="s">
        <v>2061</v>
      </c>
      <c r="B14" s="3489" t="str">
        <f ca="1">IF(C14&lt;B2,"已过期",1119980106)</f>
        <v>已过期</v>
      </c>
      <c r="C14" s="1707">
        <v>44969</v>
      </c>
      <c r="D14" s="1709" t="str">
        <f t="shared" ca="1" si="0"/>
        <v>刘俊财（注册号：已过期）</v>
      </c>
      <c r="E14" s="1710" t="s">
        <v>2061</v>
      </c>
      <c r="F14" s="3489">
        <f ca="1">IF(G14&lt;B2,"已过期",96010063)</f>
        <v>96010063</v>
      </c>
      <c r="G14" s="1711">
        <v>47483</v>
      </c>
      <c r="H14" s="1712" t="str">
        <f t="shared" ca="1" si="1"/>
        <v>刘俊财（注册号：96010063）</v>
      </c>
    </row>
    <row r="15" spans="1:8" ht="24" customHeight="1">
      <c r="A15" s="876" t="s">
        <v>2316</v>
      </c>
      <c r="B15" s="3489">
        <v>1120210056</v>
      </c>
      <c r="C15" s="1707">
        <v>45410</v>
      </c>
      <c r="D15" s="1709" t="str">
        <f t="shared" si="0"/>
        <v>宁小鳗（注册号：1120210056）</v>
      </c>
      <c r="E15" s="1710" t="s">
        <v>2062</v>
      </c>
      <c r="F15" s="3489">
        <f ca="1">IF(G15&lt;B2,"已过期",2011110090)</f>
        <v>2011110090</v>
      </c>
      <c r="G15" s="1711">
        <v>48302</v>
      </c>
      <c r="H15" s="1712" t="str">
        <f t="shared" ca="1" si="1"/>
        <v>赵雯（注册号：2011110090）</v>
      </c>
    </row>
    <row r="16" spans="1:8" ht="24" customHeight="1">
      <c r="A16" s="876" t="s">
        <v>3964</v>
      </c>
      <c r="B16" s="876">
        <v>1120240051</v>
      </c>
      <c r="C16" s="876"/>
      <c r="D16" s="1709" t="str">
        <f>A16&amp;"（注册号："&amp;B16&amp;"）"</f>
        <v>赵雯（注册号：1120240051）</v>
      </c>
      <c r="E16" s="1710"/>
      <c r="F16" s="876"/>
      <c r="G16" s="876"/>
      <c r="H16" s="1713" t="str">
        <f t="shared" si="1"/>
        <v>（注册号：）</v>
      </c>
    </row>
    <row r="17" spans="1:8" ht="24" customHeight="1">
      <c r="A17" s="4305" t="s">
        <v>2063</v>
      </c>
      <c r="B17" s="4305"/>
      <c r="C17" s="4305"/>
      <c r="D17" s="4305"/>
      <c r="E17" s="4305"/>
      <c r="F17" s="4305"/>
      <c r="G17" s="4305"/>
      <c r="H17" s="4305"/>
    </row>
    <row r="18" spans="1:8" ht="24" customHeight="1">
      <c r="A18" s="4306" t="s">
        <v>2064</v>
      </c>
      <c r="B18" s="4306"/>
      <c r="C18" s="4306"/>
      <c r="D18" s="1707"/>
      <c r="E18" s="4307" t="s">
        <v>2065</v>
      </c>
      <c r="F18" s="4306"/>
      <c r="G18" s="4306"/>
    </row>
    <row r="19" spans="1:8" s="1715" customFormat="1" ht="24" customHeight="1">
      <c r="A19" s="1714" t="s">
        <v>2066</v>
      </c>
      <c r="B19" s="876" t="s">
        <v>2067</v>
      </c>
      <c r="C19" s="876" t="s">
        <v>2046</v>
      </c>
      <c r="D19" s="1707"/>
      <c r="E19" s="1710" t="s">
        <v>2066</v>
      </c>
      <c r="F19" s="876" t="s">
        <v>2067</v>
      </c>
      <c r="G19" s="876" t="s">
        <v>2046</v>
      </c>
    </row>
    <row r="20" spans="1:8" s="1715" customFormat="1" ht="24" customHeight="1">
      <c r="A20" s="1716" t="s">
        <v>2068</v>
      </c>
      <c r="B20" s="1716" t="s">
        <v>2069</v>
      </c>
      <c r="C20" s="1711">
        <v>45898</v>
      </c>
      <c r="D20" s="1717"/>
      <c r="E20" s="1718" t="s">
        <v>2070</v>
      </c>
      <c r="F20" s="1721" t="s">
        <v>2317</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3227</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3263</v>
      </c>
      <c r="AA1" s="1082" t="s">
        <v>3262</v>
      </c>
      <c r="AB1" s="1082" t="s">
        <v>3</v>
      </c>
    </row>
    <row r="2" spans="1:28">
      <c r="A2" s="1085" t="s">
        <v>17</v>
      </c>
      <c r="B2" s="1085" t="s">
        <v>977</v>
      </c>
      <c r="C2" s="1086" t="s">
        <v>313</v>
      </c>
      <c r="D2" s="1087" t="s">
        <v>978</v>
      </c>
      <c r="E2" s="1087" t="s">
        <v>979</v>
      </c>
      <c r="F2" s="1087" t="s">
        <v>980</v>
      </c>
      <c r="G2" s="3490">
        <v>20</v>
      </c>
      <c r="H2" s="1087" t="s">
        <v>980</v>
      </c>
      <c r="I2" s="1087" t="s">
        <v>3213</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2318</v>
      </c>
      <c r="Y2" s="1089" t="s">
        <v>3269</v>
      </c>
      <c r="Z2" s="1089" t="s">
        <v>2331</v>
      </c>
      <c r="AA2" s="1089" t="s">
        <v>3270</v>
      </c>
      <c r="AB2" s="1089" t="s">
        <v>2358</v>
      </c>
    </row>
    <row r="3" spans="1:28">
      <c r="A3" s="1085" t="s">
        <v>985</v>
      </c>
      <c r="B3" s="1088" t="s">
        <v>442</v>
      </c>
      <c r="C3" s="1086" t="s">
        <v>314</v>
      </c>
      <c r="D3" s="1087" t="s">
        <v>986</v>
      </c>
      <c r="E3" s="1087" t="s">
        <v>12</v>
      </c>
      <c r="F3" s="1087" t="s">
        <v>987</v>
      </c>
      <c r="G3" s="3490">
        <v>40</v>
      </c>
      <c r="H3" s="1087" t="s">
        <v>987</v>
      </c>
      <c r="I3" s="1087" t="s">
        <v>3214</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2320</v>
      </c>
      <c r="Z3" s="1089" t="s">
        <v>2333</v>
      </c>
      <c r="AB3" s="1089" t="s">
        <v>2360</v>
      </c>
    </row>
    <row r="4" spans="1:28">
      <c r="A4" s="1085" t="s">
        <v>992</v>
      </c>
      <c r="B4" s="1085" t="s">
        <v>993</v>
      </c>
      <c r="C4" s="1086" t="s">
        <v>315</v>
      </c>
      <c r="D4" s="1087" t="s">
        <v>383</v>
      </c>
      <c r="E4" s="1087" t="s">
        <v>994</v>
      </c>
      <c r="F4" s="1087" t="s">
        <v>995</v>
      </c>
      <c r="G4" s="3490">
        <v>50</v>
      </c>
      <c r="H4" s="1087" t="s">
        <v>995</v>
      </c>
      <c r="I4" s="1087" t="s">
        <v>3215</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2322</v>
      </c>
      <c r="Z4" s="1089" t="s">
        <v>2335</v>
      </c>
      <c r="AB4" s="1089" t="s">
        <v>2362</v>
      </c>
    </row>
    <row r="5" spans="1:28">
      <c r="A5" s="1085" t="s">
        <v>998</v>
      </c>
      <c r="B5" s="1085" t="s">
        <v>999</v>
      </c>
      <c r="C5" s="1086" t="s">
        <v>316</v>
      </c>
      <c r="F5" s="1087" t="s">
        <v>1000</v>
      </c>
      <c r="G5" s="3490">
        <v>70</v>
      </c>
      <c r="H5" s="1087" t="s">
        <v>1001</v>
      </c>
      <c r="I5" s="1087" t="s">
        <v>3216</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2324</v>
      </c>
      <c r="Z5" s="1089" t="s">
        <v>2337</v>
      </c>
      <c r="AB5" s="1089" t="s">
        <v>3271</v>
      </c>
    </row>
    <row r="6" spans="1:28">
      <c r="A6" s="1085" t="s">
        <v>1004</v>
      </c>
      <c r="B6" s="1088" t="s">
        <v>443</v>
      </c>
      <c r="C6" s="1090" t="s">
        <v>22</v>
      </c>
      <c r="F6" s="1087" t="s">
        <v>1001</v>
      </c>
      <c r="H6" s="1087" t="s">
        <v>1005</v>
      </c>
      <c r="I6" s="1087" t="s">
        <v>3217</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2326</v>
      </c>
      <c r="Z6" s="1089" t="s">
        <v>2339</v>
      </c>
      <c r="AB6" s="1089" t="s">
        <v>2365</v>
      </c>
    </row>
    <row r="7" spans="1:28">
      <c r="A7" s="1085" t="s">
        <v>1007</v>
      </c>
      <c r="B7" s="1088" t="s">
        <v>444</v>
      </c>
      <c r="C7" s="1086" t="s">
        <v>23</v>
      </c>
      <c r="F7" s="1087" t="s">
        <v>1008</v>
      </c>
      <c r="H7" s="1087" t="s">
        <v>1009</v>
      </c>
      <c r="I7" s="1087" t="s">
        <v>3218</v>
      </c>
      <c r="X7" s="1089" t="s">
        <v>2328</v>
      </c>
      <c r="Z7" s="1089" t="s">
        <v>2341</v>
      </c>
      <c r="AB7" s="1089" t="s">
        <v>2367</v>
      </c>
    </row>
    <row r="8" spans="1:28">
      <c r="A8" s="1085" t="s">
        <v>1010</v>
      </c>
      <c r="B8" s="1085" t="s">
        <v>2312</v>
      </c>
      <c r="C8" s="1086" t="s">
        <v>317</v>
      </c>
      <c r="F8" s="1087" t="s">
        <v>1012</v>
      </c>
      <c r="H8" s="1087" t="s">
        <v>2456</v>
      </c>
      <c r="I8" s="1087" t="s">
        <v>3219</v>
      </c>
      <c r="X8" s="1089" t="s">
        <v>3272</v>
      </c>
      <c r="Z8" s="1089" t="s">
        <v>2343</v>
      </c>
      <c r="AB8" s="1089" t="s">
        <v>2369</v>
      </c>
    </row>
    <row r="9" spans="1:28">
      <c r="A9" s="1085" t="s">
        <v>1013</v>
      </c>
      <c r="B9" s="1085" t="s">
        <v>1011</v>
      </c>
      <c r="C9" s="1086" t="s">
        <v>318</v>
      </c>
      <c r="F9" s="1087" t="s">
        <v>1015</v>
      </c>
      <c r="H9" s="1087"/>
      <c r="I9" s="1089" t="s">
        <v>3220</v>
      </c>
      <c r="X9" s="1089" t="s">
        <v>3273</v>
      </c>
      <c r="Z9" s="1089" t="s">
        <v>2345</v>
      </c>
      <c r="AB9" s="1089" t="s">
        <v>2371</v>
      </c>
    </row>
    <row r="10" spans="1:28">
      <c r="A10" s="1085" t="s">
        <v>1016</v>
      </c>
      <c r="B10" s="1085" t="s">
        <v>1014</v>
      </c>
      <c r="C10" s="1086" t="s">
        <v>319</v>
      </c>
      <c r="F10" s="1087" t="s">
        <v>2457</v>
      </c>
      <c r="I10" s="1089" t="s">
        <v>3221</v>
      </c>
      <c r="Z10" s="1089" t="s">
        <v>2347</v>
      </c>
      <c r="AB10" s="1089" t="s">
        <v>2373</v>
      </c>
    </row>
    <row r="11" spans="1:28">
      <c r="A11" s="1085" t="s">
        <v>1018</v>
      </c>
      <c r="B11" s="1085" t="s">
        <v>1017</v>
      </c>
      <c r="C11" s="1086" t="s">
        <v>320</v>
      </c>
      <c r="F11" s="1087" t="s">
        <v>12</v>
      </c>
      <c r="I11" s="1089" t="s">
        <v>3222</v>
      </c>
      <c r="Z11" s="1089" t="s">
        <v>2349</v>
      </c>
      <c r="AB11" s="1089" t="s">
        <v>2375</v>
      </c>
    </row>
    <row r="12" spans="1:28">
      <c r="A12" s="1085" t="s">
        <v>1020</v>
      </c>
      <c r="B12" s="1085" t="s">
        <v>1019</v>
      </c>
      <c r="C12" s="1086" t="s">
        <v>321</v>
      </c>
      <c r="I12" s="1089" t="s">
        <v>3223</v>
      </c>
      <c r="Z12" s="1089" t="s">
        <v>2351</v>
      </c>
      <c r="AB12" s="1089" t="s">
        <v>2377</v>
      </c>
    </row>
    <row r="13" spans="1:28">
      <c r="A13" s="1085" t="s">
        <v>1022</v>
      </c>
      <c r="B13" s="1085" t="s">
        <v>1021</v>
      </c>
      <c r="C13" s="1086" t="s">
        <v>322</v>
      </c>
      <c r="I13" s="1089" t="s">
        <v>3224</v>
      </c>
      <c r="Z13" s="1089" t="s">
        <v>2353</v>
      </c>
    </row>
    <row r="14" spans="1:28">
      <c r="A14" s="1085" t="s">
        <v>1024</v>
      </c>
      <c r="B14" s="1085" t="s">
        <v>1023</v>
      </c>
      <c r="C14" s="1087" t="s">
        <v>12</v>
      </c>
      <c r="I14" s="1089" t="s">
        <v>3225</v>
      </c>
      <c r="Z14" s="1089" t="s">
        <v>2355</v>
      </c>
    </row>
    <row r="15" spans="1:28">
      <c r="A15" s="1085" t="s">
        <v>1026</v>
      </c>
      <c r="B15" s="1085" t="s">
        <v>2187</v>
      </c>
      <c r="C15" s="1086"/>
      <c r="I15" s="1089" t="s">
        <v>3226</v>
      </c>
    </row>
    <row r="16" spans="1:28">
      <c r="A16" s="1085" t="s">
        <v>1028</v>
      </c>
      <c r="B16" s="1085" t="s">
        <v>1025</v>
      </c>
      <c r="C16" s="1086"/>
    </row>
    <row r="17" spans="1:3">
      <c r="A17" s="1085" t="s">
        <v>1029</v>
      </c>
      <c r="B17" s="1085" t="s">
        <v>1027</v>
      </c>
      <c r="C17" s="1086"/>
    </row>
    <row r="18" spans="1:3">
      <c r="A18" s="1085" t="s">
        <v>1030</v>
      </c>
      <c r="B18" s="1085" t="s">
        <v>3507</v>
      </c>
      <c r="C18" s="1086"/>
    </row>
    <row r="19" spans="1:3">
      <c r="A19" s="1085" t="s">
        <v>1031</v>
      </c>
      <c r="B19" s="1085" t="s">
        <v>3508</v>
      </c>
      <c r="C19" s="1086"/>
    </row>
    <row r="20" spans="1:3">
      <c r="A20" s="1085" t="s">
        <v>1032</v>
      </c>
      <c r="B20" s="1085" t="s">
        <v>310</v>
      </c>
      <c r="C20" s="1086"/>
    </row>
    <row r="21" spans="1:3">
      <c r="A21" s="1085" t="s">
        <v>1033</v>
      </c>
      <c r="B21" s="1085" t="s">
        <v>2187</v>
      </c>
      <c r="C21" s="1086"/>
    </row>
    <row r="22" spans="1:3">
      <c r="A22" s="1085" t="s">
        <v>1034</v>
      </c>
      <c r="B22" s="1085" t="s">
        <v>3612</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8"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8"/>
      <c r="B54" s="1091" t="s">
        <v>379</v>
      </c>
      <c r="C54" s="1089" t="s">
        <v>577</v>
      </c>
    </row>
    <row r="55" spans="1:4">
      <c r="A55" s="4308"/>
      <c r="B55" s="1091" t="s">
        <v>380</v>
      </c>
      <c r="C55" s="1089" t="s">
        <v>578</v>
      </c>
    </row>
    <row r="56" spans="1:4">
      <c r="A56" s="4308"/>
      <c r="B56" s="1091" t="s">
        <v>381</v>
      </c>
      <c r="C56" s="1089" t="s">
        <v>582</v>
      </c>
    </row>
    <row r="57" spans="1:4">
      <c r="A57" s="4308"/>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2379</v>
      </c>
      <c r="B1" s="2186"/>
      <c r="C1" s="2186"/>
      <c r="D1" s="2186"/>
      <c r="E1" s="2186"/>
      <c r="F1" s="2187"/>
      <c r="I1" s="2478" t="s">
        <v>2472</v>
      </c>
      <c r="J1" s="3506"/>
      <c r="K1" s="3506"/>
      <c r="L1" s="3506"/>
      <c r="M1" s="3506"/>
      <c r="N1" s="3507"/>
      <c r="O1" s="3507"/>
      <c r="P1" s="3507"/>
      <c r="Q1" s="3507"/>
      <c r="R1" s="3508"/>
    </row>
    <row r="2" spans="1:19">
      <c r="A2" s="2189"/>
      <c r="B2" s="2190"/>
      <c r="C2" s="2190"/>
      <c r="D2" s="2190"/>
      <c r="E2" s="2190"/>
      <c r="F2" s="2191"/>
      <c r="I2" s="4309" t="s">
        <v>2459</v>
      </c>
      <c r="J2" s="4310"/>
      <c r="K2" s="4310"/>
      <c r="L2" s="4310"/>
      <c r="M2" s="4310"/>
      <c r="N2" s="4310"/>
      <c r="O2" s="4310"/>
      <c r="P2" s="4310"/>
      <c r="Q2" s="4310"/>
      <c r="R2" s="4311"/>
    </row>
    <row r="3" spans="1:19">
      <c r="A3" s="2192" t="s">
        <v>2380</v>
      </c>
      <c r="B3" s="2193">
        <f>项目基本情况!D3</f>
        <v>46050</v>
      </c>
      <c r="C3" s="2194"/>
      <c r="D3" s="2194"/>
      <c r="E3" s="2194"/>
      <c r="F3" s="2191"/>
      <c r="I3" s="2198"/>
      <c r="J3" s="2199" t="s">
        <v>2463</v>
      </c>
      <c r="K3" s="2199" t="s">
        <v>2464</v>
      </c>
      <c r="L3" s="2199" t="s">
        <v>2465</v>
      </c>
      <c r="M3" s="2199" t="s">
        <v>2466</v>
      </c>
      <c r="N3" s="2479" t="s">
        <v>2467</v>
      </c>
      <c r="O3" s="2479" t="s">
        <v>2468</v>
      </c>
      <c r="P3" s="2479" t="s">
        <v>2469</v>
      </c>
      <c r="Q3" s="2479" t="s">
        <v>2470</v>
      </c>
      <c r="R3" s="3493" t="s">
        <v>2471</v>
      </c>
    </row>
    <row r="4" spans="1:19">
      <c r="A4" s="2192" t="s">
        <v>2381</v>
      </c>
      <c r="B4" s="2194" t="s">
        <v>2382</v>
      </c>
      <c r="C4" s="2194" t="s">
        <v>2383</v>
      </c>
      <c r="D4" s="2194" t="s">
        <v>2384</v>
      </c>
      <c r="E4" s="2194" t="s">
        <v>2385</v>
      </c>
      <c r="F4" s="2191"/>
      <c r="I4" s="2198" t="s">
        <v>2460</v>
      </c>
      <c r="J4" s="3971">
        <v>80</v>
      </c>
      <c r="K4" s="3971">
        <v>70</v>
      </c>
      <c r="L4" s="3971">
        <v>20</v>
      </c>
      <c r="M4" s="3971">
        <v>30</v>
      </c>
      <c r="N4" s="3510">
        <v>45</v>
      </c>
      <c r="O4" s="3510">
        <v>60</v>
      </c>
      <c r="P4" s="3510">
        <v>50</v>
      </c>
      <c r="Q4" s="3510">
        <v>20</v>
      </c>
      <c r="R4" s="3972">
        <v>375</v>
      </c>
    </row>
    <row r="5" spans="1:19">
      <c r="A5" s="3509">
        <v>40</v>
      </c>
      <c r="B5" s="2193">
        <v>46375</v>
      </c>
      <c r="C5" s="3510">
        <f>ROUNDDOWN(MIN((B5-B3)/365,A5),2)</f>
        <v>0.89</v>
      </c>
      <c r="D5" s="3511">
        <f>IF(ISERROR(ROUND(POWER(1+E5,A5-C5)*(POWER(1+E5,C5)-1)/(POWER(1+E5,A5)-1),3)),0,ROUND(POWER(1+E5,A5-C5)*(POWER(1+E5,C5)-1)/(POWER(1+E5,A5)-1),4))</f>
        <v>4.3299999999999998E-2</v>
      </c>
      <c r="E5" s="3512">
        <v>0.04</v>
      </c>
      <c r="F5" s="2191"/>
      <c r="I5" s="2198" t="s">
        <v>2461</v>
      </c>
      <c r="J5" s="3971">
        <v>70</v>
      </c>
      <c r="K5" s="3971">
        <v>60</v>
      </c>
      <c r="L5" s="3971">
        <v>15</v>
      </c>
      <c r="M5" s="3971">
        <v>25</v>
      </c>
      <c r="N5" s="3510">
        <v>40</v>
      </c>
      <c r="O5" s="3510">
        <v>50</v>
      </c>
      <c r="P5" s="3510">
        <v>40</v>
      </c>
      <c r="Q5" s="3510">
        <v>15</v>
      </c>
      <c r="R5" s="3972">
        <v>315</v>
      </c>
    </row>
    <row r="6" spans="1:19" ht="14.25" thickBot="1">
      <c r="A6" s="3509">
        <v>50</v>
      </c>
      <c r="B6" s="2193">
        <v>50028</v>
      </c>
      <c r="C6" s="3510">
        <f>ROUNDDOWN(MIN((B6-B3)/365,A6),2)</f>
        <v>10.89</v>
      </c>
      <c r="D6" s="3511">
        <f>IF(ISERROR(ROUND(POWER(1+E6,A6-C6)*(POWER(1+E6,C6)-1)/(POWER(1+E6,A6)-1),3)),0,ROUND(POWER(1+E6,A6-C6)*(POWER(1+E6,C6)-1)/(POWER(1+E6,A6)-1),4))</f>
        <v>0.40450000000000003</v>
      </c>
      <c r="E6" s="3512">
        <v>0.04</v>
      </c>
      <c r="F6" s="2191"/>
      <c r="I6" s="3494" t="s">
        <v>2462</v>
      </c>
      <c r="J6" s="3973">
        <v>60</v>
      </c>
      <c r="K6" s="3973">
        <v>50</v>
      </c>
      <c r="L6" s="3973">
        <v>10</v>
      </c>
      <c r="M6" s="3973">
        <v>20</v>
      </c>
      <c r="N6" s="3974">
        <v>35</v>
      </c>
      <c r="O6" s="3974">
        <v>40</v>
      </c>
      <c r="P6" s="3974">
        <v>30</v>
      </c>
      <c r="Q6" s="3974">
        <v>10</v>
      </c>
      <c r="R6" s="3975">
        <v>255</v>
      </c>
    </row>
    <row r="7" spans="1:19">
      <c r="A7" s="3509">
        <v>70</v>
      </c>
      <c r="B7" s="2193">
        <v>57333</v>
      </c>
      <c r="C7" s="3510">
        <f>ROUNDDOWN(MIN((B7-B3)/365,A7),2)</f>
        <v>30.91</v>
      </c>
      <c r="D7" s="3511">
        <f>IF(ISERROR(ROUND(POWER(1+E7,A7-C7)*(POWER(1+E7,C7)-1)/(POWER(1+E7,A7)-1),3)),0,ROUND(POWER(1+E7,A7-C7)*(POWER(1+E7,C7)-1)/(POWER(1+E7,A7)-1),4))</f>
        <v>0.75070000000000003</v>
      </c>
      <c r="E7" s="3512">
        <v>0.04</v>
      </c>
      <c r="F7" s="2191"/>
      <c r="I7" s="3495" t="s">
        <v>3659</v>
      </c>
      <c r="J7" s="3496" t="s">
        <v>3661</v>
      </c>
      <c r="K7" s="3497">
        <v>3.5</v>
      </c>
      <c r="L7" s="3498"/>
      <c r="M7" s="3492"/>
      <c r="N7" s="2186"/>
      <c r="O7" s="2186"/>
      <c r="P7" s="2186"/>
      <c r="Q7" s="2186"/>
      <c r="R7" s="2187"/>
    </row>
    <row r="8" spans="1:19" ht="14.25" thickBot="1">
      <c r="A8" s="2189"/>
      <c r="B8" s="2190"/>
      <c r="C8" s="2190"/>
      <c r="D8" s="2190"/>
      <c r="E8" s="2190"/>
      <c r="F8" s="2191"/>
      <c r="I8" s="4309" t="s">
        <v>3660</v>
      </c>
      <c r="J8" s="4310"/>
      <c r="K8" s="4310"/>
      <c r="L8" s="4310"/>
      <c r="M8" s="4310"/>
      <c r="N8" s="4310"/>
      <c r="O8" s="4310"/>
      <c r="P8" s="4310"/>
      <c r="Q8" s="4310"/>
      <c r="R8" s="4311"/>
    </row>
    <row r="9" spans="1:19">
      <c r="A9" s="2192" t="s">
        <v>2386</v>
      </c>
      <c r="B9" s="2194"/>
      <c r="C9" s="2194"/>
      <c r="D9" s="2194"/>
      <c r="E9" s="2194"/>
      <c r="F9" s="2195"/>
      <c r="I9" s="2198"/>
      <c r="J9" s="2199" t="s">
        <v>2463</v>
      </c>
      <c r="K9" s="2199" t="s">
        <v>2464</v>
      </c>
      <c r="L9" s="2199" t="s">
        <v>2465</v>
      </c>
      <c r="M9" s="2199" t="s">
        <v>2466</v>
      </c>
      <c r="N9" s="2479" t="s">
        <v>2467</v>
      </c>
      <c r="O9" s="2479" t="s">
        <v>2468</v>
      </c>
      <c r="P9" s="2479" t="s">
        <v>2469</v>
      </c>
      <c r="Q9" s="2479" t="s">
        <v>2470</v>
      </c>
      <c r="R9" s="3493" t="s">
        <v>2471</v>
      </c>
      <c r="S9" s="4314" t="s">
        <v>3862</v>
      </c>
    </row>
    <row r="10" spans="1:19">
      <c r="A10" s="2192" t="s">
        <v>2387</v>
      </c>
      <c r="B10" s="2194"/>
      <c r="C10" s="2194"/>
      <c r="D10" s="2194" t="s">
        <v>2385</v>
      </c>
      <c r="E10" s="2194"/>
      <c r="F10" s="2195" t="s">
        <v>2384</v>
      </c>
      <c r="I10" s="2198" t="s">
        <v>2460</v>
      </c>
      <c r="J10" s="3971">
        <f>ROUND(J4/$K$7,0)</f>
        <v>23</v>
      </c>
      <c r="K10" s="3971">
        <f t="shared" ref="K10:Q12" si="0">ROUND(K4/$K$7,0)</f>
        <v>20</v>
      </c>
      <c r="L10" s="3971">
        <f t="shared" si="0"/>
        <v>6</v>
      </c>
      <c r="M10" s="3971">
        <f t="shared" si="0"/>
        <v>9</v>
      </c>
      <c r="N10" s="3971">
        <f t="shared" si="0"/>
        <v>13</v>
      </c>
      <c r="O10" s="3971">
        <f t="shared" si="0"/>
        <v>17</v>
      </c>
      <c r="P10" s="3971">
        <f t="shared" si="0"/>
        <v>14</v>
      </c>
      <c r="Q10" s="3971">
        <f t="shared" si="0"/>
        <v>6</v>
      </c>
      <c r="R10" s="3976">
        <f>SUM(J10:Q10)</f>
        <v>108</v>
      </c>
      <c r="S10" s="4315"/>
    </row>
    <row r="11" spans="1:19">
      <c r="A11" s="3515" t="s">
        <v>2388</v>
      </c>
      <c r="B11" s="3513">
        <v>70</v>
      </c>
      <c r="C11" s="3516" t="s">
        <v>2389</v>
      </c>
      <c r="D11" s="3512">
        <v>4.4999999999999998E-2</v>
      </c>
      <c r="E11" s="3516" t="s">
        <v>2390</v>
      </c>
      <c r="F11" s="3514">
        <f>ROUND(1-(1/(POWER(1+D11,B11))),4)</f>
        <v>0.95409999999999995</v>
      </c>
      <c r="I11" s="2198" t="s">
        <v>2461</v>
      </c>
      <c r="J11" s="3971">
        <f>ROUND(J5/$K$7,0)</f>
        <v>20</v>
      </c>
      <c r="K11" s="3971">
        <f t="shared" si="0"/>
        <v>17</v>
      </c>
      <c r="L11" s="3971">
        <f t="shared" si="0"/>
        <v>4</v>
      </c>
      <c r="M11" s="3971">
        <f t="shared" si="0"/>
        <v>7</v>
      </c>
      <c r="N11" s="3971">
        <f t="shared" si="0"/>
        <v>11</v>
      </c>
      <c r="O11" s="3971">
        <f t="shared" si="0"/>
        <v>14</v>
      </c>
      <c r="P11" s="3971">
        <f t="shared" si="0"/>
        <v>11</v>
      </c>
      <c r="Q11" s="3971">
        <f t="shared" si="0"/>
        <v>4</v>
      </c>
      <c r="R11" s="3976">
        <f t="shared" ref="R11:R12" si="1">SUM(J11:Q11)</f>
        <v>88</v>
      </c>
      <c r="S11" s="4315"/>
    </row>
    <row r="12" spans="1:19" ht="14.25" thickBot="1">
      <c r="A12" s="3515" t="s">
        <v>2391</v>
      </c>
      <c r="B12" s="3513">
        <v>40</v>
      </c>
      <c r="C12" s="3516" t="s">
        <v>2392</v>
      </c>
      <c r="D12" s="3512">
        <v>4.4999999999999998E-2</v>
      </c>
      <c r="E12" s="3516" t="s">
        <v>2393</v>
      </c>
      <c r="F12" s="3514">
        <f>ROUND(1-(1/(POWER(1+D12,B12))),4)</f>
        <v>0.82809999999999995</v>
      </c>
      <c r="I12" s="3499" t="s">
        <v>2462</v>
      </c>
      <c r="J12" s="3971">
        <f>ROUND(J6/$K$7,0)</f>
        <v>17</v>
      </c>
      <c r="K12" s="3971">
        <f t="shared" si="0"/>
        <v>14</v>
      </c>
      <c r="L12" s="3971">
        <f t="shared" si="0"/>
        <v>3</v>
      </c>
      <c r="M12" s="3971">
        <f t="shared" si="0"/>
        <v>6</v>
      </c>
      <c r="N12" s="3971">
        <f t="shared" si="0"/>
        <v>10</v>
      </c>
      <c r="O12" s="3971">
        <f t="shared" si="0"/>
        <v>11</v>
      </c>
      <c r="P12" s="3971">
        <f t="shared" si="0"/>
        <v>9</v>
      </c>
      <c r="Q12" s="3971">
        <f t="shared" si="0"/>
        <v>3</v>
      </c>
      <c r="R12" s="3976">
        <f t="shared" si="1"/>
        <v>73</v>
      </c>
      <c r="S12" s="4315"/>
    </row>
    <row r="13" spans="1:19">
      <c r="A13" s="2192" t="s">
        <v>2394</v>
      </c>
      <c r="B13" s="2194"/>
      <c r="C13" s="2194"/>
      <c r="D13" s="2190"/>
      <c r="E13" s="2190"/>
      <c r="F13" s="2191"/>
      <c r="I13" s="3491" t="s">
        <v>3662</v>
      </c>
      <c r="J13" s="3500">
        <v>2.5</v>
      </c>
      <c r="K13" s="3492" t="s">
        <v>3663</v>
      </c>
      <c r="L13" s="3501">
        <v>0.92630000000000001</v>
      </c>
      <c r="M13" s="3492"/>
      <c r="N13" s="2186"/>
      <c r="O13" s="2186"/>
      <c r="P13" s="2186"/>
      <c r="Q13" s="2186"/>
      <c r="R13" s="2187"/>
      <c r="S13" s="4315"/>
    </row>
    <row r="14" spans="1:19">
      <c r="A14" s="3515" t="s">
        <v>2395</v>
      </c>
      <c r="B14" s="3517">
        <v>5000</v>
      </c>
      <c r="C14" s="3518"/>
      <c r="D14" s="2190"/>
      <c r="E14" s="2190"/>
      <c r="F14" s="2191"/>
      <c r="I14" s="2198"/>
      <c r="J14" s="2199" t="s">
        <v>2463</v>
      </c>
      <c r="K14" s="2199" t="s">
        <v>2464</v>
      </c>
      <c r="L14" s="2199" t="s">
        <v>2465</v>
      </c>
      <c r="M14" s="2199" t="s">
        <v>2466</v>
      </c>
      <c r="N14" s="2479" t="s">
        <v>2467</v>
      </c>
      <c r="O14" s="2479" t="s">
        <v>2468</v>
      </c>
      <c r="P14" s="2479" t="s">
        <v>2469</v>
      </c>
      <c r="Q14" s="2479" t="s">
        <v>2470</v>
      </c>
      <c r="R14" s="3493" t="s">
        <v>2471</v>
      </c>
      <c r="S14" s="4315"/>
    </row>
    <row r="15" spans="1:19">
      <c r="A15" s="3515" t="s">
        <v>2396</v>
      </c>
      <c r="B15" s="3519">
        <f>ROUND(B14*F12/F11,2)</f>
        <v>4339.6899999999996</v>
      </c>
      <c r="C15" s="3511">
        <f>ROUND(F12/F11,4)</f>
        <v>0.8679</v>
      </c>
      <c r="D15" s="2190"/>
      <c r="E15" s="2190"/>
      <c r="F15" s="2191"/>
      <c r="I15" s="2198" t="s">
        <v>2460</v>
      </c>
      <c r="J15" s="3971">
        <f>ROUND(J10*$L$13,0)</f>
        <v>21</v>
      </c>
      <c r="K15" s="3971">
        <f t="shared" ref="K15:Q15" si="2">ROUND(K10*$L$13,0)</f>
        <v>19</v>
      </c>
      <c r="L15" s="3971">
        <f t="shared" si="2"/>
        <v>6</v>
      </c>
      <c r="M15" s="3971">
        <f t="shared" si="2"/>
        <v>8</v>
      </c>
      <c r="N15" s="3971">
        <f t="shared" si="2"/>
        <v>12</v>
      </c>
      <c r="O15" s="3971">
        <f t="shared" si="2"/>
        <v>16</v>
      </c>
      <c r="P15" s="3971">
        <f t="shared" si="2"/>
        <v>13</v>
      </c>
      <c r="Q15" s="3971">
        <f t="shared" si="2"/>
        <v>6</v>
      </c>
      <c r="R15" s="3977">
        <f>SUM(J15:Q15)</f>
        <v>101</v>
      </c>
      <c r="S15" s="4315"/>
    </row>
    <row r="16" spans="1:19">
      <c r="A16" s="2192" t="s">
        <v>2397</v>
      </c>
      <c r="B16" s="2599"/>
      <c r="C16" s="2599"/>
      <c r="D16" s="2190"/>
      <c r="E16" s="2190"/>
      <c r="F16" s="2191"/>
      <c r="I16" s="2198" t="s">
        <v>2461</v>
      </c>
      <c r="J16" s="3971">
        <f t="shared" ref="J16:Q16" si="3">ROUND(J11*$L$13,0)</f>
        <v>19</v>
      </c>
      <c r="K16" s="3971">
        <f t="shared" si="3"/>
        <v>16</v>
      </c>
      <c r="L16" s="3971">
        <f t="shared" si="3"/>
        <v>4</v>
      </c>
      <c r="M16" s="3971">
        <f t="shared" si="3"/>
        <v>6</v>
      </c>
      <c r="N16" s="3971">
        <f t="shared" si="3"/>
        <v>10</v>
      </c>
      <c r="O16" s="3971">
        <f t="shared" si="3"/>
        <v>13</v>
      </c>
      <c r="P16" s="3971">
        <f t="shared" si="3"/>
        <v>10</v>
      </c>
      <c r="Q16" s="3971">
        <f t="shared" si="3"/>
        <v>4</v>
      </c>
      <c r="R16" s="3977">
        <f t="shared" ref="R16:R17" si="4">SUM(J16:Q16)</f>
        <v>82</v>
      </c>
      <c r="S16" s="4315"/>
    </row>
    <row r="17" spans="1:19" ht="14.25" thickBot="1">
      <c r="A17" s="3515" t="s">
        <v>2396</v>
      </c>
      <c r="B17" s="3517">
        <v>4810</v>
      </c>
      <c r="C17" s="3518"/>
      <c r="D17" s="2190"/>
      <c r="E17" s="2190"/>
      <c r="F17" s="2191"/>
      <c r="I17" s="3494" t="s">
        <v>2462</v>
      </c>
      <c r="J17" s="3971">
        <f t="shared" ref="J17:Q17" si="5">ROUND(J12*$L$13,0)</f>
        <v>16</v>
      </c>
      <c r="K17" s="3971">
        <f t="shared" si="5"/>
        <v>13</v>
      </c>
      <c r="L17" s="3971">
        <f t="shared" si="5"/>
        <v>3</v>
      </c>
      <c r="M17" s="3971">
        <f t="shared" si="5"/>
        <v>6</v>
      </c>
      <c r="N17" s="3971">
        <f t="shared" si="5"/>
        <v>9</v>
      </c>
      <c r="O17" s="3971">
        <f t="shared" si="5"/>
        <v>10</v>
      </c>
      <c r="P17" s="3971">
        <f t="shared" si="5"/>
        <v>8</v>
      </c>
      <c r="Q17" s="3971">
        <f t="shared" si="5"/>
        <v>3</v>
      </c>
      <c r="R17" s="3977">
        <f t="shared" si="4"/>
        <v>68</v>
      </c>
      <c r="S17" s="4316"/>
    </row>
    <row r="18" spans="1:19" ht="14.25" thickBot="1">
      <c r="A18" s="3520" t="s">
        <v>2395</v>
      </c>
      <c r="B18" s="3521">
        <f>ROUND(B17*F11/F12,2)</f>
        <v>5541.87</v>
      </c>
      <c r="C18" s="3522">
        <f>ROUND(F11/F12,4)</f>
        <v>1.1521999999999999</v>
      </c>
      <c r="D18" s="2196"/>
      <c r="E18" s="2196"/>
      <c r="F18" s="2197"/>
    </row>
    <row r="19" spans="1:19" s="3503" customFormat="1" ht="14.25" thickBot="1">
      <c r="I19" s="3502"/>
      <c r="J19" s="3502"/>
      <c r="K19" s="3502"/>
      <c r="L19" s="3502"/>
      <c r="M19" s="3502"/>
    </row>
    <row r="20" spans="1:19">
      <c r="A20" s="3504" t="s">
        <v>2398</v>
      </c>
      <c r="B20" s="2352"/>
      <c r="C20" s="2352"/>
      <c r="D20" s="2352"/>
      <c r="E20" s="2352"/>
      <c r="F20" s="2352"/>
      <c r="G20" s="3505"/>
      <c r="I20" s="2219" t="s">
        <v>2443</v>
      </c>
      <c r="J20" s="2219" t="s">
        <v>2448</v>
      </c>
    </row>
    <row r="21" spans="1:19">
      <c r="A21" s="2198"/>
      <c r="B21" s="2199" t="s">
        <v>2399</v>
      </c>
      <c r="C21" s="2199" t="s">
        <v>2400</v>
      </c>
      <c r="D21" s="2199" t="s">
        <v>2401</v>
      </c>
      <c r="E21" s="2199" t="s">
        <v>2402</v>
      </c>
      <c r="F21" s="2199" t="s">
        <v>2403</v>
      </c>
      <c r="G21" s="2200" t="s">
        <v>2404</v>
      </c>
      <c r="I21" s="2601">
        <v>5</v>
      </c>
      <c r="J21" s="2600">
        <v>54.2</v>
      </c>
      <c r="K21" s="2600"/>
    </row>
    <row r="22" spans="1:19">
      <c r="A22" s="2198" t="s">
        <v>2405</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2406</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2446</v>
      </c>
      <c r="N23" s="2486" t="s">
        <v>2447</v>
      </c>
    </row>
    <row r="24" spans="1:19">
      <c r="A24" s="2198" t="s">
        <v>2407</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2445</v>
      </c>
      <c r="N24" s="2602">
        <v>10</v>
      </c>
    </row>
    <row r="25" spans="1:19">
      <c r="A25" s="2198" t="s">
        <v>2408</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2449</v>
      </c>
      <c r="N25" s="2602">
        <v>8</v>
      </c>
    </row>
    <row r="26" spans="1:19">
      <c r="A26" s="2201"/>
      <c r="B26" s="2202"/>
      <c r="C26" s="2202"/>
      <c r="D26" s="2202"/>
      <c r="E26" s="2202"/>
      <c r="F26" s="2202"/>
      <c r="G26" s="2203"/>
      <c r="I26" s="2601">
        <v>30</v>
      </c>
      <c r="J26" s="2600">
        <v>90.5</v>
      </c>
      <c r="K26" s="2600">
        <f t="shared" si="7"/>
        <v>4.2000000000000028</v>
      </c>
      <c r="L26" s="2219" t="s">
        <v>2450</v>
      </c>
      <c r="N26" s="2602">
        <v>5</v>
      </c>
    </row>
    <row r="27" spans="1:19">
      <c r="A27" s="2201" t="s">
        <v>2409</v>
      </c>
      <c r="B27" s="2202"/>
      <c r="C27" s="2202"/>
      <c r="D27" s="2202"/>
      <c r="E27" s="2202"/>
      <c r="F27" s="2202"/>
      <c r="G27" s="2203"/>
      <c r="I27" s="2601">
        <v>35</v>
      </c>
      <c r="J27" s="2600">
        <v>93.8</v>
      </c>
      <c r="K27" s="2600">
        <f t="shared" si="7"/>
        <v>3.2999999999999972</v>
      </c>
      <c r="L27" s="2219" t="s">
        <v>2451</v>
      </c>
      <c r="N27" s="2602">
        <v>3</v>
      </c>
    </row>
    <row r="28" spans="1:19">
      <c r="A28" s="2201" t="s">
        <v>2410</v>
      </c>
      <c r="B28" s="2202"/>
      <c r="C28" s="2202"/>
      <c r="D28" s="2202"/>
      <c r="E28" s="2202"/>
      <c r="F28" s="2202"/>
      <c r="G28" s="2203"/>
      <c r="I28" s="2601">
        <v>40</v>
      </c>
      <c r="J28" s="2600">
        <v>96.4</v>
      </c>
      <c r="K28" s="2600">
        <f t="shared" si="7"/>
        <v>2.6000000000000085</v>
      </c>
      <c r="L28" s="2219" t="s">
        <v>2452</v>
      </c>
      <c r="N28" s="2602">
        <v>2</v>
      </c>
    </row>
    <row r="29" spans="1:19">
      <c r="A29" s="2201" t="s">
        <v>2411</v>
      </c>
      <c r="B29" s="2202"/>
      <c r="C29" s="2202"/>
      <c r="D29" s="2202"/>
      <c r="E29" s="2202"/>
      <c r="F29" s="2202"/>
      <c r="G29" s="2203"/>
      <c r="I29" s="2601">
        <v>45</v>
      </c>
      <c r="J29" s="2600">
        <v>98.4</v>
      </c>
      <c r="K29" s="2600">
        <f t="shared" si="7"/>
        <v>2</v>
      </c>
    </row>
    <row r="30" spans="1:19">
      <c r="A30" s="2201" t="s">
        <v>2412</v>
      </c>
      <c r="B30" s="2202"/>
      <c r="C30" s="2202"/>
      <c r="D30" s="2202"/>
      <c r="E30" s="2202"/>
      <c r="F30" s="2202"/>
      <c r="G30" s="2203"/>
      <c r="I30" s="2601">
        <v>50</v>
      </c>
      <c r="J30" s="2600">
        <v>100</v>
      </c>
      <c r="K30" s="2600">
        <f t="shared" si="7"/>
        <v>1.5999999999999943</v>
      </c>
    </row>
    <row r="31" spans="1:19">
      <c r="A31" s="2201" t="s">
        <v>2413</v>
      </c>
      <c r="B31" s="2202"/>
      <c r="C31" s="2202"/>
      <c r="D31" s="2202"/>
      <c r="E31" s="2202"/>
      <c r="F31" s="2202"/>
      <c r="G31" s="2203"/>
      <c r="I31" s="2219" t="s">
        <v>2444</v>
      </c>
    </row>
    <row r="32" spans="1:19">
      <c r="A32" s="2201" t="s">
        <v>2414</v>
      </c>
      <c r="B32" s="2202"/>
      <c r="C32" s="2202"/>
      <c r="D32" s="2202"/>
      <c r="E32" s="2202"/>
      <c r="F32" s="2202"/>
      <c r="G32" s="2203"/>
    </row>
    <row r="33" spans="1:15">
      <c r="A33" s="2201" t="s">
        <v>2415</v>
      </c>
      <c r="B33" s="2202"/>
      <c r="C33" s="2202"/>
      <c r="D33" s="2202"/>
      <c r="E33" s="2202"/>
      <c r="F33" s="2202"/>
      <c r="G33" s="2203"/>
      <c r="I33" s="2219" t="s">
        <v>2443</v>
      </c>
      <c r="J33" s="2219" t="s">
        <v>2453</v>
      </c>
    </row>
    <row r="34" spans="1:15">
      <c r="A34" s="2201" t="s">
        <v>2416</v>
      </c>
      <c r="B34" s="2202"/>
      <c r="C34" s="2202"/>
      <c r="D34" s="2202"/>
      <c r="E34" s="2202"/>
      <c r="F34" s="2202"/>
      <c r="G34" s="2203"/>
      <c r="I34" s="2601">
        <v>5</v>
      </c>
      <c r="J34" s="2600">
        <v>55.1</v>
      </c>
      <c r="K34" s="2600"/>
    </row>
    <row r="35" spans="1:15">
      <c r="A35" s="2201" t="s">
        <v>2417</v>
      </c>
      <c r="B35" s="2202"/>
      <c r="C35" s="2202"/>
      <c r="D35" s="2202"/>
      <c r="E35" s="2202"/>
      <c r="F35" s="2202"/>
      <c r="G35" s="2203"/>
      <c r="I35" s="2601">
        <v>10</v>
      </c>
      <c r="J35" s="2600">
        <v>67</v>
      </c>
      <c r="K35" s="2600">
        <f>J35-J34</f>
        <v>11.899999999999999</v>
      </c>
    </row>
    <row r="36" spans="1:15">
      <c r="A36" s="2201" t="s">
        <v>2418</v>
      </c>
      <c r="B36" s="2202"/>
      <c r="C36" s="2202"/>
      <c r="D36" s="2202"/>
      <c r="E36" s="2202"/>
      <c r="F36" s="2202"/>
      <c r="G36" s="2203"/>
      <c r="I36" s="2601">
        <v>15</v>
      </c>
      <c r="J36" s="2600">
        <v>76.3</v>
      </c>
      <c r="K36" s="2600">
        <f t="shared" ref="K36:K41" si="8">J36-J35</f>
        <v>9.2999999999999972</v>
      </c>
      <c r="L36" s="2219" t="s">
        <v>2446</v>
      </c>
      <c r="N36" s="2486" t="s">
        <v>2447</v>
      </c>
    </row>
    <row r="37" spans="1:15">
      <c r="A37" s="2201" t="s">
        <v>2419</v>
      </c>
      <c r="B37" s="2202"/>
      <c r="C37" s="2202"/>
      <c r="D37" s="2202"/>
      <c r="E37" s="2202"/>
      <c r="F37" s="2202"/>
      <c r="G37" s="2203"/>
      <c r="I37" s="2601">
        <v>20</v>
      </c>
      <c r="J37" s="2600">
        <v>83.6</v>
      </c>
      <c r="K37" s="2600">
        <f t="shared" si="8"/>
        <v>7.2999999999999972</v>
      </c>
      <c r="L37" s="2219" t="s">
        <v>2445</v>
      </c>
      <c r="N37" s="2602">
        <v>10</v>
      </c>
    </row>
    <row r="38" spans="1:15">
      <c r="A38" s="2201" t="s">
        <v>2420</v>
      </c>
      <c r="B38" s="2202"/>
      <c r="C38" s="2202"/>
      <c r="D38" s="2202"/>
      <c r="E38" s="2202"/>
      <c r="F38" s="2202"/>
      <c r="G38" s="2203"/>
      <c r="I38" s="2601">
        <v>25</v>
      </c>
      <c r="J38" s="2600">
        <v>89.3</v>
      </c>
      <c r="K38" s="2600">
        <f t="shared" si="8"/>
        <v>5.7000000000000028</v>
      </c>
      <c r="L38" s="2219" t="s">
        <v>2449</v>
      </c>
      <c r="N38" s="2602">
        <v>8</v>
      </c>
    </row>
    <row r="39" spans="1:15">
      <c r="A39" s="2201"/>
      <c r="B39" s="2202"/>
      <c r="C39" s="2202"/>
      <c r="D39" s="2202"/>
      <c r="E39" s="2202"/>
      <c r="F39" s="2202"/>
      <c r="G39" s="2203"/>
      <c r="I39" s="2601">
        <v>30</v>
      </c>
      <c r="J39" s="2600">
        <v>93.8</v>
      </c>
      <c r="K39" s="2600">
        <f t="shared" si="8"/>
        <v>4.5</v>
      </c>
      <c r="L39" s="2219" t="s">
        <v>2450</v>
      </c>
      <c r="N39" s="2602">
        <v>6</v>
      </c>
    </row>
    <row r="40" spans="1:15">
      <c r="A40" s="2204" t="s">
        <v>2421</v>
      </c>
      <c r="B40" s="2205"/>
      <c r="C40" s="2205"/>
      <c r="D40" s="2205"/>
      <c r="E40" s="2205"/>
      <c r="F40" s="2205"/>
      <c r="G40" s="2206"/>
      <c r="I40" s="2601">
        <v>35</v>
      </c>
      <c r="J40" s="2600">
        <v>97.2</v>
      </c>
      <c r="K40" s="2600">
        <f t="shared" si="8"/>
        <v>3.4000000000000057</v>
      </c>
      <c r="L40" s="2219" t="s">
        <v>2451</v>
      </c>
      <c r="N40" s="2602">
        <v>3</v>
      </c>
    </row>
    <row r="41" spans="1:15">
      <c r="A41" s="2207" t="s">
        <v>2422</v>
      </c>
      <c r="B41" s="2208" t="s">
        <v>2423</v>
      </c>
      <c r="C41" s="2209" t="s">
        <v>2424</v>
      </c>
      <c r="D41" s="2209" t="s">
        <v>2425</v>
      </c>
      <c r="E41" s="2210"/>
      <c r="F41" s="2211"/>
      <c r="G41" s="2212"/>
      <c r="I41" s="2601">
        <v>40</v>
      </c>
      <c r="J41" s="2600">
        <v>100</v>
      </c>
      <c r="K41" s="2600">
        <f t="shared" si="8"/>
        <v>2.7999999999999972</v>
      </c>
    </row>
    <row r="42" spans="1:15">
      <c r="A42" s="2207" t="s">
        <v>2426</v>
      </c>
      <c r="B42" s="2208" t="s">
        <v>2427</v>
      </c>
      <c r="C42" s="2209" t="s">
        <v>2428</v>
      </c>
      <c r="D42" s="2213" t="s">
        <v>2429</v>
      </c>
      <c r="E42" s="2205" t="s">
        <v>2430</v>
      </c>
      <c r="F42" s="2205"/>
      <c r="G42" s="2206"/>
    </row>
    <row r="43" spans="1:15">
      <c r="A43" s="2207" t="s">
        <v>2431</v>
      </c>
      <c r="B43" s="2208" t="s">
        <v>2432</v>
      </c>
      <c r="C43" s="2209" t="s">
        <v>2433</v>
      </c>
      <c r="D43" s="2209" t="s">
        <v>2434</v>
      </c>
      <c r="E43" s="2210" t="s">
        <v>2435</v>
      </c>
      <c r="F43" s="2211"/>
      <c r="G43" s="2212"/>
      <c r="I43" s="2219" t="s">
        <v>2443</v>
      </c>
      <c r="J43" s="2219" t="s">
        <v>2454</v>
      </c>
    </row>
    <row r="44" spans="1:15">
      <c r="A44" s="2207" t="s">
        <v>2436</v>
      </c>
      <c r="B44" s="2208" t="s">
        <v>2437</v>
      </c>
      <c r="C44" s="2209" t="s">
        <v>2438</v>
      </c>
      <c r="D44" s="2213">
        <v>0.5</v>
      </c>
      <c r="E44" s="2210" t="s">
        <v>2439</v>
      </c>
      <c r="F44" s="2211"/>
      <c r="G44" s="2212"/>
      <c r="I44" s="2601">
        <v>30</v>
      </c>
      <c r="J44" s="2600">
        <v>81.7</v>
      </c>
      <c r="K44" s="2600"/>
    </row>
    <row r="45" spans="1:15" ht="14.25" thickBot="1">
      <c r="A45" s="2214" t="s">
        <v>2440</v>
      </c>
      <c r="B45" s="2215" t="s">
        <v>2427</v>
      </c>
      <c r="C45" s="2216" t="s">
        <v>2427</v>
      </c>
      <c r="D45" s="2216" t="s">
        <v>2441</v>
      </c>
      <c r="E45" s="2217" t="s">
        <v>2442</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3"/>
      <c r="O48" s="3503"/>
    </row>
    <row r="49" spans="1:16" s="3970" customFormat="1" ht="16.5" thickTop="1" thickBot="1">
      <c r="A49" s="3968" t="s">
        <v>3339</v>
      </c>
      <c r="B49" s="3969"/>
      <c r="C49" s="3969"/>
      <c r="D49" s="3969"/>
      <c r="E49" s="3969"/>
      <c r="I49" s="4312" t="s">
        <v>3970</v>
      </c>
      <c r="J49" s="4312"/>
      <c r="K49" s="4312"/>
      <c r="L49" s="4312"/>
      <c r="M49" s="4312"/>
      <c r="N49" s="2196"/>
      <c r="O49" s="2196"/>
    </row>
    <row r="50" spans="1:16" ht="14.25">
      <c r="A50" s="2612" t="s">
        <v>3340</v>
      </c>
      <c r="B50" s="2615" t="s">
        <v>3341</v>
      </c>
      <c r="C50" s="2618" t="s">
        <v>3342</v>
      </c>
      <c r="D50" s="2619" t="s">
        <v>3350</v>
      </c>
      <c r="E50" s="2620" t="s">
        <v>3349</v>
      </c>
      <c r="F50" s="2621" t="s">
        <v>3356</v>
      </c>
      <c r="I50" s="4095" t="s">
        <v>3351</v>
      </c>
      <c r="J50" s="4096" t="s">
        <v>3352</v>
      </c>
      <c r="K50" s="4096" t="s">
        <v>3353</v>
      </c>
      <c r="L50" s="4096" t="s">
        <v>3354</v>
      </c>
      <c r="M50" s="4097" t="s">
        <v>3355</v>
      </c>
      <c r="N50" s="4103" t="s">
        <v>3966</v>
      </c>
      <c r="O50" s="4097" t="s">
        <v>3967</v>
      </c>
    </row>
    <row r="51" spans="1:16" ht="15">
      <c r="A51" s="1882" t="s">
        <v>3815</v>
      </c>
      <c r="B51" s="2616">
        <f>B52+B53</f>
        <v>9993</v>
      </c>
      <c r="C51" s="2616">
        <f>E51/B51</f>
        <v>3673.221254878415</v>
      </c>
      <c r="D51" s="2625"/>
      <c r="E51" s="2628">
        <f>E52+E53</f>
        <v>36706500</v>
      </c>
      <c r="F51" s="3933">
        <f>E51/$E$62</f>
        <v>0.45145729385019301</v>
      </c>
      <c r="I51" s="2198"/>
      <c r="J51" s="2199"/>
      <c r="K51" s="2199"/>
      <c r="L51" s="2199"/>
      <c r="M51" s="2200"/>
      <c r="N51" s="4104"/>
      <c r="O51" s="4105"/>
    </row>
    <row r="52" spans="1:16" ht="14.25">
      <c r="A52" s="2613" t="s">
        <v>3343</v>
      </c>
      <c r="B52" s="2605">
        <v>5508</v>
      </c>
      <c r="C52" s="2624"/>
      <c r="D52" s="2607">
        <v>3000</v>
      </c>
      <c r="E52" s="2627">
        <f>D52*B52</f>
        <v>16524000</v>
      </c>
      <c r="F52" s="2622"/>
      <c r="G52" s="2604" t="s">
        <v>3816</v>
      </c>
      <c r="H52" s="2604"/>
      <c r="I52" s="4098">
        <f>E52</f>
        <v>16524000</v>
      </c>
      <c r="J52" s="2610">
        <f>E55</f>
        <v>9914400</v>
      </c>
      <c r="K52" s="2610">
        <f>E58</f>
        <v>24786000</v>
      </c>
      <c r="L52" s="2610">
        <f>E60*B52/B51</f>
        <v>1735020.0000000005</v>
      </c>
      <c r="M52" s="4099">
        <f>E61*B52/B51</f>
        <v>878727.40330231166</v>
      </c>
      <c r="N52" s="4106">
        <f>SUM(I52:M52)</f>
        <v>53838147.403302312</v>
      </c>
      <c r="O52" s="4099">
        <f>N52/B52</f>
        <v>9774.5365655959176</v>
      </c>
      <c r="P52" s="3938" t="s">
        <v>3968</v>
      </c>
    </row>
    <row r="53" spans="1:16" ht="15" thickBot="1">
      <c r="A53" s="2613" t="s">
        <v>3344</v>
      </c>
      <c r="B53" s="2605">
        <v>4485</v>
      </c>
      <c r="C53" s="2624"/>
      <c r="D53" s="2607">
        <v>4500</v>
      </c>
      <c r="E53" s="2627">
        <f>D53*B53</f>
        <v>20182500</v>
      </c>
      <c r="F53" s="2622"/>
      <c r="G53" s="2604" t="s">
        <v>3817</v>
      </c>
      <c r="H53" s="2604"/>
      <c r="I53" s="4100">
        <f>E53</f>
        <v>20182500</v>
      </c>
      <c r="J53" s="4101">
        <f>E56</f>
        <v>2915250</v>
      </c>
      <c r="K53" s="4101">
        <f>E59</f>
        <v>2242500</v>
      </c>
      <c r="L53" s="4101">
        <f>E60-L52</f>
        <v>1412775</v>
      </c>
      <c r="M53" s="4102">
        <f>E61-M52</f>
        <v>715521.49669768848</v>
      </c>
      <c r="N53" s="4107">
        <f>SUM(I53:M53)</f>
        <v>27468546.496697687</v>
      </c>
      <c r="O53" s="4102">
        <f>N53/B53</f>
        <v>6124.5365655959167</v>
      </c>
      <c r="P53" s="3938" t="s">
        <v>3969</v>
      </c>
    </row>
    <row r="54" spans="1:16" ht="15">
      <c r="A54" s="1882" t="s">
        <v>3345</v>
      </c>
      <c r="B54" s="2616">
        <f>B51</f>
        <v>9993</v>
      </c>
      <c r="C54" s="2616">
        <f>E54/B54</f>
        <v>1283.8637045932153</v>
      </c>
      <c r="D54" s="3934"/>
      <c r="E54" s="2628">
        <f>E55+E56</f>
        <v>12829650</v>
      </c>
      <c r="F54" s="3933">
        <f>E54/$E$62</f>
        <v>0.15779328102775064</v>
      </c>
      <c r="G54" s="2604"/>
      <c r="H54" s="2604"/>
    </row>
    <row r="55" spans="1:16" ht="15">
      <c r="A55" s="2613" t="s">
        <v>3813</v>
      </c>
      <c r="B55" s="3932">
        <f>B52</f>
        <v>5508</v>
      </c>
      <c r="C55" s="2616"/>
      <c r="D55" s="3935">
        <v>1800</v>
      </c>
      <c r="E55" s="2627">
        <f>D55*B55</f>
        <v>9914400</v>
      </c>
      <c r="F55" s="2622"/>
      <c r="G55" s="2604" t="s">
        <v>3818</v>
      </c>
      <c r="H55" s="2604"/>
    </row>
    <row r="56" spans="1:16" ht="15">
      <c r="A56" s="2613" t="s">
        <v>3814</v>
      </c>
      <c r="B56" s="3932">
        <f>B53</f>
        <v>4485</v>
      </c>
      <c r="C56" s="2616"/>
      <c r="D56" s="3935">
        <v>650</v>
      </c>
      <c r="E56" s="2627">
        <f>D56*B56</f>
        <v>2915250</v>
      </c>
      <c r="F56" s="2622"/>
      <c r="G56" s="2604" t="s">
        <v>3819</v>
      </c>
      <c r="H56" s="2604"/>
    </row>
    <row r="57" spans="1:16" ht="15">
      <c r="A57" s="3931" t="s">
        <v>3812</v>
      </c>
      <c r="B57" s="2616">
        <f>B51</f>
        <v>9993</v>
      </c>
      <c r="C57" s="2616">
        <f>E57/B57</f>
        <v>2704.7433203242272</v>
      </c>
      <c r="D57" s="3934"/>
      <c r="E57" s="2628">
        <f>E58+E59</f>
        <v>27028500</v>
      </c>
      <c r="F57" s="2622">
        <f>E57/$E$62</f>
        <v>0.33242650393881035</v>
      </c>
      <c r="G57" s="2604"/>
      <c r="H57" s="2604"/>
      <c r="I57" s="4313" t="s">
        <v>3357</v>
      </c>
      <c r="J57" s="4313"/>
      <c r="K57" s="4313"/>
      <c r="L57" s="4313"/>
      <c r="M57" s="4313"/>
      <c r="N57" s="2190"/>
    </row>
    <row r="58" spans="1:16" ht="14.25">
      <c r="A58" s="2613" t="s">
        <v>3813</v>
      </c>
      <c r="B58" s="3932">
        <f>B52</f>
        <v>5508</v>
      </c>
      <c r="C58" s="2605">
        <v>4500</v>
      </c>
      <c r="D58" s="3950"/>
      <c r="E58" s="2627">
        <f>C58*B58</f>
        <v>24786000</v>
      </c>
      <c r="F58" s="2622"/>
      <c r="G58" s="2604"/>
      <c r="H58" s="2604"/>
      <c r="I58" s="2610">
        <f>I52+I53</f>
        <v>36706500</v>
      </c>
      <c r="J58" s="2610">
        <f t="shared" ref="J58:M58" si="10">J52+J53</f>
        <v>12829650</v>
      </c>
      <c r="K58" s="2610">
        <f t="shared" si="10"/>
        <v>27028500</v>
      </c>
      <c r="L58" s="2610">
        <f t="shared" si="10"/>
        <v>3147795.0000000005</v>
      </c>
      <c r="M58" s="3939">
        <f t="shared" si="10"/>
        <v>1594248.9000000001</v>
      </c>
      <c r="N58" s="3939">
        <f>SUM(I58:M58)</f>
        <v>81306693.900000006</v>
      </c>
    </row>
    <row r="59" spans="1:16" ht="14.25">
      <c r="A59" s="2613" t="s">
        <v>3814</v>
      </c>
      <c r="B59" s="3932">
        <f>B53</f>
        <v>4485</v>
      </c>
      <c r="C59" s="2605">
        <v>500</v>
      </c>
      <c r="D59" s="3950"/>
      <c r="E59" s="2627">
        <f>C59*B59</f>
        <v>2242500</v>
      </c>
      <c r="F59" s="2622"/>
      <c r="G59" s="2604" t="s">
        <v>3828</v>
      </c>
      <c r="H59" s="2604"/>
      <c r="I59" s="2611">
        <f>I58/$E$62</f>
        <v>0.45145729385019301</v>
      </c>
      <c r="J59" s="2611">
        <f t="shared" ref="J59:M59" si="11">J58/$E$62</f>
        <v>0.15779328102775064</v>
      </c>
      <c r="K59" s="2611">
        <f t="shared" si="11"/>
        <v>0.33242650393881035</v>
      </c>
      <c r="L59" s="2611">
        <f t="shared" si="11"/>
        <v>3.8715078045990996E-2</v>
      </c>
      <c r="M59" s="3940">
        <f t="shared" si="11"/>
        <v>1.9607843137254902E-2</v>
      </c>
      <c r="N59" s="3940">
        <f>SUM(I59:M59)</f>
        <v>0.99999999999999989</v>
      </c>
    </row>
    <row r="60" spans="1:16" ht="15">
      <c r="A60" s="1882" t="s">
        <v>3347</v>
      </c>
      <c r="B60" s="2606">
        <f>B51*0.07</f>
        <v>699.5100000000001</v>
      </c>
      <c r="C60" s="2616">
        <f>E60/B51</f>
        <v>315.00000000000006</v>
      </c>
      <c r="D60" s="3937">
        <f>D53</f>
        <v>4500</v>
      </c>
      <c r="E60" s="2628">
        <f>D60*B60</f>
        <v>3147795.0000000005</v>
      </c>
      <c r="F60" s="2622">
        <f>E60/$E$62</f>
        <v>3.8715078045990996E-2</v>
      </c>
      <c r="G60" s="3951">
        <f>B60/(B62+B60)</f>
        <v>6.5420560747663559E-2</v>
      </c>
      <c r="H60" s="3938" t="s">
        <v>3829</v>
      </c>
    </row>
    <row r="61" spans="1:16" ht="15">
      <c r="A61" s="1882" t="s">
        <v>3346</v>
      </c>
      <c r="B61" s="3936">
        <f>B51</f>
        <v>9993</v>
      </c>
      <c r="C61" s="2616">
        <f>E61/B61</f>
        <v>159.53656559591715</v>
      </c>
      <c r="D61" s="2608">
        <v>0.02</v>
      </c>
      <c r="E61" s="2628">
        <f>(E51+E54+E57+E60)*D61</f>
        <v>1594248.9000000001</v>
      </c>
      <c r="F61" s="2622">
        <f>E61/$E$62</f>
        <v>1.9607843137254902E-2</v>
      </c>
      <c r="G61" s="2604" t="s">
        <v>3820</v>
      </c>
    </row>
    <row r="62" spans="1:16" ht="15.75" thickBot="1">
      <c r="A62" s="2614" t="s">
        <v>3348</v>
      </c>
      <c r="B62" s="2617">
        <f>B51</f>
        <v>9993</v>
      </c>
      <c r="C62" s="2626">
        <f>C51+C54+C57+C61+C60</f>
        <v>8136.364845391774</v>
      </c>
      <c r="D62" s="3528">
        <f>E62/B62</f>
        <v>8136.3648453917749</v>
      </c>
      <c r="E62" s="2609">
        <f>E51+E54+E57+E61+E60</f>
        <v>81306693.900000006</v>
      </c>
      <c r="F62" s="2623">
        <f>F51+F54+F57+F60+F61</f>
        <v>0.99999999999999989</v>
      </c>
      <c r="G62" s="3938"/>
    </row>
    <row r="63" spans="1:16">
      <c r="B63" s="2603"/>
      <c r="C63" s="2603"/>
      <c r="D63" s="2603"/>
    </row>
    <row r="65" spans="1:4" ht="14.25" thickBot="1">
      <c r="B65" s="2603"/>
      <c r="C65" s="2603"/>
      <c r="D65" s="2603"/>
    </row>
    <row r="66" spans="1:4">
      <c r="A66" s="3942" t="s">
        <v>3821</v>
      </c>
      <c r="B66" s="3943"/>
      <c r="C66" s="3943"/>
      <c r="D66" s="3944"/>
    </row>
    <row r="67" spans="1:4">
      <c r="A67" s="3945" t="s">
        <v>3824</v>
      </c>
      <c r="B67" s="3941"/>
      <c r="C67" s="3941"/>
      <c r="D67" s="3948" t="s">
        <v>3826</v>
      </c>
    </row>
    <row r="68" spans="1:4">
      <c r="A68" s="3945" t="s">
        <v>3825</v>
      </c>
      <c r="B68" s="3941"/>
      <c r="C68" s="3941"/>
      <c r="D68" s="3948" t="s">
        <v>3827</v>
      </c>
    </row>
    <row r="69" spans="1:4" ht="14.25" thickBot="1">
      <c r="A69" s="3946" t="s">
        <v>3822</v>
      </c>
      <c r="B69" s="3947"/>
      <c r="C69" s="3947"/>
      <c r="D69" s="3949" t="s">
        <v>3823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H7" sqref="H7"/>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2071</v>
      </c>
      <c r="B1" s="4317" t="str">
        <f>IF(B10="北京市","北京市",C10)&amp;F10&amp;IF(结果表!G1="在建","出让国有建设用地使用权及在建建筑物",IF(结果表!G1="土地","出让国有建设用地使用权",))&amp;B9&amp;"预评估"</f>
        <v>北京市房地产抵押价值预评估</v>
      </c>
      <c r="C1" s="4318"/>
      <c r="D1" s="4318"/>
      <c r="E1" s="4318"/>
      <c r="F1" s="4318"/>
      <c r="G1" s="4318"/>
      <c r="H1" s="4318"/>
      <c r="I1" s="4319"/>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2072</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2073</v>
      </c>
      <c r="B3" s="1730">
        <v>46050</v>
      </c>
      <c r="C3" s="1731" t="s">
        <v>2074</v>
      </c>
      <c r="D3" s="1730">
        <f>B3</f>
        <v>46050</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2075</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2076</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2077</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2078</v>
      </c>
      <c r="B7" s="1743"/>
      <c r="C7" s="1741"/>
      <c r="D7" s="1742"/>
      <c r="E7" s="1930"/>
      <c r="F7" s="1931"/>
      <c r="G7" s="1931"/>
      <c r="H7" s="1931"/>
      <c r="I7" s="1931"/>
      <c r="J7" s="1785"/>
      <c r="K7" s="1892"/>
      <c r="L7" s="1889"/>
      <c r="M7" s="1889"/>
      <c r="N7" s="1785"/>
      <c r="O7" s="1296"/>
      <c r="P7" s="1785"/>
      <c r="Q7" s="1785"/>
      <c r="R7" s="1785"/>
    </row>
    <row r="8" spans="1:30">
      <c r="A8" s="1744" t="s">
        <v>2079</v>
      </c>
      <c r="B8" s="1745" t="s">
        <v>4074</v>
      </c>
      <c r="C8" s="1746"/>
      <c r="D8" s="4320" t="s">
        <v>2080</v>
      </c>
      <c r="E8" s="1747" t="s">
        <v>4075</v>
      </c>
      <c r="F8" s="1748"/>
      <c r="G8" s="1931"/>
      <c r="H8" s="1931"/>
      <c r="I8" s="1931"/>
      <c r="J8" s="1785"/>
      <c r="K8" s="1890"/>
      <c r="L8" s="1889"/>
      <c r="M8" s="1889"/>
      <c r="N8" s="1785"/>
      <c r="O8" s="1296"/>
      <c r="P8" s="1785"/>
      <c r="Q8" s="1785"/>
      <c r="R8" s="1785"/>
    </row>
    <row r="9" spans="1:30" ht="13.5" thickBot="1">
      <c r="A9" s="1749" t="s">
        <v>2081</v>
      </c>
      <c r="B9" s="1750" t="s">
        <v>4075</v>
      </c>
      <c r="C9" s="1751"/>
      <c r="D9" s="4321"/>
      <c r="E9" s="1750" t="s">
        <v>41</v>
      </c>
      <c r="F9" s="1752"/>
      <c r="G9" s="1932"/>
      <c r="H9" s="1932"/>
      <c r="I9" s="1932"/>
      <c r="J9" s="1785"/>
      <c r="K9" s="1892"/>
      <c r="L9" s="1889"/>
      <c r="M9" s="1889"/>
      <c r="N9" s="1785"/>
      <c r="O9" s="1296"/>
      <c r="P9" s="1785"/>
      <c r="Q9" s="1785"/>
      <c r="R9" s="1785"/>
    </row>
    <row r="10" spans="1:30" ht="13.5" thickTop="1">
      <c r="A10" s="1753" t="s">
        <v>2082</v>
      </c>
      <c r="B10" s="3410" t="s">
        <v>4076</v>
      </c>
      <c r="C10" s="1754"/>
      <c r="D10" s="1738"/>
      <c r="E10" s="1755" t="s">
        <v>2083</v>
      </c>
      <c r="F10" s="1933"/>
      <c r="G10" s="1934"/>
      <c r="H10" s="1935"/>
      <c r="I10" s="1936"/>
      <c r="J10" s="1785"/>
      <c r="K10" s="1892"/>
      <c r="L10" s="1889"/>
      <c r="M10" s="1889"/>
      <c r="N10" s="1785"/>
      <c r="O10" s="1296"/>
      <c r="P10" s="1785"/>
      <c r="Q10" s="1785"/>
      <c r="R10" s="1785"/>
    </row>
    <row r="11" spans="1:30">
      <c r="A11" s="1756" t="s">
        <v>2084</v>
      </c>
      <c r="B11" s="2469" t="s">
        <v>4077</v>
      </c>
      <c r="C11" s="1757"/>
      <c r="D11" s="1758"/>
      <c r="E11" s="1727"/>
      <c r="F11" s="1727"/>
      <c r="G11" s="1727"/>
      <c r="H11" s="1727"/>
      <c r="I11" s="1727"/>
      <c r="J11" s="2221"/>
      <c r="K11" s="1889"/>
      <c r="L11" s="1889"/>
      <c r="M11" s="1889"/>
      <c r="N11" s="1785"/>
      <c r="O11" s="1296"/>
      <c r="P11" s="1785"/>
      <c r="Q11" s="1785"/>
      <c r="R11" s="1785"/>
    </row>
    <row r="12" spans="1:30">
      <c r="A12" s="1759" t="s">
        <v>2085</v>
      </c>
      <c r="B12" s="206" t="s">
        <v>2086</v>
      </c>
      <c r="C12" s="1760" t="s">
        <v>2087</v>
      </c>
      <c r="D12" s="1760" t="s">
        <v>2088</v>
      </c>
      <c r="E12" s="1760" t="s">
        <v>2089</v>
      </c>
      <c r="F12" s="1760" t="s">
        <v>2090</v>
      </c>
      <c r="G12" s="1760" t="s">
        <v>2091</v>
      </c>
      <c r="H12" s="1760" t="s">
        <v>2092</v>
      </c>
      <c r="I12" s="2220" t="s">
        <v>2455</v>
      </c>
      <c r="J12" s="2222"/>
      <c r="K12" s="1889"/>
      <c r="L12" s="1889"/>
      <c r="M12" s="1785"/>
      <c r="N12" s="1296"/>
      <c r="O12" s="1785"/>
      <c r="P12" s="1785"/>
      <c r="Q12" s="1785"/>
      <c r="AD12" s="1249"/>
    </row>
    <row r="13" spans="1:30">
      <c r="A13" s="2469" t="s">
        <v>3209</v>
      </c>
      <c r="B13" s="1761" t="s">
        <v>2093</v>
      </c>
      <c r="C13" s="546"/>
      <c r="D13" s="546">
        <v>54660</v>
      </c>
      <c r="E13" s="546"/>
      <c r="F13" s="546"/>
      <c r="G13" s="546"/>
      <c r="H13" s="546"/>
      <c r="I13" s="546"/>
      <c r="J13" s="2222"/>
      <c r="K13" s="1889"/>
      <c r="L13" s="1889"/>
      <c r="M13" s="1785"/>
      <c r="N13" s="1296"/>
      <c r="O13" s="1785"/>
      <c r="P13" s="1785"/>
      <c r="Q13" s="1785"/>
      <c r="AD13" s="1249"/>
    </row>
    <row r="14" spans="1:30">
      <c r="A14" s="718"/>
      <c r="B14" s="1761" t="s">
        <v>2094</v>
      </c>
      <c r="C14" s="1762"/>
      <c r="D14" s="1762">
        <v>40</v>
      </c>
      <c r="E14" s="1762"/>
      <c r="F14" s="1762"/>
      <c r="G14" s="1762"/>
      <c r="H14" s="1762"/>
      <c r="I14" s="1762"/>
      <c r="J14" s="2223"/>
      <c r="K14" s="1889"/>
      <c r="L14" s="1889"/>
      <c r="M14" s="1785"/>
      <c r="N14" s="1296"/>
      <c r="O14" s="1785"/>
      <c r="P14" s="1785"/>
      <c r="Q14" s="1785"/>
      <c r="AD14" s="1249"/>
    </row>
    <row r="15" spans="1:30">
      <c r="A15" s="203"/>
      <c r="B15" s="1763" t="s">
        <v>2095</v>
      </c>
      <c r="C15" s="6" t="str">
        <f>IF(A13="出让",IF(C13="","",ROUNDDOWN(MIN((C13-$D$3)/365,C14),2)),C14)</f>
        <v/>
      </c>
      <c r="D15" s="6">
        <f>IF(A13="出让",IF(D13="","",ROUNDDOWN(MIN((D13-$D$3)/365,D14),2)),D14)</f>
        <v>23.58</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2096</v>
      </c>
      <c r="B16" s="4327"/>
      <c r="C16" s="4328"/>
      <c r="D16" s="4329"/>
      <c r="E16" s="1764" t="s">
        <v>2097</v>
      </c>
      <c r="F16" s="4330"/>
      <c r="G16" s="4331"/>
      <c r="H16" s="4331"/>
      <c r="I16" s="4332"/>
      <c r="J16" s="1785"/>
      <c r="K16" s="1893"/>
      <c r="L16" s="1296"/>
      <c r="M16" s="1296"/>
      <c r="N16" s="1785"/>
      <c r="O16" s="1296"/>
      <c r="P16" s="1785"/>
      <c r="Q16" s="1785"/>
      <c r="R16" s="1785"/>
    </row>
    <row r="17" spans="1:28">
      <c r="A17" s="197" t="s">
        <v>2098</v>
      </c>
      <c r="B17" s="186" t="s">
        <v>2099</v>
      </c>
      <c r="C17" s="9">
        <f>'数据-汇总表'!E3</f>
        <v>138.79</v>
      </c>
      <c r="D17" s="899" t="s">
        <v>2100</v>
      </c>
      <c r="E17" s="4333" t="s">
        <v>2101</v>
      </c>
      <c r="F17" s="4334"/>
      <c r="G17" s="4334"/>
      <c r="H17" s="4334"/>
      <c r="I17" s="4335"/>
      <c r="J17" s="1785"/>
      <c r="K17" s="1894"/>
      <c r="L17" s="1296"/>
      <c r="M17" s="1296"/>
      <c r="N17" s="1785"/>
      <c r="O17" s="1296"/>
      <c r="P17" s="1785"/>
      <c r="Q17" s="1785"/>
      <c r="R17" s="1785"/>
      <c r="S17" s="1785"/>
      <c r="T17" s="1785"/>
      <c r="U17" s="1785"/>
      <c r="V17" s="1785"/>
    </row>
    <row r="18" spans="1:28" ht="24.75" thickBot="1">
      <c r="A18" s="1765" t="s">
        <v>2102</v>
      </c>
      <c r="B18" s="727" t="s">
        <v>2103</v>
      </c>
      <c r="C18" s="2598">
        <f>'数据-汇总表'!D3</f>
        <v>0</v>
      </c>
      <c r="D18" s="729" t="s">
        <v>2104</v>
      </c>
      <c r="E18" s="4336" t="s">
        <v>2105</v>
      </c>
      <c r="F18" s="4337"/>
      <c r="G18" s="4337"/>
      <c r="H18" s="4337"/>
      <c r="I18" s="4338"/>
      <c r="J18" s="1785"/>
      <c r="K18" s="1894"/>
      <c r="L18" s="1296"/>
      <c r="M18" s="1296"/>
      <c r="N18" s="1785"/>
      <c r="O18" s="1296"/>
      <c r="P18" s="1785"/>
      <c r="Q18" s="1785"/>
      <c r="R18" s="1785"/>
      <c r="S18" s="1785"/>
      <c r="T18" s="1785"/>
      <c r="U18" s="1785"/>
      <c r="V18" s="1785"/>
    </row>
    <row r="19" spans="1:28" ht="37.5" thickTop="1" thickBot="1">
      <c r="A19" s="210" t="s">
        <v>1039</v>
      </c>
      <c r="B19" s="191" t="s">
        <v>2106</v>
      </c>
      <c r="C19" s="1098"/>
      <c r="D19" s="1099" t="s">
        <v>2107</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2108</v>
      </c>
      <c r="B20" s="4323" t="s">
        <v>2109</v>
      </c>
      <c r="C20" s="4324"/>
      <c r="D20" s="4325" t="s">
        <v>2110</v>
      </c>
      <c r="E20" s="4326"/>
      <c r="F20" s="1920" t="s">
        <v>1040</v>
      </c>
      <c r="G20" s="1931"/>
      <c r="H20" s="1931"/>
      <c r="I20" s="1931"/>
      <c r="J20" s="1785"/>
      <c r="K20" s="4322" t="s">
        <v>2111</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2112</v>
      </c>
      <c r="C21" s="1836" t="s">
        <v>1041</v>
      </c>
      <c r="D21" s="1103" t="s">
        <v>2113</v>
      </c>
      <c r="E21" s="1909" t="s">
        <v>1041</v>
      </c>
      <c r="F21" s="1921"/>
      <c r="G21" s="1931"/>
      <c r="H21" s="1931"/>
      <c r="I21" s="1931"/>
      <c r="J21" s="1785"/>
      <c r="K21" s="4322"/>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2114</v>
      </c>
      <c r="C22" s="1836" t="s">
        <v>1042</v>
      </c>
      <c r="D22" s="1931"/>
      <c r="E22" s="1931"/>
      <c r="F22" s="1931"/>
      <c r="G22" s="1931"/>
      <c r="H22" s="1931"/>
      <c r="I22" s="1931"/>
      <c r="J22" s="1785"/>
      <c r="K22" s="4322"/>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2115</v>
      </c>
      <c r="B23" s="1833" t="s">
        <v>2116</v>
      </c>
      <c r="C23" s="1912"/>
      <c r="D23" s="1913" t="s">
        <v>2116</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40" t="s">
        <v>2117</v>
      </c>
      <c r="B27" s="203" t="s">
        <v>2118</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40"/>
      <c r="B28" s="186" t="s">
        <v>2119</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40"/>
      <c r="B29" s="186" t="s">
        <v>2120</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41"/>
      <c r="B30" s="186" t="s">
        <v>2121</v>
      </c>
      <c r="C30" s="4342"/>
      <c r="D30" s="4343"/>
      <c r="E30" s="1931"/>
      <c r="F30" s="1931"/>
      <c r="G30" s="1931"/>
      <c r="H30" s="1931"/>
      <c r="I30" s="1931"/>
      <c r="J30" s="1785"/>
      <c r="K30" s="1892"/>
      <c r="L30" s="1889"/>
      <c r="M30" s="1889"/>
      <c r="N30" s="1785"/>
      <c r="O30" s="1296"/>
      <c r="P30" s="1785"/>
      <c r="Q30" s="1785"/>
      <c r="R30" s="1785"/>
      <c r="S30" s="1785"/>
      <c r="T30" s="1785"/>
      <c r="U30" s="1785"/>
      <c r="V30" s="1785"/>
    </row>
    <row r="31" spans="1:28">
      <c r="A31" s="4344" t="s">
        <v>2122</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45"/>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45"/>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2123</v>
      </c>
      <c r="B34" s="1465"/>
      <c r="C34" s="1465"/>
      <c r="D34" s="1465"/>
      <c r="E34" s="1465"/>
      <c r="F34" s="1465"/>
      <c r="G34" s="1465"/>
      <c r="H34" s="1465"/>
      <c r="I34" s="1931"/>
      <c r="J34" s="1785"/>
      <c r="K34" s="6">
        <f>COUNTIF(B34:H34,"——")</f>
        <v>0</v>
      </c>
      <c r="L34" s="206" t="s">
        <v>2124</v>
      </c>
      <c r="M34" s="206" t="s">
        <v>2125</v>
      </c>
      <c r="N34" s="206" t="s">
        <v>2126</v>
      </c>
      <c r="O34" s="206" t="s">
        <v>2127</v>
      </c>
      <c r="P34" s="206" t="s">
        <v>2128</v>
      </c>
      <c r="Q34" s="206" t="s">
        <v>2129</v>
      </c>
      <c r="R34" s="206" t="s">
        <v>2130</v>
      </c>
      <c r="S34" s="4339" t="s">
        <v>2131</v>
      </c>
      <c r="T34" s="206" t="str">
        <f>NUMBERSTRING(7-K34,1)&amp;"通"</f>
        <v>七通</v>
      </c>
      <c r="U34" s="1785"/>
      <c r="V34" s="1785"/>
    </row>
    <row r="35" spans="1:30">
      <c r="A35" s="1776"/>
      <c r="B35" s="4339" t="s">
        <v>2132</v>
      </c>
      <c r="C35" s="4339"/>
      <c r="D35" s="4339"/>
      <c r="E35" s="4339"/>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9"/>
      <c r="T35" s="55" t="str">
        <f>IF(T34="一通",L35,IF(T34="二通",M35,IF(T34="三通",N35,IF(T34="四通",O35,IF(T34="五通",P35,IF(T34="六通",Q35,R35))))))</f>
        <v>、、、、、、</v>
      </c>
      <c r="U35" s="1785"/>
      <c r="V35" s="1785"/>
    </row>
    <row r="36" spans="1:30">
      <c r="A36" s="1728"/>
      <c r="B36" s="6" t="s">
        <v>2088</v>
      </c>
      <c r="C36" s="6" t="s">
        <v>2089</v>
      </c>
      <c r="D36" s="6" t="s">
        <v>2087</v>
      </c>
      <c r="E36" s="6" t="s">
        <v>2092</v>
      </c>
      <c r="F36" s="2220" t="s">
        <v>2458</v>
      </c>
      <c r="G36" s="1931"/>
      <c r="H36" s="1931"/>
      <c r="I36" s="1931"/>
      <c r="J36" s="1785"/>
      <c r="K36" s="1892"/>
      <c r="L36" s="1889"/>
      <c r="M36" s="1889"/>
      <c r="N36" s="1785"/>
      <c r="O36" s="1296"/>
      <c r="P36" s="1785"/>
      <c r="Q36" s="1785"/>
      <c r="R36" s="1785"/>
      <c r="S36" s="1785"/>
      <c r="T36" s="1785"/>
      <c r="U36" s="1785"/>
      <c r="V36" s="1785"/>
    </row>
    <row r="37" spans="1:30">
      <c r="A37" s="1905" t="s">
        <v>2133</v>
      </c>
      <c r="B37" s="1777" t="s">
        <v>182</v>
      </c>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2134</v>
      </c>
      <c r="B38" s="1778" t="s">
        <v>220</v>
      </c>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2135</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2136</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2137</v>
      </c>
      <c r="B42" s="6" t="s">
        <v>2138</v>
      </c>
      <c r="C42" s="6" t="s">
        <v>2139</v>
      </c>
      <c r="D42" s="6" t="s">
        <v>2140</v>
      </c>
      <c r="E42" s="6" t="s">
        <v>2141</v>
      </c>
      <c r="F42" s="6" t="s">
        <v>2142</v>
      </c>
      <c r="G42" s="6" t="s">
        <v>2143</v>
      </c>
      <c r="H42" s="6" t="s">
        <v>2144</v>
      </c>
      <c r="I42" s="6" t="s">
        <v>2145</v>
      </c>
      <c r="J42" s="1901" t="s">
        <v>2146</v>
      </c>
      <c r="K42" s="1902" t="s">
        <v>2147</v>
      </c>
      <c r="L42" s="1902" t="s">
        <v>2148</v>
      </c>
      <c r="M42" s="1902" t="s">
        <v>2149</v>
      </c>
      <c r="N42" s="1895" t="s">
        <v>2150</v>
      </c>
      <c r="O42" s="1895" t="s">
        <v>2151</v>
      </c>
      <c r="P42" s="1895" t="s">
        <v>2152</v>
      </c>
      <c r="Q42" s="1896" t="s">
        <v>2153</v>
      </c>
      <c r="R42" s="1896" t="s">
        <v>2154</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438</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438</v>
      </c>
      <c r="H5" s="6">
        <f t="shared" ref="H5:AT5" si="0">SUM(H13:H656)</f>
        <v>438</v>
      </c>
      <c r="I5" s="6">
        <f t="shared" si="0"/>
        <v>438</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138.79</v>
      </c>
      <c r="BA5" s="455">
        <f t="shared" si="1"/>
        <v>138.79</v>
      </c>
      <c r="BB5" s="455">
        <f t="shared" si="1"/>
        <v>138.79</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8">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9">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0">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4070</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660</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地下</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t="s">
        <v>4067</v>
      </c>
      <c r="D13" s="1153" t="s">
        <v>4071</v>
      </c>
      <c r="E13" s="6">
        <f>IF($C$3="是",ROUND($A$3*G13/$B$3,2),ROUND($A$3*(G13-AT13)/$B$3,2))</f>
        <v>0</v>
      </c>
      <c r="F13" s="579"/>
      <c r="G13" s="18">
        <f>H13+AC13+AT13</f>
        <v>138.79</v>
      </c>
      <c r="H13" s="11">
        <f>SUMIF(I$12:AB$12,"总值",I13:AB13)</f>
        <v>138.79</v>
      </c>
      <c r="I13" s="1105">
        <f>Sheet1!D3</f>
        <v>138.79</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商业07-2</v>
      </c>
      <c r="AY13" s="903">
        <f>ROUND($AY$6*AZ13/$AZ$5,2)</f>
        <v>0</v>
      </c>
      <c r="AZ13" s="9">
        <f>BA13+BL13</f>
        <v>138.79</v>
      </c>
      <c r="BA13" s="9">
        <f>SUM(BB13:BK13)</f>
        <v>138.79</v>
      </c>
      <c r="BB13" s="9">
        <f>IF($D13="是",I13-J13,0)</f>
        <v>138.79</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t="s">
        <v>4068</v>
      </c>
      <c r="D14" s="1153" t="s">
        <v>4072</v>
      </c>
      <c r="E14" s="6">
        <f>IF($C$3="是",ROUND($A$3*G14/$B$3,2),ROUND($A$3*(G14-AT14)/$B$3,2))</f>
        <v>0</v>
      </c>
      <c r="F14" s="579"/>
      <c r="G14" s="18">
        <f>H14+AC14+AT14</f>
        <v>128.29</v>
      </c>
      <c r="H14" s="11">
        <f>SUMIF(I$12:AB$12,"总值",I14:AB14)</f>
        <v>128.29</v>
      </c>
      <c r="I14" s="1105">
        <f>Sheet1!D4</f>
        <v>128.29</v>
      </c>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t="str">
        <f t="shared" si="6"/>
        <v>商业07-3</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t="s">
        <v>4069</v>
      </c>
      <c r="D15" s="1153" t="s">
        <v>4072</v>
      </c>
      <c r="E15" s="6">
        <f>IF($C$3="是",ROUND($A$3*G15/$B$3,2),ROUND($A$3*(G15-AT15)/$B$3,2))</f>
        <v>0</v>
      </c>
      <c r="F15" s="579"/>
      <c r="G15" s="18">
        <f>H15+AC15+AT15</f>
        <v>170.92</v>
      </c>
      <c r="H15" s="11">
        <f>SUMIF(I$12:AB$12,"总值",I15:AB15)</f>
        <v>170.92</v>
      </c>
      <c r="I15" s="1105">
        <f>Sheet1!D5</f>
        <v>170.92</v>
      </c>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t="str">
        <f t="shared" si="6"/>
        <v>商业07-4</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6">
        <f t="shared" ref="G18:G109" si="8">H18+AC18+AT18</f>
        <v>0</v>
      </c>
      <c r="H18" s="1256">
        <f t="shared" ref="H18:H109" si="9">SUMIF(I$12:AB$12,"总值",I18:AB18)</f>
        <v>0</v>
      </c>
      <c r="I18" s="3777"/>
      <c r="J18" s="3777"/>
      <c r="K18" s="3777"/>
      <c r="L18" s="3777"/>
      <c r="M18" s="3777"/>
      <c r="N18" s="3777"/>
      <c r="O18" s="3777"/>
      <c r="P18" s="3777"/>
      <c r="Q18" s="3777"/>
      <c r="R18" s="3777"/>
      <c r="S18" s="3777"/>
      <c r="T18" s="3777"/>
      <c r="U18" s="3777"/>
      <c r="V18" s="3777"/>
      <c r="W18" s="3777"/>
      <c r="X18" s="3777"/>
      <c r="Y18" s="3777"/>
      <c r="Z18" s="3777"/>
      <c r="AA18" s="3777"/>
      <c r="AB18" s="3777"/>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6">
        <f t="shared" si="8"/>
        <v>0</v>
      </c>
      <c r="H19" s="1256">
        <f t="shared" si="9"/>
        <v>0</v>
      </c>
      <c r="I19" s="3777"/>
      <c r="J19" s="3777"/>
      <c r="K19" s="3777"/>
      <c r="L19" s="3777"/>
      <c r="M19" s="3777"/>
      <c r="N19" s="3777"/>
      <c r="O19" s="3777"/>
      <c r="P19" s="3777"/>
      <c r="Q19" s="3777"/>
      <c r="R19" s="3777"/>
      <c r="S19" s="3777"/>
      <c r="T19" s="3777"/>
      <c r="U19" s="3777"/>
      <c r="V19" s="3777"/>
      <c r="W19" s="3777"/>
      <c r="X19" s="3777"/>
      <c r="Y19" s="3777"/>
      <c r="Z19" s="3777"/>
      <c r="AA19" s="3777"/>
      <c r="AB19" s="3777"/>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6">
        <f t="shared" si="8"/>
        <v>0</v>
      </c>
      <c r="H20" s="1256">
        <f t="shared" si="9"/>
        <v>0</v>
      </c>
      <c r="I20" s="3777"/>
      <c r="J20" s="3777"/>
      <c r="K20" s="3777"/>
      <c r="L20" s="3777"/>
      <c r="M20" s="3777"/>
      <c r="N20" s="3777"/>
      <c r="O20" s="3777"/>
      <c r="P20" s="3777"/>
      <c r="Q20" s="3777"/>
      <c r="R20" s="3777"/>
      <c r="S20" s="3777"/>
      <c r="T20" s="3777"/>
      <c r="U20" s="3777"/>
      <c r="V20" s="3777"/>
      <c r="W20" s="3777"/>
      <c r="X20" s="3777"/>
      <c r="Y20" s="3777"/>
      <c r="Z20" s="3777"/>
      <c r="AA20" s="3777"/>
      <c r="AB20" s="3777"/>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6">
        <f t="shared" si="8"/>
        <v>0</v>
      </c>
      <c r="H21" s="1256">
        <f t="shared" si="9"/>
        <v>0</v>
      </c>
      <c r="I21" s="3777"/>
      <c r="J21" s="3777"/>
      <c r="K21" s="3777"/>
      <c r="L21" s="3777"/>
      <c r="M21" s="3777"/>
      <c r="N21" s="3777"/>
      <c r="O21" s="3777"/>
      <c r="P21" s="3777"/>
      <c r="Q21" s="3777"/>
      <c r="R21" s="3777"/>
      <c r="S21" s="3777"/>
      <c r="T21" s="3777"/>
      <c r="U21" s="3777"/>
      <c r="V21" s="3777"/>
      <c r="W21" s="3777"/>
      <c r="X21" s="3777"/>
      <c r="Y21" s="3777"/>
      <c r="Z21" s="3777"/>
      <c r="AA21" s="3777"/>
      <c r="AB21" s="3777"/>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6">
        <f t="shared" si="8"/>
        <v>0</v>
      </c>
      <c r="H22" s="1256">
        <f t="shared" si="9"/>
        <v>0</v>
      </c>
      <c r="I22" s="3777"/>
      <c r="J22" s="3777"/>
      <c r="K22" s="3777"/>
      <c r="L22" s="3777"/>
      <c r="M22" s="3777"/>
      <c r="N22" s="3777"/>
      <c r="O22" s="3777"/>
      <c r="P22" s="3777"/>
      <c r="Q22" s="3777"/>
      <c r="R22" s="3777"/>
      <c r="S22" s="3777"/>
      <c r="T22" s="3777"/>
      <c r="U22" s="3777"/>
      <c r="V22" s="3777"/>
      <c r="W22" s="3777"/>
      <c r="X22" s="3777"/>
      <c r="Y22" s="3777"/>
      <c r="Z22" s="3777"/>
      <c r="AA22" s="3777"/>
      <c r="AB22" s="3777"/>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6">
        <f t="shared" si="8"/>
        <v>0</v>
      </c>
      <c r="H23" s="1256">
        <f t="shared" si="9"/>
        <v>0</v>
      </c>
      <c r="I23" s="3777"/>
      <c r="J23" s="3777"/>
      <c r="K23" s="3777"/>
      <c r="L23" s="3777"/>
      <c r="M23" s="3777"/>
      <c r="N23" s="3777"/>
      <c r="O23" s="3777"/>
      <c r="P23" s="3777"/>
      <c r="Q23" s="3777"/>
      <c r="R23" s="3777"/>
      <c r="S23" s="3777"/>
      <c r="T23" s="3777"/>
      <c r="U23" s="3777"/>
      <c r="V23" s="3777"/>
      <c r="W23" s="3777"/>
      <c r="X23" s="3777"/>
      <c r="Y23" s="3777"/>
      <c r="Z23" s="3777"/>
      <c r="AA23" s="3777"/>
      <c r="AB23" s="3777"/>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6">
        <f t="shared" si="8"/>
        <v>0</v>
      </c>
      <c r="H24" s="1256">
        <f t="shared" si="9"/>
        <v>0</v>
      </c>
      <c r="I24" s="3777"/>
      <c r="J24" s="3777"/>
      <c r="K24" s="3777"/>
      <c r="L24" s="3777"/>
      <c r="M24" s="3777"/>
      <c r="N24" s="3777"/>
      <c r="O24" s="3777"/>
      <c r="P24" s="3777"/>
      <c r="Q24" s="3777"/>
      <c r="R24" s="3777"/>
      <c r="S24" s="3777"/>
      <c r="T24" s="3777"/>
      <c r="U24" s="3777"/>
      <c r="V24" s="3777"/>
      <c r="W24" s="3777"/>
      <c r="X24" s="3777"/>
      <c r="Y24" s="3777"/>
      <c r="Z24" s="3777"/>
      <c r="AA24" s="3777"/>
      <c r="AB24" s="3777"/>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6">
        <f t="shared" si="8"/>
        <v>0</v>
      </c>
      <c r="H25" s="1256">
        <f t="shared" si="9"/>
        <v>0</v>
      </c>
      <c r="I25" s="3777"/>
      <c r="J25" s="3777"/>
      <c r="K25" s="3777"/>
      <c r="L25" s="3777"/>
      <c r="M25" s="3777"/>
      <c r="N25" s="3777"/>
      <c r="O25" s="3777"/>
      <c r="P25" s="3777"/>
      <c r="Q25" s="3777"/>
      <c r="R25" s="3777"/>
      <c r="S25" s="3777"/>
      <c r="T25" s="3777"/>
      <c r="U25" s="3777"/>
      <c r="V25" s="3777"/>
      <c r="W25" s="3777"/>
      <c r="X25" s="3777"/>
      <c r="Y25" s="3777"/>
      <c r="Z25" s="3777"/>
      <c r="AA25" s="3777"/>
      <c r="AB25" s="3777"/>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6">
        <f t="shared" si="8"/>
        <v>0</v>
      </c>
      <c r="H26" s="1256">
        <f t="shared" si="9"/>
        <v>0</v>
      </c>
      <c r="I26" s="3777"/>
      <c r="J26" s="3777"/>
      <c r="K26" s="3777"/>
      <c r="L26" s="3777"/>
      <c r="M26" s="3777"/>
      <c r="N26" s="3777"/>
      <c r="O26" s="3777"/>
      <c r="P26" s="3777"/>
      <c r="Q26" s="3777"/>
      <c r="R26" s="3777"/>
      <c r="S26" s="3777"/>
      <c r="T26" s="3777"/>
      <c r="U26" s="3777"/>
      <c r="V26" s="3777"/>
      <c r="W26" s="3777"/>
      <c r="X26" s="3777"/>
      <c r="Y26" s="3777"/>
      <c r="Z26" s="3777"/>
      <c r="AA26" s="3777"/>
      <c r="AB26" s="3777"/>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6">
        <f t="shared" si="8"/>
        <v>0</v>
      </c>
      <c r="H27" s="1256">
        <f t="shared" si="9"/>
        <v>0</v>
      </c>
      <c r="I27" s="3777"/>
      <c r="J27" s="3777"/>
      <c r="K27" s="3777"/>
      <c r="L27" s="3777"/>
      <c r="M27" s="3777"/>
      <c r="N27" s="3777"/>
      <c r="O27" s="3777"/>
      <c r="P27" s="3777"/>
      <c r="Q27" s="3777"/>
      <c r="R27" s="3777"/>
      <c r="S27" s="3777"/>
      <c r="T27" s="3777"/>
      <c r="U27" s="3777"/>
      <c r="V27" s="3777"/>
      <c r="W27" s="3777"/>
      <c r="X27" s="3777"/>
      <c r="Y27" s="3777"/>
      <c r="Z27" s="3777"/>
      <c r="AA27" s="3777"/>
      <c r="AB27" s="3777"/>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6">
        <f t="shared" si="8"/>
        <v>0</v>
      </c>
      <c r="H28" s="1256">
        <f t="shared" si="9"/>
        <v>0</v>
      </c>
      <c r="I28" s="3777"/>
      <c r="J28" s="3777"/>
      <c r="K28" s="3777"/>
      <c r="L28" s="3777"/>
      <c r="M28" s="3777"/>
      <c r="N28" s="3777"/>
      <c r="O28" s="3777"/>
      <c r="P28" s="3777"/>
      <c r="Q28" s="3777"/>
      <c r="R28" s="3777"/>
      <c r="S28" s="3777"/>
      <c r="T28" s="3777"/>
      <c r="U28" s="3777"/>
      <c r="V28" s="3777"/>
      <c r="W28" s="3777"/>
      <c r="X28" s="3777"/>
      <c r="Y28" s="3777"/>
      <c r="Z28" s="3777"/>
      <c r="AA28" s="3777"/>
      <c r="AB28" s="3777"/>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6">
        <f t="shared" si="8"/>
        <v>0</v>
      </c>
      <c r="H29" s="1256">
        <f t="shared" si="9"/>
        <v>0</v>
      </c>
      <c r="I29" s="3777"/>
      <c r="J29" s="3777"/>
      <c r="K29" s="3777"/>
      <c r="L29" s="3777"/>
      <c r="M29" s="3777"/>
      <c r="N29" s="3777"/>
      <c r="O29" s="3777"/>
      <c r="P29" s="3777"/>
      <c r="Q29" s="3777"/>
      <c r="R29" s="3777"/>
      <c r="S29" s="3777"/>
      <c r="T29" s="3777"/>
      <c r="U29" s="3777"/>
      <c r="V29" s="3777"/>
      <c r="W29" s="3777"/>
      <c r="X29" s="3777"/>
      <c r="Y29" s="3777"/>
      <c r="Z29" s="3777"/>
      <c r="AA29" s="3777"/>
      <c r="AB29" s="3777"/>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6">
        <f t="shared" si="8"/>
        <v>0</v>
      </c>
      <c r="H30" s="1256">
        <f t="shared" si="9"/>
        <v>0</v>
      </c>
      <c r="I30" s="3777"/>
      <c r="J30" s="3777"/>
      <c r="K30" s="3777"/>
      <c r="L30" s="3777"/>
      <c r="M30" s="3777"/>
      <c r="N30" s="3777"/>
      <c r="O30" s="3777"/>
      <c r="P30" s="3777"/>
      <c r="Q30" s="3777"/>
      <c r="R30" s="3777"/>
      <c r="S30" s="3777"/>
      <c r="T30" s="3777"/>
      <c r="U30" s="3777"/>
      <c r="V30" s="3777"/>
      <c r="W30" s="3777"/>
      <c r="X30" s="3777"/>
      <c r="Y30" s="3777"/>
      <c r="Z30" s="3777"/>
      <c r="AA30" s="3777"/>
      <c r="AB30" s="3777"/>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6">
        <f t="shared" si="8"/>
        <v>0</v>
      </c>
      <c r="H31" s="1256">
        <f t="shared" si="9"/>
        <v>0</v>
      </c>
      <c r="I31" s="3777"/>
      <c r="J31" s="3777"/>
      <c r="K31" s="3777"/>
      <c r="L31" s="3777"/>
      <c r="M31" s="3777"/>
      <c r="N31" s="3777"/>
      <c r="O31" s="3777"/>
      <c r="P31" s="3777"/>
      <c r="Q31" s="3777"/>
      <c r="R31" s="3777"/>
      <c r="S31" s="3777"/>
      <c r="T31" s="3777"/>
      <c r="U31" s="3777"/>
      <c r="V31" s="3777"/>
      <c r="W31" s="3777"/>
      <c r="X31" s="3777"/>
      <c r="Y31" s="3777"/>
      <c r="Z31" s="3777"/>
      <c r="AA31" s="3777"/>
      <c r="AB31" s="3777"/>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6">
        <f t="shared" si="8"/>
        <v>0</v>
      </c>
      <c r="H32" s="1256">
        <f t="shared" si="9"/>
        <v>0</v>
      </c>
      <c r="I32" s="3777"/>
      <c r="J32" s="3777"/>
      <c r="K32" s="3777"/>
      <c r="L32" s="3777"/>
      <c r="M32" s="3777"/>
      <c r="N32" s="3777"/>
      <c r="O32" s="3777"/>
      <c r="P32" s="3777"/>
      <c r="Q32" s="3777"/>
      <c r="R32" s="3777"/>
      <c r="S32" s="3777"/>
      <c r="T32" s="3777"/>
      <c r="U32" s="3777"/>
      <c r="V32" s="3777"/>
      <c r="W32" s="3777"/>
      <c r="X32" s="3777"/>
      <c r="Y32" s="3777"/>
      <c r="Z32" s="3777"/>
      <c r="AA32" s="3777"/>
      <c r="AB32" s="3777"/>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6">
        <f t="shared" si="8"/>
        <v>0</v>
      </c>
      <c r="H33" s="1256">
        <f t="shared" si="9"/>
        <v>0</v>
      </c>
      <c r="I33" s="3777"/>
      <c r="J33" s="3777"/>
      <c r="K33" s="3777"/>
      <c r="L33" s="3777"/>
      <c r="M33" s="3777"/>
      <c r="N33" s="3777"/>
      <c r="O33" s="3777"/>
      <c r="P33" s="3777"/>
      <c r="Q33" s="3777"/>
      <c r="R33" s="3777"/>
      <c r="S33" s="3777"/>
      <c r="T33" s="3777"/>
      <c r="U33" s="3777"/>
      <c r="V33" s="3777"/>
      <c r="W33" s="3777"/>
      <c r="X33" s="3777"/>
      <c r="Y33" s="3777"/>
      <c r="Z33" s="3777"/>
      <c r="AA33" s="3777"/>
      <c r="AB33" s="3777"/>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6">
        <f t="shared" si="8"/>
        <v>0</v>
      </c>
      <c r="H34" s="1256">
        <f t="shared" si="9"/>
        <v>0</v>
      </c>
      <c r="I34" s="3777"/>
      <c r="J34" s="3777"/>
      <c r="K34" s="3777"/>
      <c r="L34" s="3777"/>
      <c r="M34" s="3777"/>
      <c r="N34" s="3777"/>
      <c r="O34" s="3777"/>
      <c r="P34" s="3777"/>
      <c r="Q34" s="3777"/>
      <c r="R34" s="3777"/>
      <c r="S34" s="3777"/>
      <c r="T34" s="3777"/>
      <c r="U34" s="3777"/>
      <c r="V34" s="3777"/>
      <c r="W34" s="3777"/>
      <c r="X34" s="3777"/>
      <c r="Y34" s="3777"/>
      <c r="Z34" s="3777"/>
      <c r="AA34" s="3777"/>
      <c r="AB34" s="3777"/>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6">
        <f t="shared" si="8"/>
        <v>0</v>
      </c>
      <c r="H35" s="1256">
        <f t="shared" si="9"/>
        <v>0</v>
      </c>
      <c r="I35" s="3777"/>
      <c r="J35" s="3777"/>
      <c r="K35" s="3777"/>
      <c r="L35" s="3777"/>
      <c r="M35" s="3777"/>
      <c r="N35" s="3777"/>
      <c r="O35" s="3777"/>
      <c r="P35" s="3777"/>
      <c r="Q35" s="3777"/>
      <c r="R35" s="3777"/>
      <c r="S35" s="3777"/>
      <c r="T35" s="3777"/>
      <c r="U35" s="3777"/>
      <c r="V35" s="3777"/>
      <c r="W35" s="3777"/>
      <c r="X35" s="3777"/>
      <c r="Y35" s="3777"/>
      <c r="Z35" s="3777"/>
      <c r="AA35" s="3777"/>
      <c r="AB35" s="3777"/>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6">
        <f t="shared" si="8"/>
        <v>0</v>
      </c>
      <c r="H36" s="1256">
        <f t="shared" si="9"/>
        <v>0</v>
      </c>
      <c r="I36" s="3777"/>
      <c r="J36" s="3777"/>
      <c r="K36" s="3777"/>
      <c r="L36" s="3777"/>
      <c r="M36" s="3777"/>
      <c r="N36" s="3777"/>
      <c r="O36" s="3777"/>
      <c r="P36" s="3777"/>
      <c r="Q36" s="3777"/>
      <c r="R36" s="3777"/>
      <c r="S36" s="3777"/>
      <c r="T36" s="3777"/>
      <c r="U36" s="3777"/>
      <c r="V36" s="3777"/>
      <c r="W36" s="3777"/>
      <c r="X36" s="3777"/>
      <c r="Y36" s="3777"/>
      <c r="Z36" s="3777"/>
      <c r="AA36" s="3777"/>
      <c r="AB36" s="3777"/>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6">
        <f t="shared" si="8"/>
        <v>0</v>
      </c>
      <c r="H37" s="1256">
        <f t="shared" si="9"/>
        <v>0</v>
      </c>
      <c r="I37" s="3777"/>
      <c r="J37" s="3777"/>
      <c r="K37" s="3777"/>
      <c r="L37" s="3777"/>
      <c r="M37" s="3777"/>
      <c r="N37" s="3777"/>
      <c r="O37" s="3777"/>
      <c r="P37" s="3777"/>
      <c r="Q37" s="3777"/>
      <c r="R37" s="3777"/>
      <c r="S37" s="3777"/>
      <c r="T37" s="3777"/>
      <c r="U37" s="3777"/>
      <c r="V37" s="3777"/>
      <c r="W37" s="3777"/>
      <c r="X37" s="3777"/>
      <c r="Y37" s="3777"/>
      <c r="Z37" s="3777"/>
      <c r="AA37" s="3777"/>
      <c r="AB37" s="3777"/>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6">
        <f t="shared" si="8"/>
        <v>0</v>
      </c>
      <c r="H38" s="1256">
        <f t="shared" si="9"/>
        <v>0</v>
      </c>
      <c r="I38" s="3777"/>
      <c r="J38" s="3777"/>
      <c r="K38" s="3777"/>
      <c r="L38" s="3777"/>
      <c r="M38" s="3777"/>
      <c r="N38" s="3777"/>
      <c r="O38" s="3777"/>
      <c r="P38" s="3777"/>
      <c r="Q38" s="3777"/>
      <c r="R38" s="3777"/>
      <c r="S38" s="3777"/>
      <c r="T38" s="3777"/>
      <c r="U38" s="3777"/>
      <c r="V38" s="3777"/>
      <c r="W38" s="3777"/>
      <c r="X38" s="3777"/>
      <c r="Y38" s="3777"/>
      <c r="Z38" s="3777"/>
      <c r="AA38" s="3777"/>
      <c r="AB38" s="3777"/>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6">
        <f t="shared" si="8"/>
        <v>0</v>
      </c>
      <c r="H39" s="1256">
        <f t="shared" si="9"/>
        <v>0</v>
      </c>
      <c r="I39" s="3777"/>
      <c r="J39" s="3777"/>
      <c r="K39" s="3777"/>
      <c r="L39" s="3777"/>
      <c r="M39" s="3777"/>
      <c r="N39" s="3777"/>
      <c r="O39" s="3777"/>
      <c r="P39" s="3777"/>
      <c r="Q39" s="3777"/>
      <c r="R39" s="3777"/>
      <c r="S39" s="3777"/>
      <c r="T39" s="3777"/>
      <c r="U39" s="3777"/>
      <c r="V39" s="3777"/>
      <c r="W39" s="3777"/>
      <c r="X39" s="3777"/>
      <c r="Y39" s="3777"/>
      <c r="Z39" s="3777"/>
      <c r="AA39" s="3777"/>
      <c r="AB39" s="3777"/>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6">
        <f t="shared" si="8"/>
        <v>0</v>
      </c>
      <c r="H40" s="1256">
        <f t="shared" si="9"/>
        <v>0</v>
      </c>
      <c r="I40" s="3777"/>
      <c r="J40" s="3777"/>
      <c r="K40" s="3777"/>
      <c r="L40" s="3777"/>
      <c r="M40" s="3777"/>
      <c r="N40" s="3777"/>
      <c r="O40" s="3777"/>
      <c r="P40" s="3777"/>
      <c r="Q40" s="3777"/>
      <c r="R40" s="3777"/>
      <c r="S40" s="3777"/>
      <c r="T40" s="3777"/>
      <c r="U40" s="3777"/>
      <c r="V40" s="3777"/>
      <c r="W40" s="3777"/>
      <c r="X40" s="3777"/>
      <c r="Y40" s="3777"/>
      <c r="Z40" s="3777"/>
      <c r="AA40" s="3777"/>
      <c r="AB40" s="3777"/>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6">
        <f t="shared" si="8"/>
        <v>0</v>
      </c>
      <c r="H41" s="1256">
        <f t="shared" si="9"/>
        <v>0</v>
      </c>
      <c r="I41" s="3777"/>
      <c r="J41" s="3777"/>
      <c r="K41" s="3777"/>
      <c r="L41" s="3777"/>
      <c r="M41" s="3777"/>
      <c r="N41" s="3777"/>
      <c r="O41" s="3777"/>
      <c r="P41" s="3777"/>
      <c r="Q41" s="3777"/>
      <c r="R41" s="3777"/>
      <c r="S41" s="3777"/>
      <c r="T41" s="3777"/>
      <c r="U41" s="3777"/>
      <c r="V41" s="3777"/>
      <c r="W41" s="3777"/>
      <c r="X41" s="3777"/>
      <c r="Y41" s="3777"/>
      <c r="Z41" s="3777"/>
      <c r="AA41" s="3777"/>
      <c r="AB41" s="3777"/>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6">
        <f t="shared" si="8"/>
        <v>0</v>
      </c>
      <c r="H42" s="1256">
        <f t="shared" si="9"/>
        <v>0</v>
      </c>
      <c r="I42" s="3777"/>
      <c r="J42" s="3777"/>
      <c r="K42" s="3777"/>
      <c r="L42" s="3777"/>
      <c r="M42" s="3777"/>
      <c r="N42" s="3777"/>
      <c r="O42" s="3777"/>
      <c r="P42" s="3777"/>
      <c r="Q42" s="3777"/>
      <c r="R42" s="3777"/>
      <c r="S42" s="3777"/>
      <c r="T42" s="3777"/>
      <c r="U42" s="3777"/>
      <c r="V42" s="3777"/>
      <c r="W42" s="3777"/>
      <c r="X42" s="3777"/>
      <c r="Y42" s="3777"/>
      <c r="Z42" s="3777"/>
      <c r="AA42" s="3777"/>
      <c r="AB42" s="3777"/>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6">
        <f t="shared" si="8"/>
        <v>0</v>
      </c>
      <c r="H43" s="1256">
        <f t="shared" si="9"/>
        <v>0</v>
      </c>
      <c r="I43" s="3777"/>
      <c r="J43" s="3777"/>
      <c r="K43" s="3777"/>
      <c r="L43" s="3777"/>
      <c r="M43" s="3777"/>
      <c r="N43" s="3777"/>
      <c r="O43" s="3777"/>
      <c r="P43" s="3777"/>
      <c r="Q43" s="3777"/>
      <c r="R43" s="3777"/>
      <c r="S43" s="3777"/>
      <c r="T43" s="3777"/>
      <c r="U43" s="3777"/>
      <c r="V43" s="3777"/>
      <c r="W43" s="3777"/>
      <c r="X43" s="3777"/>
      <c r="Y43" s="3777"/>
      <c r="Z43" s="3777"/>
      <c r="AA43" s="3777"/>
      <c r="AB43" s="3777"/>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6">
        <f t="shared" si="8"/>
        <v>0</v>
      </c>
      <c r="H44" s="1256">
        <f t="shared" si="9"/>
        <v>0</v>
      </c>
      <c r="I44" s="3777"/>
      <c r="J44" s="3777"/>
      <c r="K44" s="3777"/>
      <c r="L44" s="3777"/>
      <c r="M44" s="3777"/>
      <c r="N44" s="3777"/>
      <c r="O44" s="3777"/>
      <c r="P44" s="3777"/>
      <c r="Q44" s="3777"/>
      <c r="R44" s="3777"/>
      <c r="S44" s="3777"/>
      <c r="T44" s="3777"/>
      <c r="U44" s="3777"/>
      <c r="V44" s="3777"/>
      <c r="W44" s="3777"/>
      <c r="X44" s="3777"/>
      <c r="Y44" s="3777"/>
      <c r="Z44" s="3777"/>
      <c r="AA44" s="3777"/>
      <c r="AB44" s="3777"/>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6">
        <f t="shared" si="8"/>
        <v>0</v>
      </c>
      <c r="H45" s="1256">
        <f t="shared" si="9"/>
        <v>0</v>
      </c>
      <c r="I45" s="3777"/>
      <c r="J45" s="3777"/>
      <c r="K45" s="3777"/>
      <c r="L45" s="3777"/>
      <c r="M45" s="3777"/>
      <c r="N45" s="3777"/>
      <c r="O45" s="3777"/>
      <c r="P45" s="3777"/>
      <c r="Q45" s="3777"/>
      <c r="R45" s="3777"/>
      <c r="S45" s="3777"/>
      <c r="T45" s="3777"/>
      <c r="U45" s="3777"/>
      <c r="V45" s="3777"/>
      <c r="W45" s="3777"/>
      <c r="X45" s="3777"/>
      <c r="Y45" s="3777"/>
      <c r="Z45" s="3777"/>
      <c r="AA45" s="3777"/>
      <c r="AB45" s="3777"/>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6">
        <f t="shared" si="8"/>
        <v>0</v>
      </c>
      <c r="H46" s="1256">
        <f t="shared" si="9"/>
        <v>0</v>
      </c>
      <c r="I46" s="3777"/>
      <c r="J46" s="3777"/>
      <c r="K46" s="3777"/>
      <c r="L46" s="3777"/>
      <c r="M46" s="3777"/>
      <c r="N46" s="3777"/>
      <c r="O46" s="3777"/>
      <c r="P46" s="3777"/>
      <c r="Q46" s="3777"/>
      <c r="R46" s="3777"/>
      <c r="S46" s="3777"/>
      <c r="T46" s="3777"/>
      <c r="U46" s="3777"/>
      <c r="V46" s="3777"/>
      <c r="W46" s="3777"/>
      <c r="X46" s="3777"/>
      <c r="Y46" s="3777"/>
      <c r="Z46" s="3777"/>
      <c r="AA46" s="3777"/>
      <c r="AB46" s="3777"/>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6">
        <f t="shared" si="8"/>
        <v>0</v>
      </c>
      <c r="H47" s="1256">
        <f t="shared" si="9"/>
        <v>0</v>
      </c>
      <c r="I47" s="3777"/>
      <c r="J47" s="3777"/>
      <c r="K47" s="3777"/>
      <c r="L47" s="3777"/>
      <c r="M47" s="3777"/>
      <c r="N47" s="3777"/>
      <c r="O47" s="3777"/>
      <c r="P47" s="3777"/>
      <c r="Q47" s="3777"/>
      <c r="R47" s="3777"/>
      <c r="S47" s="3777"/>
      <c r="T47" s="3777"/>
      <c r="U47" s="3777"/>
      <c r="V47" s="3777"/>
      <c r="W47" s="3777"/>
      <c r="X47" s="3777"/>
      <c r="Y47" s="3777"/>
      <c r="Z47" s="3777"/>
      <c r="AA47" s="3777"/>
      <c r="AB47" s="3777"/>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6">
        <f t="shared" si="8"/>
        <v>0</v>
      </c>
      <c r="H48" s="1256">
        <f t="shared" si="9"/>
        <v>0</v>
      </c>
      <c r="I48" s="3777"/>
      <c r="J48" s="3777"/>
      <c r="K48" s="3777"/>
      <c r="L48" s="3777"/>
      <c r="M48" s="3777"/>
      <c r="N48" s="3777"/>
      <c r="O48" s="3777"/>
      <c r="P48" s="3777"/>
      <c r="Q48" s="3777"/>
      <c r="R48" s="3777"/>
      <c r="S48" s="3777"/>
      <c r="T48" s="3777"/>
      <c r="U48" s="3777"/>
      <c r="V48" s="3777"/>
      <c r="W48" s="3777"/>
      <c r="X48" s="3777"/>
      <c r="Y48" s="3777"/>
      <c r="Z48" s="3777"/>
      <c r="AA48" s="3777"/>
      <c r="AB48" s="3777"/>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6">
        <f t="shared" si="8"/>
        <v>0</v>
      </c>
      <c r="H49" s="1256">
        <f t="shared" si="9"/>
        <v>0</v>
      </c>
      <c r="I49" s="3777"/>
      <c r="J49" s="3777"/>
      <c r="K49" s="3777"/>
      <c r="L49" s="3777"/>
      <c r="M49" s="3777"/>
      <c r="N49" s="3777"/>
      <c r="O49" s="3777"/>
      <c r="P49" s="3777"/>
      <c r="Q49" s="3777"/>
      <c r="R49" s="3777"/>
      <c r="S49" s="3777"/>
      <c r="T49" s="3777"/>
      <c r="U49" s="3777"/>
      <c r="V49" s="3777"/>
      <c r="W49" s="3777"/>
      <c r="X49" s="3777"/>
      <c r="Y49" s="3777"/>
      <c r="Z49" s="3777"/>
      <c r="AA49" s="3777"/>
      <c r="AB49" s="3777"/>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6">
        <f t="shared" si="8"/>
        <v>0</v>
      </c>
      <c r="H50" s="1256">
        <f t="shared" si="9"/>
        <v>0</v>
      </c>
      <c r="I50" s="3777"/>
      <c r="J50" s="3777"/>
      <c r="K50" s="3777"/>
      <c r="L50" s="3777"/>
      <c r="M50" s="3777"/>
      <c r="N50" s="3777"/>
      <c r="O50" s="3777"/>
      <c r="P50" s="3777"/>
      <c r="Q50" s="3777"/>
      <c r="R50" s="3777"/>
      <c r="S50" s="3777"/>
      <c r="T50" s="3777"/>
      <c r="U50" s="3777"/>
      <c r="V50" s="3777"/>
      <c r="W50" s="3777"/>
      <c r="X50" s="3777"/>
      <c r="Y50" s="3777"/>
      <c r="Z50" s="3777"/>
      <c r="AA50" s="3777"/>
      <c r="AB50" s="3777"/>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6">
        <f t="shared" si="8"/>
        <v>0</v>
      </c>
      <c r="H51" s="1256">
        <f t="shared" si="9"/>
        <v>0</v>
      </c>
      <c r="I51" s="3777"/>
      <c r="J51" s="3777"/>
      <c r="K51" s="3777"/>
      <c r="L51" s="3777"/>
      <c r="M51" s="3777"/>
      <c r="N51" s="3777"/>
      <c r="O51" s="3777"/>
      <c r="P51" s="3777"/>
      <c r="Q51" s="3777"/>
      <c r="R51" s="3777"/>
      <c r="S51" s="3777"/>
      <c r="T51" s="3777"/>
      <c r="U51" s="3777"/>
      <c r="V51" s="3777"/>
      <c r="W51" s="3777"/>
      <c r="X51" s="3777"/>
      <c r="Y51" s="3777"/>
      <c r="Z51" s="3777"/>
      <c r="AA51" s="3777"/>
      <c r="AB51" s="3777"/>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6">
        <f t="shared" si="8"/>
        <v>0</v>
      </c>
      <c r="H52" s="1256">
        <f t="shared" si="9"/>
        <v>0</v>
      </c>
      <c r="I52" s="3777"/>
      <c r="J52" s="3777"/>
      <c r="K52" s="3777"/>
      <c r="L52" s="3777"/>
      <c r="M52" s="3777"/>
      <c r="N52" s="3777"/>
      <c r="O52" s="3777"/>
      <c r="P52" s="3777"/>
      <c r="Q52" s="3777"/>
      <c r="R52" s="3777"/>
      <c r="S52" s="3777"/>
      <c r="T52" s="3777"/>
      <c r="U52" s="3777"/>
      <c r="V52" s="3777"/>
      <c r="W52" s="3777"/>
      <c r="X52" s="3777"/>
      <c r="Y52" s="3777"/>
      <c r="Z52" s="3777"/>
      <c r="AA52" s="3777"/>
      <c r="AB52" s="3777"/>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6">
        <f t="shared" si="8"/>
        <v>0</v>
      </c>
      <c r="H53" s="1256">
        <f t="shared" si="9"/>
        <v>0</v>
      </c>
      <c r="I53" s="3777"/>
      <c r="J53" s="3777"/>
      <c r="K53" s="3777"/>
      <c r="L53" s="3777"/>
      <c r="M53" s="3777"/>
      <c r="N53" s="3777"/>
      <c r="O53" s="3777"/>
      <c r="P53" s="3777"/>
      <c r="Q53" s="3777"/>
      <c r="R53" s="3777"/>
      <c r="S53" s="3777"/>
      <c r="T53" s="3777"/>
      <c r="U53" s="3777"/>
      <c r="V53" s="3777"/>
      <c r="W53" s="3777"/>
      <c r="X53" s="3777"/>
      <c r="Y53" s="3777"/>
      <c r="Z53" s="3777"/>
      <c r="AA53" s="3777"/>
      <c r="AB53" s="3777"/>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6">
        <f t="shared" si="8"/>
        <v>0</v>
      </c>
      <c r="H54" s="1256">
        <f t="shared" si="9"/>
        <v>0</v>
      </c>
      <c r="I54" s="3777"/>
      <c r="J54" s="3777"/>
      <c r="K54" s="3777"/>
      <c r="L54" s="3777"/>
      <c r="M54" s="3777"/>
      <c r="N54" s="3777"/>
      <c r="O54" s="3777"/>
      <c r="P54" s="3777"/>
      <c r="Q54" s="3777"/>
      <c r="R54" s="3777"/>
      <c r="S54" s="3777"/>
      <c r="T54" s="3777"/>
      <c r="U54" s="3777"/>
      <c r="V54" s="3777"/>
      <c r="W54" s="3777"/>
      <c r="X54" s="3777"/>
      <c r="Y54" s="3777"/>
      <c r="Z54" s="3777"/>
      <c r="AA54" s="3777"/>
      <c r="AB54" s="3777"/>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6">
        <f t="shared" si="8"/>
        <v>0</v>
      </c>
      <c r="H55" s="1256">
        <f t="shared" si="9"/>
        <v>0</v>
      </c>
      <c r="I55" s="3777"/>
      <c r="J55" s="3777"/>
      <c r="K55" s="3777"/>
      <c r="L55" s="3777"/>
      <c r="M55" s="3777"/>
      <c r="N55" s="3777"/>
      <c r="O55" s="3777"/>
      <c r="P55" s="3777"/>
      <c r="Q55" s="3777"/>
      <c r="R55" s="3777"/>
      <c r="S55" s="3777"/>
      <c r="T55" s="3777"/>
      <c r="U55" s="3777"/>
      <c r="V55" s="3777"/>
      <c r="W55" s="3777"/>
      <c r="X55" s="3777"/>
      <c r="Y55" s="3777"/>
      <c r="Z55" s="3777"/>
      <c r="AA55" s="3777"/>
      <c r="AB55" s="3777"/>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6">
        <f t="shared" si="8"/>
        <v>0</v>
      </c>
      <c r="H56" s="1256">
        <f t="shared" si="9"/>
        <v>0</v>
      </c>
      <c r="I56" s="3777"/>
      <c r="J56" s="3777"/>
      <c r="K56" s="3777"/>
      <c r="L56" s="3777"/>
      <c r="M56" s="3777"/>
      <c r="N56" s="3777"/>
      <c r="O56" s="3777"/>
      <c r="P56" s="3777"/>
      <c r="Q56" s="3777"/>
      <c r="R56" s="3777"/>
      <c r="S56" s="3777"/>
      <c r="T56" s="3777"/>
      <c r="U56" s="3777"/>
      <c r="V56" s="3777"/>
      <c r="W56" s="3777"/>
      <c r="X56" s="3777"/>
      <c r="Y56" s="3777"/>
      <c r="Z56" s="3777"/>
      <c r="AA56" s="3777"/>
      <c r="AB56" s="3777"/>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6">
        <f t="shared" si="8"/>
        <v>0</v>
      </c>
      <c r="H57" s="1256">
        <f t="shared" si="9"/>
        <v>0</v>
      </c>
      <c r="I57" s="3777"/>
      <c r="J57" s="3777"/>
      <c r="K57" s="3777"/>
      <c r="L57" s="3777"/>
      <c r="M57" s="3777"/>
      <c r="N57" s="3777"/>
      <c r="O57" s="3777"/>
      <c r="P57" s="3777"/>
      <c r="Q57" s="3777"/>
      <c r="R57" s="3777"/>
      <c r="S57" s="3777"/>
      <c r="T57" s="3777"/>
      <c r="U57" s="3777"/>
      <c r="V57" s="3777"/>
      <c r="W57" s="3777"/>
      <c r="X57" s="3777"/>
      <c r="Y57" s="3777"/>
      <c r="Z57" s="3777"/>
      <c r="AA57" s="3777"/>
      <c r="AB57" s="3777"/>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6">
        <f t="shared" si="8"/>
        <v>0</v>
      </c>
      <c r="H58" s="1256">
        <f t="shared" si="9"/>
        <v>0</v>
      </c>
      <c r="I58" s="3777"/>
      <c r="J58" s="3777"/>
      <c r="K58" s="3777"/>
      <c r="L58" s="3777"/>
      <c r="M58" s="3777"/>
      <c r="N58" s="3777"/>
      <c r="O58" s="3777"/>
      <c r="P58" s="3777"/>
      <c r="Q58" s="3777"/>
      <c r="R58" s="3777"/>
      <c r="S58" s="3777"/>
      <c r="T58" s="3777"/>
      <c r="U58" s="3777"/>
      <c r="V58" s="3777"/>
      <c r="W58" s="3777"/>
      <c r="X58" s="3777"/>
      <c r="Y58" s="3777"/>
      <c r="Z58" s="3777"/>
      <c r="AA58" s="3777"/>
      <c r="AB58" s="3777"/>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6">
        <f t="shared" si="8"/>
        <v>0</v>
      </c>
      <c r="H59" s="1256">
        <f t="shared" si="9"/>
        <v>0</v>
      </c>
      <c r="I59" s="3777"/>
      <c r="J59" s="3777"/>
      <c r="K59" s="3777"/>
      <c r="L59" s="3777"/>
      <c r="M59" s="3777"/>
      <c r="N59" s="3777"/>
      <c r="O59" s="3777"/>
      <c r="P59" s="3777"/>
      <c r="Q59" s="3777"/>
      <c r="R59" s="3777"/>
      <c r="S59" s="3777"/>
      <c r="T59" s="3777"/>
      <c r="U59" s="3777"/>
      <c r="V59" s="3777"/>
      <c r="W59" s="3777"/>
      <c r="X59" s="3777"/>
      <c r="Y59" s="3777"/>
      <c r="Z59" s="3777"/>
      <c r="AA59" s="3777"/>
      <c r="AB59" s="3777"/>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6">
        <f t="shared" si="8"/>
        <v>0</v>
      </c>
      <c r="H60" s="1256">
        <f t="shared" si="9"/>
        <v>0</v>
      </c>
      <c r="I60" s="3777"/>
      <c r="J60" s="3777"/>
      <c r="K60" s="3777"/>
      <c r="L60" s="3777"/>
      <c r="M60" s="3777"/>
      <c r="N60" s="3777"/>
      <c r="O60" s="3777"/>
      <c r="P60" s="3777"/>
      <c r="Q60" s="3777"/>
      <c r="R60" s="3777"/>
      <c r="S60" s="3777"/>
      <c r="T60" s="3777"/>
      <c r="U60" s="3777"/>
      <c r="V60" s="3777"/>
      <c r="W60" s="3777"/>
      <c r="X60" s="3777"/>
      <c r="Y60" s="3777"/>
      <c r="Z60" s="3777"/>
      <c r="AA60" s="3777"/>
      <c r="AB60" s="3777"/>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6">
        <f t="shared" si="8"/>
        <v>0</v>
      </c>
      <c r="H61" s="1256">
        <f t="shared" si="9"/>
        <v>0</v>
      </c>
      <c r="I61" s="3777"/>
      <c r="J61" s="3777"/>
      <c r="K61" s="3777"/>
      <c r="L61" s="3777"/>
      <c r="M61" s="3777"/>
      <c r="N61" s="3777"/>
      <c r="O61" s="3777"/>
      <c r="P61" s="3777"/>
      <c r="Q61" s="3777"/>
      <c r="R61" s="3777"/>
      <c r="S61" s="3777"/>
      <c r="T61" s="3777"/>
      <c r="U61" s="3777"/>
      <c r="V61" s="3777"/>
      <c r="W61" s="3777"/>
      <c r="X61" s="3777"/>
      <c r="Y61" s="3777"/>
      <c r="Z61" s="3777"/>
      <c r="AA61" s="3777"/>
      <c r="AB61" s="3777"/>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6">
        <f t="shared" si="8"/>
        <v>0</v>
      </c>
      <c r="H62" s="1256">
        <f t="shared" si="9"/>
        <v>0</v>
      </c>
      <c r="I62" s="3777"/>
      <c r="J62" s="3777"/>
      <c r="K62" s="3777"/>
      <c r="L62" s="3777"/>
      <c r="M62" s="3777"/>
      <c r="N62" s="3777"/>
      <c r="O62" s="3777"/>
      <c r="P62" s="3777"/>
      <c r="Q62" s="3777"/>
      <c r="R62" s="3777"/>
      <c r="S62" s="3777"/>
      <c r="T62" s="3777"/>
      <c r="U62" s="3777"/>
      <c r="V62" s="3777"/>
      <c r="W62" s="3777"/>
      <c r="X62" s="3777"/>
      <c r="Y62" s="3777"/>
      <c r="Z62" s="3777"/>
      <c r="AA62" s="3777"/>
      <c r="AB62" s="3777"/>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6">
        <f t="shared" si="8"/>
        <v>0</v>
      </c>
      <c r="H63" s="1256">
        <f t="shared" si="9"/>
        <v>0</v>
      </c>
      <c r="I63" s="3777"/>
      <c r="J63" s="3777"/>
      <c r="K63" s="3777"/>
      <c r="L63" s="3777"/>
      <c r="M63" s="3777"/>
      <c r="N63" s="3777"/>
      <c r="O63" s="3777"/>
      <c r="P63" s="3777"/>
      <c r="Q63" s="3777"/>
      <c r="R63" s="3777"/>
      <c r="S63" s="3777"/>
      <c r="T63" s="3777"/>
      <c r="U63" s="3777"/>
      <c r="V63" s="3777"/>
      <c r="W63" s="3777"/>
      <c r="X63" s="3777"/>
      <c r="Y63" s="3777"/>
      <c r="Z63" s="3777"/>
      <c r="AA63" s="3777"/>
      <c r="AB63" s="3777"/>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6">
        <f t="shared" si="8"/>
        <v>0</v>
      </c>
      <c r="H64" s="1256">
        <f t="shared" si="9"/>
        <v>0</v>
      </c>
      <c r="I64" s="3777"/>
      <c r="J64" s="3777"/>
      <c r="K64" s="3777"/>
      <c r="L64" s="3777"/>
      <c r="M64" s="3777"/>
      <c r="N64" s="3777"/>
      <c r="O64" s="3777"/>
      <c r="P64" s="3777"/>
      <c r="Q64" s="3777"/>
      <c r="R64" s="3777"/>
      <c r="S64" s="3777"/>
      <c r="T64" s="3777"/>
      <c r="U64" s="3777"/>
      <c r="V64" s="3777"/>
      <c r="W64" s="3777"/>
      <c r="X64" s="3777"/>
      <c r="Y64" s="3777"/>
      <c r="Z64" s="3777"/>
      <c r="AA64" s="3777"/>
      <c r="AB64" s="3777"/>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6">
        <f t="shared" si="8"/>
        <v>0</v>
      </c>
      <c r="H65" s="1256">
        <f t="shared" si="9"/>
        <v>0</v>
      </c>
      <c r="I65" s="3777"/>
      <c r="J65" s="3777"/>
      <c r="K65" s="3777"/>
      <c r="L65" s="3777"/>
      <c r="M65" s="3777"/>
      <c r="N65" s="3777"/>
      <c r="O65" s="3777"/>
      <c r="P65" s="3777"/>
      <c r="Q65" s="3777"/>
      <c r="R65" s="3777"/>
      <c r="S65" s="3777"/>
      <c r="T65" s="3777"/>
      <c r="U65" s="3777"/>
      <c r="V65" s="3777"/>
      <c r="W65" s="3777"/>
      <c r="X65" s="3777"/>
      <c r="Y65" s="3777"/>
      <c r="Z65" s="3777"/>
      <c r="AA65" s="3777"/>
      <c r="AB65" s="3777"/>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6">
        <f t="shared" si="8"/>
        <v>0</v>
      </c>
      <c r="H66" s="1256">
        <f t="shared" si="9"/>
        <v>0</v>
      </c>
      <c r="I66" s="3777"/>
      <c r="J66" s="3777"/>
      <c r="K66" s="3777"/>
      <c r="L66" s="3777"/>
      <c r="M66" s="3777"/>
      <c r="N66" s="3777"/>
      <c r="O66" s="3777"/>
      <c r="P66" s="3777"/>
      <c r="Q66" s="3777"/>
      <c r="R66" s="3777"/>
      <c r="S66" s="3777"/>
      <c r="T66" s="3777"/>
      <c r="U66" s="3777"/>
      <c r="V66" s="3777"/>
      <c r="W66" s="3777"/>
      <c r="X66" s="3777"/>
      <c r="Y66" s="3777"/>
      <c r="Z66" s="3777"/>
      <c r="AA66" s="3777"/>
      <c r="AB66" s="3777"/>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6">
        <f t="shared" si="8"/>
        <v>0</v>
      </c>
      <c r="H67" s="1256">
        <f t="shared" si="9"/>
        <v>0</v>
      </c>
      <c r="I67" s="3777"/>
      <c r="J67" s="3777"/>
      <c r="K67" s="3777"/>
      <c r="L67" s="3777"/>
      <c r="M67" s="3777"/>
      <c r="N67" s="3777"/>
      <c r="O67" s="3777"/>
      <c r="P67" s="3777"/>
      <c r="Q67" s="3777"/>
      <c r="R67" s="3777"/>
      <c r="S67" s="3777"/>
      <c r="T67" s="3777"/>
      <c r="U67" s="3777"/>
      <c r="V67" s="3777"/>
      <c r="W67" s="3777"/>
      <c r="X67" s="3777"/>
      <c r="Y67" s="3777"/>
      <c r="Z67" s="3777"/>
      <c r="AA67" s="3777"/>
      <c r="AB67" s="3777"/>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6">
        <f t="shared" si="8"/>
        <v>0</v>
      </c>
      <c r="H68" s="1256">
        <f t="shared" si="9"/>
        <v>0</v>
      </c>
      <c r="I68" s="3777"/>
      <c r="J68" s="3777"/>
      <c r="K68" s="3777"/>
      <c r="L68" s="3777"/>
      <c r="M68" s="3777"/>
      <c r="N68" s="3777"/>
      <c r="O68" s="3777"/>
      <c r="P68" s="3777"/>
      <c r="Q68" s="3777"/>
      <c r="R68" s="3777"/>
      <c r="S68" s="3777"/>
      <c r="T68" s="3777"/>
      <c r="U68" s="3777"/>
      <c r="V68" s="3777"/>
      <c r="W68" s="3777"/>
      <c r="X68" s="3777"/>
      <c r="Y68" s="3777"/>
      <c r="Z68" s="3777"/>
      <c r="AA68" s="3777"/>
      <c r="AB68" s="3777"/>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6">
        <f t="shared" si="8"/>
        <v>0</v>
      </c>
      <c r="H69" s="1256">
        <f t="shared" si="9"/>
        <v>0</v>
      </c>
      <c r="I69" s="3777"/>
      <c r="J69" s="3777"/>
      <c r="K69" s="3777"/>
      <c r="L69" s="3777"/>
      <c r="M69" s="3777"/>
      <c r="N69" s="3777"/>
      <c r="O69" s="3777"/>
      <c r="P69" s="3777"/>
      <c r="Q69" s="3777"/>
      <c r="R69" s="3777"/>
      <c r="S69" s="3777"/>
      <c r="T69" s="3777"/>
      <c r="U69" s="3777"/>
      <c r="V69" s="3777"/>
      <c r="W69" s="3777"/>
      <c r="X69" s="3777"/>
      <c r="Y69" s="3777"/>
      <c r="Z69" s="3777"/>
      <c r="AA69" s="3777"/>
      <c r="AB69" s="3777"/>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6">
        <f t="shared" si="8"/>
        <v>0</v>
      </c>
      <c r="H70" s="1256">
        <f t="shared" si="9"/>
        <v>0</v>
      </c>
      <c r="I70" s="3777"/>
      <c r="J70" s="3777"/>
      <c r="K70" s="3777"/>
      <c r="L70" s="3777"/>
      <c r="M70" s="3777"/>
      <c r="N70" s="3777"/>
      <c r="O70" s="3777"/>
      <c r="P70" s="3777"/>
      <c r="Q70" s="3777"/>
      <c r="R70" s="3777"/>
      <c r="S70" s="3777"/>
      <c r="T70" s="3777"/>
      <c r="U70" s="3777"/>
      <c r="V70" s="3777"/>
      <c r="W70" s="3777"/>
      <c r="X70" s="3777"/>
      <c r="Y70" s="3777"/>
      <c r="Z70" s="3777"/>
      <c r="AA70" s="3777"/>
      <c r="AB70" s="3777"/>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6">
        <f t="shared" si="8"/>
        <v>0</v>
      </c>
      <c r="H71" s="1256">
        <f t="shared" si="9"/>
        <v>0</v>
      </c>
      <c r="I71" s="3777"/>
      <c r="J71" s="3777"/>
      <c r="K71" s="3777"/>
      <c r="L71" s="3777"/>
      <c r="M71" s="3777"/>
      <c r="N71" s="3777"/>
      <c r="O71" s="3777"/>
      <c r="P71" s="3777"/>
      <c r="Q71" s="3777"/>
      <c r="R71" s="3777"/>
      <c r="S71" s="3777"/>
      <c r="T71" s="3777"/>
      <c r="U71" s="3777"/>
      <c r="V71" s="3777"/>
      <c r="W71" s="3777"/>
      <c r="X71" s="3777"/>
      <c r="Y71" s="3777"/>
      <c r="Z71" s="3777"/>
      <c r="AA71" s="3777"/>
      <c r="AB71" s="3777"/>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6">
        <f t="shared" si="8"/>
        <v>0</v>
      </c>
      <c r="H72" s="1256">
        <f t="shared" si="9"/>
        <v>0</v>
      </c>
      <c r="I72" s="3777"/>
      <c r="J72" s="3777"/>
      <c r="K72" s="3777"/>
      <c r="L72" s="3777"/>
      <c r="M72" s="3777"/>
      <c r="N72" s="3777"/>
      <c r="O72" s="3777"/>
      <c r="P72" s="3777"/>
      <c r="Q72" s="3777"/>
      <c r="R72" s="3777"/>
      <c r="S72" s="3777"/>
      <c r="T72" s="3777"/>
      <c r="U72" s="3777"/>
      <c r="V72" s="3777"/>
      <c r="W72" s="3777"/>
      <c r="X72" s="3777"/>
      <c r="Y72" s="3777"/>
      <c r="Z72" s="3777"/>
      <c r="AA72" s="3777"/>
      <c r="AB72" s="3777"/>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6">
        <f t="shared" si="8"/>
        <v>0</v>
      </c>
      <c r="H73" s="1256">
        <f t="shared" si="9"/>
        <v>0</v>
      </c>
      <c r="I73" s="3777"/>
      <c r="J73" s="3777"/>
      <c r="K73" s="3777"/>
      <c r="L73" s="3777"/>
      <c r="M73" s="3777"/>
      <c r="N73" s="3777"/>
      <c r="O73" s="3777"/>
      <c r="P73" s="3777"/>
      <c r="Q73" s="3777"/>
      <c r="R73" s="3777"/>
      <c r="S73" s="3777"/>
      <c r="T73" s="3777"/>
      <c r="U73" s="3777"/>
      <c r="V73" s="3777"/>
      <c r="W73" s="3777"/>
      <c r="X73" s="3777"/>
      <c r="Y73" s="3777"/>
      <c r="Z73" s="3777"/>
      <c r="AA73" s="3777"/>
      <c r="AB73" s="3777"/>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6">
        <f t="shared" si="8"/>
        <v>0</v>
      </c>
      <c r="H74" s="1256">
        <f t="shared" si="9"/>
        <v>0</v>
      </c>
      <c r="I74" s="3777"/>
      <c r="J74" s="3777"/>
      <c r="K74" s="3777"/>
      <c r="L74" s="3777"/>
      <c r="M74" s="3777"/>
      <c r="N74" s="3777"/>
      <c r="O74" s="3777"/>
      <c r="P74" s="3777"/>
      <c r="Q74" s="3777"/>
      <c r="R74" s="3777"/>
      <c r="S74" s="3777"/>
      <c r="T74" s="3777"/>
      <c r="U74" s="3777"/>
      <c r="V74" s="3777"/>
      <c r="W74" s="3777"/>
      <c r="X74" s="3777"/>
      <c r="Y74" s="3777"/>
      <c r="Z74" s="3777"/>
      <c r="AA74" s="3777"/>
      <c r="AB74" s="3777"/>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6">
        <f t="shared" si="8"/>
        <v>0</v>
      </c>
      <c r="H75" s="1256">
        <f t="shared" si="9"/>
        <v>0</v>
      </c>
      <c r="I75" s="3777"/>
      <c r="J75" s="3777"/>
      <c r="K75" s="3777"/>
      <c r="L75" s="3777"/>
      <c r="M75" s="3777"/>
      <c r="N75" s="3777"/>
      <c r="O75" s="3777"/>
      <c r="P75" s="3777"/>
      <c r="Q75" s="3777"/>
      <c r="R75" s="3777"/>
      <c r="S75" s="3777"/>
      <c r="T75" s="3777"/>
      <c r="U75" s="3777"/>
      <c r="V75" s="3777"/>
      <c r="W75" s="3777"/>
      <c r="X75" s="3777"/>
      <c r="Y75" s="3777"/>
      <c r="Z75" s="3777"/>
      <c r="AA75" s="3777"/>
      <c r="AB75" s="3777"/>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6">
        <f t="shared" si="8"/>
        <v>0</v>
      </c>
      <c r="H76" s="1256">
        <f t="shared" si="9"/>
        <v>0</v>
      </c>
      <c r="I76" s="3777"/>
      <c r="J76" s="3777"/>
      <c r="K76" s="3777"/>
      <c r="L76" s="3777"/>
      <c r="M76" s="3777"/>
      <c r="N76" s="3777"/>
      <c r="O76" s="3777"/>
      <c r="P76" s="3777"/>
      <c r="Q76" s="3777"/>
      <c r="R76" s="3777"/>
      <c r="S76" s="3777"/>
      <c r="T76" s="3777"/>
      <c r="U76" s="3777"/>
      <c r="V76" s="3777"/>
      <c r="W76" s="3777"/>
      <c r="X76" s="3777"/>
      <c r="Y76" s="3777"/>
      <c r="Z76" s="3777"/>
      <c r="AA76" s="3777"/>
      <c r="AB76" s="3777"/>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6">
        <f t="shared" si="8"/>
        <v>0</v>
      </c>
      <c r="H77" s="1256">
        <f t="shared" si="9"/>
        <v>0</v>
      </c>
      <c r="I77" s="3777"/>
      <c r="J77" s="3777"/>
      <c r="K77" s="3777"/>
      <c r="L77" s="3777"/>
      <c r="M77" s="3777"/>
      <c r="N77" s="3777"/>
      <c r="O77" s="3777"/>
      <c r="P77" s="3777"/>
      <c r="Q77" s="3777"/>
      <c r="R77" s="3777"/>
      <c r="S77" s="3777"/>
      <c r="T77" s="3777"/>
      <c r="U77" s="3777"/>
      <c r="V77" s="3777"/>
      <c r="W77" s="3777"/>
      <c r="X77" s="3777"/>
      <c r="Y77" s="3777"/>
      <c r="Z77" s="3777"/>
      <c r="AA77" s="3777"/>
      <c r="AB77" s="3777"/>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6">
        <f t="shared" si="8"/>
        <v>0</v>
      </c>
      <c r="H78" s="1256">
        <f t="shared" si="9"/>
        <v>0</v>
      </c>
      <c r="I78" s="3777"/>
      <c r="J78" s="3777"/>
      <c r="K78" s="3777"/>
      <c r="L78" s="3777"/>
      <c r="M78" s="3777"/>
      <c r="N78" s="3777"/>
      <c r="O78" s="3777"/>
      <c r="P78" s="3777"/>
      <c r="Q78" s="3777"/>
      <c r="R78" s="3777"/>
      <c r="S78" s="3777"/>
      <c r="T78" s="3777"/>
      <c r="U78" s="3777"/>
      <c r="V78" s="3777"/>
      <c r="W78" s="3777"/>
      <c r="X78" s="3777"/>
      <c r="Y78" s="3777"/>
      <c r="Z78" s="3777"/>
      <c r="AA78" s="3777"/>
      <c r="AB78" s="3777"/>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6">
        <f t="shared" si="8"/>
        <v>0</v>
      </c>
      <c r="H79" s="1256">
        <f t="shared" si="9"/>
        <v>0</v>
      </c>
      <c r="I79" s="3777"/>
      <c r="J79" s="3777"/>
      <c r="K79" s="3777"/>
      <c r="L79" s="3777"/>
      <c r="M79" s="3777"/>
      <c r="N79" s="3777"/>
      <c r="O79" s="3777"/>
      <c r="P79" s="3777"/>
      <c r="Q79" s="3777"/>
      <c r="R79" s="3777"/>
      <c r="S79" s="3777"/>
      <c r="T79" s="3777"/>
      <c r="U79" s="3777"/>
      <c r="V79" s="3777"/>
      <c r="W79" s="3777"/>
      <c r="X79" s="3777"/>
      <c r="Y79" s="3777"/>
      <c r="Z79" s="3777"/>
      <c r="AA79" s="3777"/>
      <c r="AB79" s="3777"/>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6">
        <f t="shared" si="8"/>
        <v>0</v>
      </c>
      <c r="H80" s="1256">
        <f t="shared" si="9"/>
        <v>0</v>
      </c>
      <c r="I80" s="3777"/>
      <c r="J80" s="3777"/>
      <c r="K80" s="3777"/>
      <c r="L80" s="3777"/>
      <c r="M80" s="3777"/>
      <c r="N80" s="3777"/>
      <c r="O80" s="3777"/>
      <c r="P80" s="3777"/>
      <c r="Q80" s="3777"/>
      <c r="R80" s="3777"/>
      <c r="S80" s="3777"/>
      <c r="T80" s="3777"/>
      <c r="U80" s="3777"/>
      <c r="V80" s="3777"/>
      <c r="W80" s="3777"/>
      <c r="X80" s="3777"/>
      <c r="Y80" s="3777"/>
      <c r="Z80" s="3777"/>
      <c r="AA80" s="3777"/>
      <c r="AB80" s="3777"/>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6">
        <f t="shared" si="8"/>
        <v>0</v>
      </c>
      <c r="H81" s="1256">
        <f t="shared" si="9"/>
        <v>0</v>
      </c>
      <c r="I81" s="3777"/>
      <c r="J81" s="3777"/>
      <c r="K81" s="3777"/>
      <c r="L81" s="3777"/>
      <c r="M81" s="3777"/>
      <c r="N81" s="3777"/>
      <c r="O81" s="3777"/>
      <c r="P81" s="3777"/>
      <c r="Q81" s="3777"/>
      <c r="R81" s="3777"/>
      <c r="S81" s="3777"/>
      <c r="T81" s="3777"/>
      <c r="U81" s="3777"/>
      <c r="V81" s="3777"/>
      <c r="W81" s="3777"/>
      <c r="X81" s="3777"/>
      <c r="Y81" s="3777"/>
      <c r="Z81" s="3777"/>
      <c r="AA81" s="3777"/>
      <c r="AB81" s="3777"/>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6">
        <f t="shared" si="8"/>
        <v>0</v>
      </c>
      <c r="H82" s="1256">
        <f t="shared" si="9"/>
        <v>0</v>
      </c>
      <c r="I82" s="3777"/>
      <c r="J82" s="3777"/>
      <c r="K82" s="3777"/>
      <c r="L82" s="3777"/>
      <c r="M82" s="3777"/>
      <c r="N82" s="3777"/>
      <c r="O82" s="3777"/>
      <c r="P82" s="3777"/>
      <c r="Q82" s="3777"/>
      <c r="R82" s="3777"/>
      <c r="S82" s="3777"/>
      <c r="T82" s="3777"/>
      <c r="U82" s="3777"/>
      <c r="V82" s="3777"/>
      <c r="W82" s="3777"/>
      <c r="X82" s="3777"/>
      <c r="Y82" s="3777"/>
      <c r="Z82" s="3777"/>
      <c r="AA82" s="3777"/>
      <c r="AB82" s="3777"/>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6">
        <f t="shared" si="8"/>
        <v>0</v>
      </c>
      <c r="H83" s="1256">
        <f t="shared" si="9"/>
        <v>0</v>
      </c>
      <c r="I83" s="3777"/>
      <c r="J83" s="3777"/>
      <c r="K83" s="3777"/>
      <c r="L83" s="3777"/>
      <c r="M83" s="3777"/>
      <c r="N83" s="3777"/>
      <c r="O83" s="3777"/>
      <c r="P83" s="3777"/>
      <c r="Q83" s="3777"/>
      <c r="R83" s="3777"/>
      <c r="S83" s="3777"/>
      <c r="T83" s="3777"/>
      <c r="U83" s="3777"/>
      <c r="V83" s="3777"/>
      <c r="W83" s="3777"/>
      <c r="X83" s="3777"/>
      <c r="Y83" s="3777"/>
      <c r="Z83" s="3777"/>
      <c r="AA83" s="3777"/>
      <c r="AB83" s="3777"/>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6">
        <f t="shared" si="8"/>
        <v>0</v>
      </c>
      <c r="H84" s="1256">
        <f t="shared" si="9"/>
        <v>0</v>
      </c>
      <c r="I84" s="3777"/>
      <c r="J84" s="3777"/>
      <c r="K84" s="3777"/>
      <c r="L84" s="3777"/>
      <c r="M84" s="3777"/>
      <c r="N84" s="3777"/>
      <c r="O84" s="3777"/>
      <c r="P84" s="3777"/>
      <c r="Q84" s="3777"/>
      <c r="R84" s="3777"/>
      <c r="S84" s="3777"/>
      <c r="T84" s="3777"/>
      <c r="U84" s="3777"/>
      <c r="V84" s="3777"/>
      <c r="W84" s="3777"/>
      <c r="X84" s="3777"/>
      <c r="Y84" s="3777"/>
      <c r="Z84" s="3777"/>
      <c r="AA84" s="3777"/>
      <c r="AB84" s="3777"/>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6">
        <f t="shared" si="8"/>
        <v>0</v>
      </c>
      <c r="H85" s="1256">
        <f t="shared" si="9"/>
        <v>0</v>
      </c>
      <c r="I85" s="3777"/>
      <c r="J85" s="3777"/>
      <c r="K85" s="3777"/>
      <c r="L85" s="3777"/>
      <c r="M85" s="3777"/>
      <c r="N85" s="3777"/>
      <c r="O85" s="3777"/>
      <c r="P85" s="3777"/>
      <c r="Q85" s="3777"/>
      <c r="R85" s="3777"/>
      <c r="S85" s="3777"/>
      <c r="T85" s="3777"/>
      <c r="U85" s="3777"/>
      <c r="V85" s="3777"/>
      <c r="W85" s="3777"/>
      <c r="X85" s="3777"/>
      <c r="Y85" s="3777"/>
      <c r="Z85" s="3777"/>
      <c r="AA85" s="3777"/>
      <c r="AB85" s="3777"/>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6">
        <f t="shared" si="8"/>
        <v>0</v>
      </c>
      <c r="H86" s="1256">
        <f t="shared" si="9"/>
        <v>0</v>
      </c>
      <c r="I86" s="3777"/>
      <c r="J86" s="3777"/>
      <c r="K86" s="3777"/>
      <c r="L86" s="3777"/>
      <c r="M86" s="3777"/>
      <c r="N86" s="3777"/>
      <c r="O86" s="3777"/>
      <c r="P86" s="3777"/>
      <c r="Q86" s="3777"/>
      <c r="R86" s="3777"/>
      <c r="S86" s="3777"/>
      <c r="T86" s="3777"/>
      <c r="U86" s="3777"/>
      <c r="V86" s="3777"/>
      <c r="W86" s="3777"/>
      <c r="X86" s="3777"/>
      <c r="Y86" s="3777"/>
      <c r="Z86" s="3777"/>
      <c r="AA86" s="3777"/>
      <c r="AB86" s="3777"/>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6">
        <f t="shared" si="8"/>
        <v>0</v>
      </c>
      <c r="H87" s="1256">
        <f t="shared" si="9"/>
        <v>0</v>
      </c>
      <c r="I87" s="3777"/>
      <c r="J87" s="3777"/>
      <c r="K87" s="3777"/>
      <c r="L87" s="3777"/>
      <c r="M87" s="3777"/>
      <c r="N87" s="3777"/>
      <c r="O87" s="3777"/>
      <c r="P87" s="3777"/>
      <c r="Q87" s="3777"/>
      <c r="R87" s="3777"/>
      <c r="S87" s="3777"/>
      <c r="T87" s="3777"/>
      <c r="U87" s="3777"/>
      <c r="V87" s="3777"/>
      <c r="W87" s="3777"/>
      <c r="X87" s="3777"/>
      <c r="Y87" s="3777"/>
      <c r="Z87" s="3777"/>
      <c r="AA87" s="3777"/>
      <c r="AB87" s="3777"/>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6">
        <f t="shared" si="8"/>
        <v>0</v>
      </c>
      <c r="H88" s="1256">
        <f t="shared" si="9"/>
        <v>0</v>
      </c>
      <c r="I88" s="3777"/>
      <c r="J88" s="3777"/>
      <c r="K88" s="3777"/>
      <c r="L88" s="3777"/>
      <c r="M88" s="3777"/>
      <c r="N88" s="3777"/>
      <c r="O88" s="3777"/>
      <c r="P88" s="3777"/>
      <c r="Q88" s="3777"/>
      <c r="R88" s="3777"/>
      <c r="S88" s="3777"/>
      <c r="T88" s="3777"/>
      <c r="U88" s="3777"/>
      <c r="V88" s="3777"/>
      <c r="W88" s="3777"/>
      <c r="X88" s="3777"/>
      <c r="Y88" s="3777"/>
      <c r="Z88" s="3777"/>
      <c r="AA88" s="3777"/>
      <c r="AB88" s="3777"/>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6">
        <f t="shared" si="8"/>
        <v>0</v>
      </c>
      <c r="H89" s="1256">
        <f t="shared" si="9"/>
        <v>0</v>
      </c>
      <c r="I89" s="3777"/>
      <c r="J89" s="3777"/>
      <c r="K89" s="3777"/>
      <c r="L89" s="3777"/>
      <c r="M89" s="3777"/>
      <c r="N89" s="3777"/>
      <c r="O89" s="3777"/>
      <c r="P89" s="3777"/>
      <c r="Q89" s="3777"/>
      <c r="R89" s="3777"/>
      <c r="S89" s="3777"/>
      <c r="T89" s="3777"/>
      <c r="U89" s="3777"/>
      <c r="V89" s="3777"/>
      <c r="W89" s="3777"/>
      <c r="X89" s="3777"/>
      <c r="Y89" s="3777"/>
      <c r="Z89" s="3777"/>
      <c r="AA89" s="3777"/>
      <c r="AB89" s="3777"/>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6">
        <f t="shared" si="8"/>
        <v>0</v>
      </c>
      <c r="H90" s="1256">
        <f t="shared" si="9"/>
        <v>0</v>
      </c>
      <c r="I90" s="3777"/>
      <c r="J90" s="3777"/>
      <c r="K90" s="3777"/>
      <c r="L90" s="3777"/>
      <c r="M90" s="3777"/>
      <c r="N90" s="3777"/>
      <c r="O90" s="3777"/>
      <c r="P90" s="3777"/>
      <c r="Q90" s="3777"/>
      <c r="R90" s="3777"/>
      <c r="S90" s="3777"/>
      <c r="T90" s="3777"/>
      <c r="U90" s="3777"/>
      <c r="V90" s="3777"/>
      <c r="W90" s="3777"/>
      <c r="X90" s="3777"/>
      <c r="Y90" s="3777"/>
      <c r="Z90" s="3777"/>
      <c r="AA90" s="3777"/>
      <c r="AB90" s="3777"/>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6">
        <f t="shared" si="8"/>
        <v>0</v>
      </c>
      <c r="H91" s="1256">
        <f t="shared" si="9"/>
        <v>0</v>
      </c>
      <c r="I91" s="3777"/>
      <c r="J91" s="3777"/>
      <c r="K91" s="3777"/>
      <c r="L91" s="3777"/>
      <c r="M91" s="3777"/>
      <c r="N91" s="3777"/>
      <c r="O91" s="3777"/>
      <c r="P91" s="3777"/>
      <c r="Q91" s="3777"/>
      <c r="R91" s="3777"/>
      <c r="S91" s="3777"/>
      <c r="T91" s="3777"/>
      <c r="U91" s="3777"/>
      <c r="V91" s="3777"/>
      <c r="W91" s="3777"/>
      <c r="X91" s="3777"/>
      <c r="Y91" s="3777"/>
      <c r="Z91" s="3777"/>
      <c r="AA91" s="3777"/>
      <c r="AB91" s="3777"/>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6">
        <f t="shared" si="8"/>
        <v>0</v>
      </c>
      <c r="H92" s="1256">
        <f t="shared" si="9"/>
        <v>0</v>
      </c>
      <c r="I92" s="3777"/>
      <c r="J92" s="3777"/>
      <c r="K92" s="3777"/>
      <c r="L92" s="3777"/>
      <c r="M92" s="3777"/>
      <c r="N92" s="3777"/>
      <c r="O92" s="3777"/>
      <c r="P92" s="3777"/>
      <c r="Q92" s="3777"/>
      <c r="R92" s="3777"/>
      <c r="S92" s="3777"/>
      <c r="T92" s="3777"/>
      <c r="U92" s="3777"/>
      <c r="V92" s="3777"/>
      <c r="W92" s="3777"/>
      <c r="X92" s="3777"/>
      <c r="Y92" s="3777"/>
      <c r="Z92" s="3777"/>
      <c r="AA92" s="3777"/>
      <c r="AB92" s="3777"/>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6">
        <f t="shared" si="8"/>
        <v>0</v>
      </c>
      <c r="H93" s="1256">
        <f t="shared" si="9"/>
        <v>0</v>
      </c>
      <c r="I93" s="3777"/>
      <c r="J93" s="3777"/>
      <c r="K93" s="3777"/>
      <c r="L93" s="3777"/>
      <c r="M93" s="3777"/>
      <c r="N93" s="3777"/>
      <c r="O93" s="3777"/>
      <c r="P93" s="3777"/>
      <c r="Q93" s="3777"/>
      <c r="R93" s="3777"/>
      <c r="S93" s="3777"/>
      <c r="T93" s="3777"/>
      <c r="U93" s="3777"/>
      <c r="V93" s="3777"/>
      <c r="W93" s="3777"/>
      <c r="X93" s="3777"/>
      <c r="Y93" s="3777"/>
      <c r="Z93" s="3777"/>
      <c r="AA93" s="3777"/>
      <c r="AB93" s="3777"/>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6">
        <f t="shared" si="8"/>
        <v>0</v>
      </c>
      <c r="H94" s="1256">
        <f t="shared" si="9"/>
        <v>0</v>
      </c>
      <c r="I94" s="3777"/>
      <c r="J94" s="3777"/>
      <c r="K94" s="3777"/>
      <c r="L94" s="3777"/>
      <c r="M94" s="3777"/>
      <c r="N94" s="3777"/>
      <c r="O94" s="3777"/>
      <c r="P94" s="3777"/>
      <c r="Q94" s="3777"/>
      <c r="R94" s="3777"/>
      <c r="S94" s="3777"/>
      <c r="T94" s="3777"/>
      <c r="U94" s="3777"/>
      <c r="V94" s="3777"/>
      <c r="W94" s="3777"/>
      <c r="X94" s="3777"/>
      <c r="Y94" s="3777"/>
      <c r="Z94" s="3777"/>
      <c r="AA94" s="3777"/>
      <c r="AB94" s="3777"/>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6">
        <f t="shared" si="8"/>
        <v>0</v>
      </c>
      <c r="H95" s="1256">
        <f t="shared" si="9"/>
        <v>0</v>
      </c>
      <c r="I95" s="3777"/>
      <c r="J95" s="3777"/>
      <c r="K95" s="3777"/>
      <c r="L95" s="3777"/>
      <c r="M95" s="3777"/>
      <c r="N95" s="3777"/>
      <c r="O95" s="3777"/>
      <c r="P95" s="3777"/>
      <c r="Q95" s="3777"/>
      <c r="R95" s="3777"/>
      <c r="S95" s="3777"/>
      <c r="T95" s="3777"/>
      <c r="U95" s="3777"/>
      <c r="V95" s="3777"/>
      <c r="W95" s="3777"/>
      <c r="X95" s="3777"/>
      <c r="Y95" s="3777"/>
      <c r="Z95" s="3777"/>
      <c r="AA95" s="3777"/>
      <c r="AB95" s="3777"/>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6">
        <f t="shared" si="8"/>
        <v>0</v>
      </c>
      <c r="H96" s="1256">
        <f t="shared" si="9"/>
        <v>0</v>
      </c>
      <c r="I96" s="3777"/>
      <c r="J96" s="3777"/>
      <c r="K96" s="3777"/>
      <c r="L96" s="3777"/>
      <c r="M96" s="3777"/>
      <c r="N96" s="3777"/>
      <c r="O96" s="3777"/>
      <c r="P96" s="3777"/>
      <c r="Q96" s="3777"/>
      <c r="R96" s="3777"/>
      <c r="S96" s="3777"/>
      <c r="T96" s="3777"/>
      <c r="U96" s="3777"/>
      <c r="V96" s="3777"/>
      <c r="W96" s="3777"/>
      <c r="X96" s="3777"/>
      <c r="Y96" s="3777"/>
      <c r="Z96" s="3777"/>
      <c r="AA96" s="3777"/>
      <c r="AB96" s="3777"/>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6">
        <f t="shared" si="8"/>
        <v>0</v>
      </c>
      <c r="H97" s="1256">
        <f t="shared" si="9"/>
        <v>0</v>
      </c>
      <c r="I97" s="3777"/>
      <c r="J97" s="3777"/>
      <c r="K97" s="3777"/>
      <c r="L97" s="3777"/>
      <c r="M97" s="3777"/>
      <c r="N97" s="3777"/>
      <c r="O97" s="3777"/>
      <c r="P97" s="3777"/>
      <c r="Q97" s="3777"/>
      <c r="R97" s="3777"/>
      <c r="S97" s="3777"/>
      <c r="T97" s="3777"/>
      <c r="U97" s="3777"/>
      <c r="V97" s="3777"/>
      <c r="W97" s="3777"/>
      <c r="X97" s="3777"/>
      <c r="Y97" s="3777"/>
      <c r="Z97" s="3777"/>
      <c r="AA97" s="3777"/>
      <c r="AB97" s="3777"/>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6">
        <f t="shared" si="8"/>
        <v>0</v>
      </c>
      <c r="H98" s="1256">
        <f t="shared" si="9"/>
        <v>0</v>
      </c>
      <c r="I98" s="3777"/>
      <c r="J98" s="3777"/>
      <c r="K98" s="3777"/>
      <c r="L98" s="3777"/>
      <c r="M98" s="3777"/>
      <c r="N98" s="3777"/>
      <c r="O98" s="3777"/>
      <c r="P98" s="3777"/>
      <c r="Q98" s="3777"/>
      <c r="R98" s="3777"/>
      <c r="S98" s="3777"/>
      <c r="T98" s="3777"/>
      <c r="U98" s="3777"/>
      <c r="V98" s="3777"/>
      <c r="W98" s="3777"/>
      <c r="X98" s="3777"/>
      <c r="Y98" s="3777"/>
      <c r="Z98" s="3777"/>
      <c r="AA98" s="3777"/>
      <c r="AB98" s="3777"/>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6">
        <f t="shared" si="8"/>
        <v>0</v>
      </c>
      <c r="H99" s="1256">
        <f t="shared" si="9"/>
        <v>0</v>
      </c>
      <c r="I99" s="3777"/>
      <c r="J99" s="3777"/>
      <c r="K99" s="3777"/>
      <c r="L99" s="3777"/>
      <c r="M99" s="3777"/>
      <c r="N99" s="3777"/>
      <c r="O99" s="3777"/>
      <c r="P99" s="3777"/>
      <c r="Q99" s="3777"/>
      <c r="R99" s="3777"/>
      <c r="S99" s="3777"/>
      <c r="T99" s="3777"/>
      <c r="U99" s="3777"/>
      <c r="V99" s="3777"/>
      <c r="W99" s="3777"/>
      <c r="X99" s="3777"/>
      <c r="Y99" s="3777"/>
      <c r="Z99" s="3777"/>
      <c r="AA99" s="3777"/>
      <c r="AB99" s="3777"/>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6">
        <f t="shared" si="8"/>
        <v>0</v>
      </c>
      <c r="H100" s="1256">
        <f t="shared" si="9"/>
        <v>0</v>
      </c>
      <c r="I100" s="3777"/>
      <c r="J100" s="3777"/>
      <c r="K100" s="3777"/>
      <c r="L100" s="3777"/>
      <c r="M100" s="3777"/>
      <c r="N100" s="3777"/>
      <c r="O100" s="3777"/>
      <c r="P100" s="3777"/>
      <c r="Q100" s="3777"/>
      <c r="R100" s="3777"/>
      <c r="S100" s="3777"/>
      <c r="T100" s="3777"/>
      <c r="U100" s="3777"/>
      <c r="V100" s="3777"/>
      <c r="W100" s="3777"/>
      <c r="X100" s="3777"/>
      <c r="Y100" s="3777"/>
      <c r="Z100" s="3777"/>
      <c r="AA100" s="3777"/>
      <c r="AB100" s="3777"/>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6">
        <f t="shared" si="8"/>
        <v>0</v>
      </c>
      <c r="H101" s="1256">
        <f t="shared" si="9"/>
        <v>0</v>
      </c>
      <c r="I101" s="3777"/>
      <c r="J101" s="3777"/>
      <c r="K101" s="3777"/>
      <c r="L101" s="3777"/>
      <c r="M101" s="3777"/>
      <c r="N101" s="3777"/>
      <c r="O101" s="3777"/>
      <c r="P101" s="3777"/>
      <c r="Q101" s="3777"/>
      <c r="R101" s="3777"/>
      <c r="S101" s="3777"/>
      <c r="T101" s="3777"/>
      <c r="U101" s="3777"/>
      <c r="V101" s="3777"/>
      <c r="W101" s="3777"/>
      <c r="X101" s="3777"/>
      <c r="Y101" s="3777"/>
      <c r="Z101" s="3777"/>
      <c r="AA101" s="3777"/>
      <c r="AB101" s="3777"/>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6">
        <f t="shared" si="8"/>
        <v>0</v>
      </c>
      <c r="H102" s="1256">
        <f t="shared" si="9"/>
        <v>0</v>
      </c>
      <c r="I102" s="3777"/>
      <c r="J102" s="3777"/>
      <c r="K102" s="3777"/>
      <c r="L102" s="3777"/>
      <c r="M102" s="3777"/>
      <c r="N102" s="3777"/>
      <c r="O102" s="3777"/>
      <c r="P102" s="3777"/>
      <c r="Q102" s="3777"/>
      <c r="R102" s="3777"/>
      <c r="S102" s="3777"/>
      <c r="T102" s="3777"/>
      <c r="U102" s="3777"/>
      <c r="V102" s="3777"/>
      <c r="W102" s="3777"/>
      <c r="X102" s="3777"/>
      <c r="Y102" s="3777"/>
      <c r="Z102" s="3777"/>
      <c r="AA102" s="3777"/>
      <c r="AB102" s="3777"/>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6">
        <f t="shared" si="8"/>
        <v>0</v>
      </c>
      <c r="H103" s="1256">
        <f t="shared" si="9"/>
        <v>0</v>
      </c>
      <c r="I103" s="3777"/>
      <c r="J103" s="3777"/>
      <c r="K103" s="3777"/>
      <c r="L103" s="3777"/>
      <c r="M103" s="3777"/>
      <c r="N103" s="3777"/>
      <c r="O103" s="3777"/>
      <c r="P103" s="3777"/>
      <c r="Q103" s="3777"/>
      <c r="R103" s="3777"/>
      <c r="S103" s="3777"/>
      <c r="T103" s="3777"/>
      <c r="U103" s="3777"/>
      <c r="V103" s="3777"/>
      <c r="W103" s="3777"/>
      <c r="X103" s="3777"/>
      <c r="Y103" s="3777"/>
      <c r="Z103" s="3777"/>
      <c r="AA103" s="3777"/>
      <c r="AB103" s="3777"/>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6">
        <f t="shared" si="8"/>
        <v>0</v>
      </c>
      <c r="H104" s="1256">
        <f t="shared" si="9"/>
        <v>0</v>
      </c>
      <c r="I104" s="3777"/>
      <c r="J104" s="3777"/>
      <c r="K104" s="3777"/>
      <c r="L104" s="3777"/>
      <c r="M104" s="3777"/>
      <c r="N104" s="3777"/>
      <c r="O104" s="3777"/>
      <c r="P104" s="3777"/>
      <c r="Q104" s="3777"/>
      <c r="R104" s="3777"/>
      <c r="S104" s="3777"/>
      <c r="T104" s="3777"/>
      <c r="U104" s="3777"/>
      <c r="V104" s="3777"/>
      <c r="W104" s="3777"/>
      <c r="X104" s="3777"/>
      <c r="Y104" s="3777"/>
      <c r="Z104" s="3777"/>
      <c r="AA104" s="3777"/>
      <c r="AB104" s="3777"/>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6">
        <f t="shared" si="8"/>
        <v>0</v>
      </c>
      <c r="H105" s="1256">
        <f t="shared" si="9"/>
        <v>0</v>
      </c>
      <c r="I105" s="3777"/>
      <c r="J105" s="3777"/>
      <c r="K105" s="3777"/>
      <c r="L105" s="3777"/>
      <c r="M105" s="3777"/>
      <c r="N105" s="3777"/>
      <c r="O105" s="3777"/>
      <c r="P105" s="3777"/>
      <c r="Q105" s="3777"/>
      <c r="R105" s="3777"/>
      <c r="S105" s="3777"/>
      <c r="T105" s="3777"/>
      <c r="U105" s="3777"/>
      <c r="V105" s="3777"/>
      <c r="W105" s="3777"/>
      <c r="X105" s="3777"/>
      <c r="Y105" s="3777"/>
      <c r="Z105" s="3777"/>
      <c r="AA105" s="3777"/>
      <c r="AB105" s="3777"/>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6">
        <f t="shared" si="8"/>
        <v>0</v>
      </c>
      <c r="H106" s="1256">
        <f t="shared" si="9"/>
        <v>0</v>
      </c>
      <c r="I106" s="3777"/>
      <c r="J106" s="3777"/>
      <c r="K106" s="3777"/>
      <c r="L106" s="3777"/>
      <c r="M106" s="3777"/>
      <c r="N106" s="3777"/>
      <c r="O106" s="3777"/>
      <c r="P106" s="3777"/>
      <c r="Q106" s="3777"/>
      <c r="R106" s="3777"/>
      <c r="S106" s="3777"/>
      <c r="T106" s="3777"/>
      <c r="U106" s="3777"/>
      <c r="V106" s="3777"/>
      <c r="W106" s="3777"/>
      <c r="X106" s="3777"/>
      <c r="Y106" s="3777"/>
      <c r="Z106" s="3777"/>
      <c r="AA106" s="3777"/>
      <c r="AB106" s="3777"/>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6">
        <f t="shared" si="8"/>
        <v>0</v>
      </c>
      <c r="H107" s="1256">
        <f t="shared" si="9"/>
        <v>0</v>
      </c>
      <c r="I107" s="3777"/>
      <c r="J107" s="3777"/>
      <c r="K107" s="3777"/>
      <c r="L107" s="3777"/>
      <c r="M107" s="3777"/>
      <c r="N107" s="3777"/>
      <c r="O107" s="3777"/>
      <c r="P107" s="3777"/>
      <c r="Q107" s="3777"/>
      <c r="R107" s="3777"/>
      <c r="S107" s="3777"/>
      <c r="T107" s="3777"/>
      <c r="U107" s="3777"/>
      <c r="V107" s="3777"/>
      <c r="W107" s="3777"/>
      <c r="X107" s="3777"/>
      <c r="Y107" s="3777"/>
      <c r="Z107" s="3777"/>
      <c r="AA107" s="3777"/>
      <c r="AB107" s="3777"/>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6">
        <f t="shared" si="8"/>
        <v>0</v>
      </c>
      <c r="H108" s="1256">
        <f t="shared" si="9"/>
        <v>0</v>
      </c>
      <c r="I108" s="3777"/>
      <c r="J108" s="3777"/>
      <c r="K108" s="3777"/>
      <c r="L108" s="3777"/>
      <c r="M108" s="3777"/>
      <c r="N108" s="3777"/>
      <c r="O108" s="3777"/>
      <c r="P108" s="3777"/>
      <c r="Q108" s="3777"/>
      <c r="R108" s="3777"/>
      <c r="S108" s="3777"/>
      <c r="T108" s="3777"/>
      <c r="U108" s="3777"/>
      <c r="V108" s="3777"/>
      <c r="W108" s="3777"/>
      <c r="X108" s="3777"/>
      <c r="Y108" s="3777"/>
      <c r="Z108" s="3777"/>
      <c r="AA108" s="3777"/>
      <c r="AB108" s="3777"/>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6">
        <f t="shared" si="8"/>
        <v>0</v>
      </c>
      <c r="H109" s="1256">
        <f t="shared" si="9"/>
        <v>0</v>
      </c>
      <c r="I109" s="3777"/>
      <c r="J109" s="3777"/>
      <c r="K109" s="3777"/>
      <c r="L109" s="3777"/>
      <c r="M109" s="3777"/>
      <c r="N109" s="3777"/>
      <c r="O109" s="3777"/>
      <c r="P109" s="3777"/>
      <c r="Q109" s="3777"/>
      <c r="R109" s="3777"/>
      <c r="S109" s="3777"/>
      <c r="T109" s="3777"/>
      <c r="U109" s="3777"/>
      <c r="V109" s="3777"/>
      <c r="W109" s="3777"/>
      <c r="X109" s="3777"/>
      <c r="Y109" s="3777"/>
      <c r="Z109" s="3777"/>
      <c r="AA109" s="3777"/>
      <c r="AB109" s="3777"/>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6">
        <f t="shared" ref="G110:G141" si="36">H110+AC110+AT110</f>
        <v>0</v>
      </c>
      <c r="H110" s="1256">
        <f t="shared" ref="H110:H141" si="37">SUMIF(I$12:AB$12,"总值",I110:AB110)</f>
        <v>0</v>
      </c>
      <c r="I110" s="3777"/>
      <c r="J110" s="3777"/>
      <c r="K110" s="3777"/>
      <c r="L110" s="3777"/>
      <c r="M110" s="3777"/>
      <c r="N110" s="3777"/>
      <c r="O110" s="3777"/>
      <c r="P110" s="3777"/>
      <c r="Q110" s="3777"/>
      <c r="R110" s="3777"/>
      <c r="S110" s="3777"/>
      <c r="T110" s="3777"/>
      <c r="U110" s="3777"/>
      <c r="V110" s="3777"/>
      <c r="W110" s="3777"/>
      <c r="X110" s="3777"/>
      <c r="Y110" s="3777"/>
      <c r="Z110" s="3777"/>
      <c r="AA110" s="3777"/>
      <c r="AB110" s="3777"/>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6">
        <f t="shared" si="36"/>
        <v>0</v>
      </c>
      <c r="H111" s="1256">
        <f t="shared" si="37"/>
        <v>0</v>
      </c>
      <c r="I111" s="3777"/>
      <c r="J111" s="3777"/>
      <c r="K111" s="3777"/>
      <c r="L111" s="3777"/>
      <c r="M111" s="3777"/>
      <c r="N111" s="3777"/>
      <c r="O111" s="3777"/>
      <c r="P111" s="3777"/>
      <c r="Q111" s="3777"/>
      <c r="R111" s="3777"/>
      <c r="S111" s="3777"/>
      <c r="T111" s="3777"/>
      <c r="U111" s="3777"/>
      <c r="V111" s="3777"/>
      <c r="W111" s="3777"/>
      <c r="X111" s="3777"/>
      <c r="Y111" s="3777"/>
      <c r="Z111" s="3777"/>
      <c r="AA111" s="3777"/>
      <c r="AB111" s="3777"/>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6">
        <f t="shared" si="36"/>
        <v>0</v>
      </c>
      <c r="H112" s="1256">
        <f t="shared" si="37"/>
        <v>0</v>
      </c>
      <c r="I112" s="3777"/>
      <c r="J112" s="3777"/>
      <c r="K112" s="3777"/>
      <c r="L112" s="3777"/>
      <c r="M112" s="3777"/>
      <c r="N112" s="3777"/>
      <c r="O112" s="3777"/>
      <c r="P112" s="3777"/>
      <c r="Q112" s="3777"/>
      <c r="R112" s="3777"/>
      <c r="S112" s="3777"/>
      <c r="T112" s="3777"/>
      <c r="U112" s="3777"/>
      <c r="V112" s="3777"/>
      <c r="W112" s="3777"/>
      <c r="X112" s="3777"/>
      <c r="Y112" s="3777"/>
      <c r="Z112" s="3777"/>
      <c r="AA112" s="3777"/>
      <c r="AB112" s="3777"/>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6">
        <f t="shared" si="36"/>
        <v>0</v>
      </c>
      <c r="H113" s="1256">
        <f t="shared" si="37"/>
        <v>0</v>
      </c>
      <c r="I113" s="3777"/>
      <c r="J113" s="3777"/>
      <c r="K113" s="3777"/>
      <c r="L113" s="3777"/>
      <c r="M113" s="3777"/>
      <c r="N113" s="3777"/>
      <c r="O113" s="3777"/>
      <c r="P113" s="3777"/>
      <c r="Q113" s="3777"/>
      <c r="R113" s="3777"/>
      <c r="S113" s="3777"/>
      <c r="T113" s="3777"/>
      <c r="U113" s="3777"/>
      <c r="V113" s="3777"/>
      <c r="W113" s="3777"/>
      <c r="X113" s="3777"/>
      <c r="Y113" s="3777"/>
      <c r="Z113" s="3777"/>
      <c r="AA113" s="3777"/>
      <c r="AB113" s="3777"/>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6">
        <f t="shared" si="36"/>
        <v>0</v>
      </c>
      <c r="H114" s="1256">
        <f t="shared" si="37"/>
        <v>0</v>
      </c>
      <c r="I114" s="3777"/>
      <c r="J114" s="3777"/>
      <c r="K114" s="3777"/>
      <c r="L114" s="3777"/>
      <c r="M114" s="3777"/>
      <c r="N114" s="3777"/>
      <c r="O114" s="3777"/>
      <c r="P114" s="3777"/>
      <c r="Q114" s="3777"/>
      <c r="R114" s="3777"/>
      <c r="S114" s="3777"/>
      <c r="T114" s="3777"/>
      <c r="U114" s="3777"/>
      <c r="V114" s="3777"/>
      <c r="W114" s="3777"/>
      <c r="X114" s="3777"/>
      <c r="Y114" s="3777"/>
      <c r="Z114" s="3777"/>
      <c r="AA114" s="3777"/>
      <c r="AB114" s="3777"/>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6">
        <f t="shared" si="36"/>
        <v>0</v>
      </c>
      <c r="H115" s="1256">
        <f t="shared" si="37"/>
        <v>0</v>
      </c>
      <c r="I115" s="3777"/>
      <c r="J115" s="3777"/>
      <c r="K115" s="3777"/>
      <c r="L115" s="3777"/>
      <c r="M115" s="3777"/>
      <c r="N115" s="3777"/>
      <c r="O115" s="3777"/>
      <c r="P115" s="3777"/>
      <c r="Q115" s="3777"/>
      <c r="R115" s="3777"/>
      <c r="S115" s="3777"/>
      <c r="T115" s="3777"/>
      <c r="U115" s="3777"/>
      <c r="V115" s="3777"/>
      <c r="W115" s="3777"/>
      <c r="X115" s="3777"/>
      <c r="Y115" s="3777"/>
      <c r="Z115" s="3777"/>
      <c r="AA115" s="3777"/>
      <c r="AB115" s="3777"/>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6">
        <f t="shared" si="36"/>
        <v>0</v>
      </c>
      <c r="H116" s="1256">
        <f t="shared" si="37"/>
        <v>0</v>
      </c>
      <c r="I116" s="3777"/>
      <c r="J116" s="3777"/>
      <c r="K116" s="3777"/>
      <c r="L116" s="3777"/>
      <c r="M116" s="3777"/>
      <c r="N116" s="3777"/>
      <c r="O116" s="3777"/>
      <c r="P116" s="3777"/>
      <c r="Q116" s="3777"/>
      <c r="R116" s="3777"/>
      <c r="S116" s="3777"/>
      <c r="T116" s="3777"/>
      <c r="U116" s="3777"/>
      <c r="V116" s="3777"/>
      <c r="W116" s="3777"/>
      <c r="X116" s="3777"/>
      <c r="Y116" s="3777"/>
      <c r="Z116" s="3777"/>
      <c r="AA116" s="3777"/>
      <c r="AB116" s="3777"/>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6">
        <f t="shared" si="36"/>
        <v>0</v>
      </c>
      <c r="H117" s="1256">
        <f t="shared" si="37"/>
        <v>0</v>
      </c>
      <c r="I117" s="3777"/>
      <c r="J117" s="3777"/>
      <c r="K117" s="3777"/>
      <c r="L117" s="3777"/>
      <c r="M117" s="3777"/>
      <c r="N117" s="3777"/>
      <c r="O117" s="3777"/>
      <c r="P117" s="3777"/>
      <c r="Q117" s="3777"/>
      <c r="R117" s="3777"/>
      <c r="S117" s="3777"/>
      <c r="T117" s="3777"/>
      <c r="U117" s="3777"/>
      <c r="V117" s="3777"/>
      <c r="W117" s="3777"/>
      <c r="X117" s="3777"/>
      <c r="Y117" s="3777"/>
      <c r="Z117" s="3777"/>
      <c r="AA117" s="3777"/>
      <c r="AB117" s="3777"/>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6">
        <f t="shared" si="36"/>
        <v>0</v>
      </c>
      <c r="H118" s="1256">
        <f t="shared" si="37"/>
        <v>0</v>
      </c>
      <c r="I118" s="3777"/>
      <c r="J118" s="3777"/>
      <c r="K118" s="3777"/>
      <c r="L118" s="3777"/>
      <c r="M118" s="3777"/>
      <c r="N118" s="3777"/>
      <c r="O118" s="3777"/>
      <c r="P118" s="3777"/>
      <c r="Q118" s="3777"/>
      <c r="R118" s="3777"/>
      <c r="S118" s="3777"/>
      <c r="T118" s="3777"/>
      <c r="U118" s="3777"/>
      <c r="V118" s="3777"/>
      <c r="W118" s="3777"/>
      <c r="X118" s="3777"/>
      <c r="Y118" s="3777"/>
      <c r="Z118" s="3777"/>
      <c r="AA118" s="3777"/>
      <c r="AB118" s="3777"/>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6">
        <f t="shared" si="36"/>
        <v>0</v>
      </c>
      <c r="H119" s="1256">
        <f t="shared" si="37"/>
        <v>0</v>
      </c>
      <c r="I119" s="3777"/>
      <c r="J119" s="3777"/>
      <c r="K119" s="3777"/>
      <c r="L119" s="3777"/>
      <c r="M119" s="3777"/>
      <c r="N119" s="3777"/>
      <c r="O119" s="3777"/>
      <c r="P119" s="3777"/>
      <c r="Q119" s="3777"/>
      <c r="R119" s="3777"/>
      <c r="S119" s="3777"/>
      <c r="T119" s="3777"/>
      <c r="U119" s="3777"/>
      <c r="V119" s="3777"/>
      <c r="W119" s="3777"/>
      <c r="X119" s="3777"/>
      <c r="Y119" s="3777"/>
      <c r="Z119" s="3777"/>
      <c r="AA119" s="3777"/>
      <c r="AB119" s="3777"/>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6">
        <f t="shared" si="36"/>
        <v>0</v>
      </c>
      <c r="H120" s="1256">
        <f t="shared" si="37"/>
        <v>0</v>
      </c>
      <c r="I120" s="3777"/>
      <c r="J120" s="3777"/>
      <c r="K120" s="3777"/>
      <c r="L120" s="3777"/>
      <c r="M120" s="3777"/>
      <c r="N120" s="3777"/>
      <c r="O120" s="3777"/>
      <c r="P120" s="3777"/>
      <c r="Q120" s="3777"/>
      <c r="R120" s="3777"/>
      <c r="S120" s="3777"/>
      <c r="T120" s="3777"/>
      <c r="U120" s="3777"/>
      <c r="V120" s="3777"/>
      <c r="W120" s="3777"/>
      <c r="X120" s="3777"/>
      <c r="Y120" s="3777"/>
      <c r="Z120" s="3777"/>
      <c r="AA120" s="3777"/>
      <c r="AB120" s="3777"/>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6">
        <f t="shared" si="36"/>
        <v>0</v>
      </c>
      <c r="H121" s="1256">
        <f t="shared" si="37"/>
        <v>0</v>
      </c>
      <c r="I121" s="3777"/>
      <c r="J121" s="3777"/>
      <c r="K121" s="3777"/>
      <c r="L121" s="3777"/>
      <c r="M121" s="3777"/>
      <c r="N121" s="3777"/>
      <c r="O121" s="3777"/>
      <c r="P121" s="3777"/>
      <c r="Q121" s="3777"/>
      <c r="R121" s="3777"/>
      <c r="S121" s="3777"/>
      <c r="T121" s="3777"/>
      <c r="U121" s="3777"/>
      <c r="V121" s="3777"/>
      <c r="W121" s="3777"/>
      <c r="X121" s="3777"/>
      <c r="Y121" s="3777"/>
      <c r="Z121" s="3777"/>
      <c r="AA121" s="3777"/>
      <c r="AB121" s="3777"/>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6">
        <f t="shared" si="36"/>
        <v>0</v>
      </c>
      <c r="H122" s="1256">
        <f t="shared" si="37"/>
        <v>0</v>
      </c>
      <c r="I122" s="3777"/>
      <c r="J122" s="3777"/>
      <c r="K122" s="3777"/>
      <c r="L122" s="3777"/>
      <c r="M122" s="3777"/>
      <c r="N122" s="3777"/>
      <c r="O122" s="3777"/>
      <c r="P122" s="3777"/>
      <c r="Q122" s="3777"/>
      <c r="R122" s="3777"/>
      <c r="S122" s="3777"/>
      <c r="T122" s="3777"/>
      <c r="U122" s="3777"/>
      <c r="V122" s="3777"/>
      <c r="W122" s="3777"/>
      <c r="X122" s="3777"/>
      <c r="Y122" s="3777"/>
      <c r="Z122" s="3777"/>
      <c r="AA122" s="3777"/>
      <c r="AB122" s="3777"/>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6">
        <f t="shared" si="36"/>
        <v>0</v>
      </c>
      <c r="H123" s="1256">
        <f t="shared" si="37"/>
        <v>0</v>
      </c>
      <c r="I123" s="3777"/>
      <c r="J123" s="3777"/>
      <c r="K123" s="3777"/>
      <c r="L123" s="3777"/>
      <c r="M123" s="3777"/>
      <c r="N123" s="3777"/>
      <c r="O123" s="3777"/>
      <c r="P123" s="3777"/>
      <c r="Q123" s="3777"/>
      <c r="R123" s="3777"/>
      <c r="S123" s="3777"/>
      <c r="T123" s="3777"/>
      <c r="U123" s="3777"/>
      <c r="V123" s="3777"/>
      <c r="W123" s="3777"/>
      <c r="X123" s="3777"/>
      <c r="Y123" s="3777"/>
      <c r="Z123" s="3777"/>
      <c r="AA123" s="3777"/>
      <c r="AB123" s="3777"/>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6">
        <f t="shared" si="36"/>
        <v>0</v>
      </c>
      <c r="H124" s="1256">
        <f t="shared" si="37"/>
        <v>0</v>
      </c>
      <c r="I124" s="3777"/>
      <c r="J124" s="3777"/>
      <c r="K124" s="3777"/>
      <c r="L124" s="3777"/>
      <c r="M124" s="3777"/>
      <c r="N124" s="3777"/>
      <c r="O124" s="3777"/>
      <c r="P124" s="3777"/>
      <c r="Q124" s="3777"/>
      <c r="R124" s="3777"/>
      <c r="S124" s="3777"/>
      <c r="T124" s="3777"/>
      <c r="U124" s="3777"/>
      <c r="V124" s="3777"/>
      <c r="W124" s="3777"/>
      <c r="X124" s="3777"/>
      <c r="Y124" s="3777"/>
      <c r="Z124" s="3777"/>
      <c r="AA124" s="3777"/>
      <c r="AB124" s="3777"/>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6">
        <f t="shared" si="36"/>
        <v>0</v>
      </c>
      <c r="H125" s="1256">
        <f t="shared" si="37"/>
        <v>0</v>
      </c>
      <c r="I125" s="3777"/>
      <c r="J125" s="3777"/>
      <c r="K125" s="3777"/>
      <c r="L125" s="3777"/>
      <c r="M125" s="3777"/>
      <c r="N125" s="3777"/>
      <c r="O125" s="3777"/>
      <c r="P125" s="3777"/>
      <c r="Q125" s="3777"/>
      <c r="R125" s="3777"/>
      <c r="S125" s="3777"/>
      <c r="T125" s="3777"/>
      <c r="U125" s="3777"/>
      <c r="V125" s="3777"/>
      <c r="W125" s="3777"/>
      <c r="X125" s="3777"/>
      <c r="Y125" s="3777"/>
      <c r="Z125" s="3777"/>
      <c r="AA125" s="3777"/>
      <c r="AB125" s="3777"/>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6">
        <f t="shared" si="36"/>
        <v>0</v>
      </c>
      <c r="H126" s="1256">
        <f t="shared" si="37"/>
        <v>0</v>
      </c>
      <c r="I126" s="3777"/>
      <c r="J126" s="3777"/>
      <c r="K126" s="3777"/>
      <c r="L126" s="3777"/>
      <c r="M126" s="3777"/>
      <c r="N126" s="3777"/>
      <c r="O126" s="3777"/>
      <c r="P126" s="3777"/>
      <c r="Q126" s="3777"/>
      <c r="R126" s="3777"/>
      <c r="S126" s="3777"/>
      <c r="T126" s="3777"/>
      <c r="U126" s="3777"/>
      <c r="V126" s="3777"/>
      <c r="W126" s="3777"/>
      <c r="X126" s="3777"/>
      <c r="Y126" s="3777"/>
      <c r="Z126" s="3777"/>
      <c r="AA126" s="3777"/>
      <c r="AB126" s="3777"/>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6">
        <f t="shared" si="36"/>
        <v>0</v>
      </c>
      <c r="H127" s="1256">
        <f t="shared" si="37"/>
        <v>0</v>
      </c>
      <c r="I127" s="3777"/>
      <c r="J127" s="3777"/>
      <c r="K127" s="3777"/>
      <c r="L127" s="3777"/>
      <c r="M127" s="3777"/>
      <c r="N127" s="3777"/>
      <c r="O127" s="3777"/>
      <c r="P127" s="3777"/>
      <c r="Q127" s="3777"/>
      <c r="R127" s="3777"/>
      <c r="S127" s="3777"/>
      <c r="T127" s="3777"/>
      <c r="U127" s="3777"/>
      <c r="V127" s="3777"/>
      <c r="W127" s="3777"/>
      <c r="X127" s="3777"/>
      <c r="Y127" s="3777"/>
      <c r="Z127" s="3777"/>
      <c r="AA127" s="3777"/>
      <c r="AB127" s="3777"/>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6">
        <f t="shared" si="36"/>
        <v>0</v>
      </c>
      <c r="H128" s="1256">
        <f t="shared" si="37"/>
        <v>0</v>
      </c>
      <c r="I128" s="3777"/>
      <c r="J128" s="3777"/>
      <c r="K128" s="3777"/>
      <c r="L128" s="3777"/>
      <c r="M128" s="3777"/>
      <c r="N128" s="3777"/>
      <c r="O128" s="3777"/>
      <c r="P128" s="3777"/>
      <c r="Q128" s="3777"/>
      <c r="R128" s="3777"/>
      <c r="S128" s="3777"/>
      <c r="T128" s="3777"/>
      <c r="U128" s="3777"/>
      <c r="V128" s="3777"/>
      <c r="W128" s="3777"/>
      <c r="X128" s="3777"/>
      <c r="Y128" s="3777"/>
      <c r="Z128" s="3777"/>
      <c r="AA128" s="3777"/>
      <c r="AB128" s="3777"/>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6">
        <f t="shared" si="36"/>
        <v>0</v>
      </c>
      <c r="H129" s="1256">
        <f t="shared" si="37"/>
        <v>0</v>
      </c>
      <c r="I129" s="3777"/>
      <c r="J129" s="3777"/>
      <c r="K129" s="3777"/>
      <c r="L129" s="3777"/>
      <c r="M129" s="3777"/>
      <c r="N129" s="3777"/>
      <c r="O129" s="3777"/>
      <c r="P129" s="3777"/>
      <c r="Q129" s="3777"/>
      <c r="R129" s="3777"/>
      <c r="S129" s="3777"/>
      <c r="T129" s="3777"/>
      <c r="U129" s="3777"/>
      <c r="V129" s="3777"/>
      <c r="W129" s="3777"/>
      <c r="X129" s="3777"/>
      <c r="Y129" s="3777"/>
      <c r="Z129" s="3777"/>
      <c r="AA129" s="3777"/>
      <c r="AB129" s="3777"/>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6">
        <f t="shared" si="36"/>
        <v>0</v>
      </c>
      <c r="H130" s="1256">
        <f t="shared" si="37"/>
        <v>0</v>
      </c>
      <c r="I130" s="3777"/>
      <c r="J130" s="3777"/>
      <c r="K130" s="3777"/>
      <c r="L130" s="3777"/>
      <c r="M130" s="3777"/>
      <c r="N130" s="3777"/>
      <c r="O130" s="3777"/>
      <c r="P130" s="3777"/>
      <c r="Q130" s="3777"/>
      <c r="R130" s="3777"/>
      <c r="S130" s="3777"/>
      <c r="T130" s="3777"/>
      <c r="U130" s="3777"/>
      <c r="V130" s="3777"/>
      <c r="W130" s="3777"/>
      <c r="X130" s="3777"/>
      <c r="Y130" s="3777"/>
      <c r="Z130" s="3777"/>
      <c r="AA130" s="3777"/>
      <c r="AB130" s="3777"/>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6">
        <f t="shared" si="36"/>
        <v>0</v>
      </c>
      <c r="H131" s="1256">
        <f t="shared" si="37"/>
        <v>0</v>
      </c>
      <c r="I131" s="3777"/>
      <c r="J131" s="3777"/>
      <c r="K131" s="3777"/>
      <c r="L131" s="3777"/>
      <c r="M131" s="3777"/>
      <c r="N131" s="3777"/>
      <c r="O131" s="3777"/>
      <c r="P131" s="3777"/>
      <c r="Q131" s="3777"/>
      <c r="R131" s="3777"/>
      <c r="S131" s="3777"/>
      <c r="T131" s="3777"/>
      <c r="U131" s="3777"/>
      <c r="V131" s="3777"/>
      <c r="W131" s="3777"/>
      <c r="X131" s="3777"/>
      <c r="Y131" s="3777"/>
      <c r="Z131" s="3777"/>
      <c r="AA131" s="3777"/>
      <c r="AB131" s="3777"/>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6">
        <f t="shared" si="36"/>
        <v>0</v>
      </c>
      <c r="H132" s="1256">
        <f t="shared" si="37"/>
        <v>0</v>
      </c>
      <c r="I132" s="3777"/>
      <c r="J132" s="3777"/>
      <c r="K132" s="3777"/>
      <c r="L132" s="3777"/>
      <c r="M132" s="3777"/>
      <c r="N132" s="3777"/>
      <c r="O132" s="3777"/>
      <c r="P132" s="3777"/>
      <c r="Q132" s="3777"/>
      <c r="R132" s="3777"/>
      <c r="S132" s="3777"/>
      <c r="T132" s="3777"/>
      <c r="U132" s="3777"/>
      <c r="V132" s="3777"/>
      <c r="W132" s="3777"/>
      <c r="X132" s="3777"/>
      <c r="Y132" s="3777"/>
      <c r="Z132" s="3777"/>
      <c r="AA132" s="3777"/>
      <c r="AB132" s="3777"/>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6">
        <f t="shared" si="36"/>
        <v>0</v>
      </c>
      <c r="H133" s="1256">
        <f t="shared" si="37"/>
        <v>0</v>
      </c>
      <c r="I133" s="3777"/>
      <c r="J133" s="3777"/>
      <c r="K133" s="3777"/>
      <c r="L133" s="3777"/>
      <c r="M133" s="3777"/>
      <c r="N133" s="3777"/>
      <c r="O133" s="3777"/>
      <c r="P133" s="3777"/>
      <c r="Q133" s="3777"/>
      <c r="R133" s="3777"/>
      <c r="S133" s="3777"/>
      <c r="T133" s="3777"/>
      <c r="U133" s="3777"/>
      <c r="V133" s="3777"/>
      <c r="W133" s="3777"/>
      <c r="X133" s="3777"/>
      <c r="Y133" s="3777"/>
      <c r="Z133" s="3777"/>
      <c r="AA133" s="3777"/>
      <c r="AB133" s="3777"/>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6">
        <f t="shared" si="36"/>
        <v>0</v>
      </c>
      <c r="H134" s="1256">
        <f t="shared" si="37"/>
        <v>0</v>
      </c>
      <c r="I134" s="3777"/>
      <c r="J134" s="3777"/>
      <c r="K134" s="3777"/>
      <c r="L134" s="3777"/>
      <c r="M134" s="3777"/>
      <c r="N134" s="3777"/>
      <c r="O134" s="3777"/>
      <c r="P134" s="3777"/>
      <c r="Q134" s="3777"/>
      <c r="R134" s="3777"/>
      <c r="S134" s="3777"/>
      <c r="T134" s="3777"/>
      <c r="U134" s="3777"/>
      <c r="V134" s="3777"/>
      <c r="W134" s="3777"/>
      <c r="X134" s="3777"/>
      <c r="Y134" s="3777"/>
      <c r="Z134" s="3777"/>
      <c r="AA134" s="3777"/>
      <c r="AB134" s="3777"/>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6">
        <f t="shared" si="36"/>
        <v>0</v>
      </c>
      <c r="H135" s="1256">
        <f t="shared" si="37"/>
        <v>0</v>
      </c>
      <c r="I135" s="3777"/>
      <c r="J135" s="3777"/>
      <c r="K135" s="3777"/>
      <c r="L135" s="3777"/>
      <c r="M135" s="3777"/>
      <c r="N135" s="3777"/>
      <c r="O135" s="3777"/>
      <c r="P135" s="3777"/>
      <c r="Q135" s="3777"/>
      <c r="R135" s="3777"/>
      <c r="S135" s="3777"/>
      <c r="T135" s="3777"/>
      <c r="U135" s="3777"/>
      <c r="V135" s="3777"/>
      <c r="W135" s="3777"/>
      <c r="X135" s="3777"/>
      <c r="Y135" s="3777"/>
      <c r="Z135" s="3777"/>
      <c r="AA135" s="3777"/>
      <c r="AB135" s="3777"/>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6">
        <f t="shared" si="36"/>
        <v>0</v>
      </c>
      <c r="H136" s="1256">
        <f t="shared" si="37"/>
        <v>0</v>
      </c>
      <c r="I136" s="3777"/>
      <c r="J136" s="3777"/>
      <c r="K136" s="3777"/>
      <c r="L136" s="3777"/>
      <c r="M136" s="3777"/>
      <c r="N136" s="3777"/>
      <c r="O136" s="3777"/>
      <c r="P136" s="3777"/>
      <c r="Q136" s="3777"/>
      <c r="R136" s="3777"/>
      <c r="S136" s="3777"/>
      <c r="T136" s="3777"/>
      <c r="U136" s="3777"/>
      <c r="V136" s="3777"/>
      <c r="W136" s="3777"/>
      <c r="X136" s="3777"/>
      <c r="Y136" s="3777"/>
      <c r="Z136" s="3777"/>
      <c r="AA136" s="3777"/>
      <c r="AB136" s="3777"/>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6">
        <f t="shared" si="36"/>
        <v>0</v>
      </c>
      <c r="H137" s="1256">
        <f t="shared" si="37"/>
        <v>0</v>
      </c>
      <c r="I137" s="3777"/>
      <c r="J137" s="3777"/>
      <c r="K137" s="3777"/>
      <c r="L137" s="3777"/>
      <c r="M137" s="3777"/>
      <c r="N137" s="3777"/>
      <c r="O137" s="3777"/>
      <c r="P137" s="3777"/>
      <c r="Q137" s="3777"/>
      <c r="R137" s="3777"/>
      <c r="S137" s="3777"/>
      <c r="T137" s="3777"/>
      <c r="U137" s="3777"/>
      <c r="V137" s="3777"/>
      <c r="W137" s="3777"/>
      <c r="X137" s="3777"/>
      <c r="Y137" s="3777"/>
      <c r="Z137" s="3777"/>
      <c r="AA137" s="3777"/>
      <c r="AB137" s="3777"/>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6">
        <f t="shared" si="36"/>
        <v>0</v>
      </c>
      <c r="H138" s="1256">
        <f t="shared" si="37"/>
        <v>0</v>
      </c>
      <c r="I138" s="3777"/>
      <c r="J138" s="3777"/>
      <c r="K138" s="3777"/>
      <c r="L138" s="3777"/>
      <c r="M138" s="3777"/>
      <c r="N138" s="3777"/>
      <c r="O138" s="3777"/>
      <c r="P138" s="3777"/>
      <c r="Q138" s="3777"/>
      <c r="R138" s="3777"/>
      <c r="S138" s="3777"/>
      <c r="T138" s="3777"/>
      <c r="U138" s="3777"/>
      <c r="V138" s="3777"/>
      <c r="W138" s="3777"/>
      <c r="X138" s="3777"/>
      <c r="Y138" s="3777"/>
      <c r="Z138" s="3777"/>
      <c r="AA138" s="3777"/>
      <c r="AB138" s="3777"/>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6">
        <f t="shared" si="36"/>
        <v>0</v>
      </c>
      <c r="H139" s="1256">
        <f t="shared" si="37"/>
        <v>0</v>
      </c>
      <c r="I139" s="3777"/>
      <c r="J139" s="3777"/>
      <c r="K139" s="3777"/>
      <c r="L139" s="3777"/>
      <c r="M139" s="3777"/>
      <c r="N139" s="3777"/>
      <c r="O139" s="3777"/>
      <c r="P139" s="3777"/>
      <c r="Q139" s="3777"/>
      <c r="R139" s="3777"/>
      <c r="S139" s="3777"/>
      <c r="T139" s="3777"/>
      <c r="U139" s="3777"/>
      <c r="V139" s="3777"/>
      <c r="W139" s="3777"/>
      <c r="X139" s="3777"/>
      <c r="Y139" s="3777"/>
      <c r="Z139" s="3777"/>
      <c r="AA139" s="3777"/>
      <c r="AB139" s="3777"/>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6">
        <f t="shared" si="36"/>
        <v>0</v>
      </c>
      <c r="H140" s="1256">
        <f t="shared" si="37"/>
        <v>0</v>
      </c>
      <c r="I140" s="3777"/>
      <c r="J140" s="3777"/>
      <c r="K140" s="3777"/>
      <c r="L140" s="3777"/>
      <c r="M140" s="3777"/>
      <c r="N140" s="3777"/>
      <c r="O140" s="3777"/>
      <c r="P140" s="3777"/>
      <c r="Q140" s="3777"/>
      <c r="R140" s="3777"/>
      <c r="S140" s="3777"/>
      <c r="T140" s="3777"/>
      <c r="U140" s="3777"/>
      <c r="V140" s="3777"/>
      <c r="W140" s="3777"/>
      <c r="X140" s="3777"/>
      <c r="Y140" s="3777"/>
      <c r="Z140" s="3777"/>
      <c r="AA140" s="3777"/>
      <c r="AB140" s="3777"/>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6">
        <f t="shared" si="36"/>
        <v>0</v>
      </c>
      <c r="H141" s="1256">
        <f t="shared" si="37"/>
        <v>0</v>
      </c>
      <c r="I141" s="3777"/>
      <c r="J141" s="3777"/>
      <c r="K141" s="3777"/>
      <c r="L141" s="3777"/>
      <c r="M141" s="3777"/>
      <c r="N141" s="3777"/>
      <c r="O141" s="3777"/>
      <c r="P141" s="3777"/>
      <c r="Q141" s="3777"/>
      <c r="R141" s="3777"/>
      <c r="S141" s="3777"/>
      <c r="T141" s="3777"/>
      <c r="U141" s="3777"/>
      <c r="V141" s="3777"/>
      <c r="W141" s="3777"/>
      <c r="X141" s="3777"/>
      <c r="Y141" s="3777"/>
      <c r="Z141" s="3777"/>
      <c r="AA141" s="3777"/>
      <c r="AB141" s="3777"/>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6">
        <f t="shared" ref="G142:G173" si="65">H142+AC142+AT142</f>
        <v>0</v>
      </c>
      <c r="H142" s="1256">
        <f t="shared" ref="H142:H173" si="66">SUMIF(I$12:AB$12,"总值",I142:AB142)</f>
        <v>0</v>
      </c>
      <c r="I142" s="3777"/>
      <c r="J142" s="3777"/>
      <c r="K142" s="3777"/>
      <c r="L142" s="3777"/>
      <c r="M142" s="3777"/>
      <c r="N142" s="3777"/>
      <c r="O142" s="3777"/>
      <c r="P142" s="3777"/>
      <c r="Q142" s="3777"/>
      <c r="R142" s="3777"/>
      <c r="S142" s="3777"/>
      <c r="T142" s="3777"/>
      <c r="U142" s="3777"/>
      <c r="V142" s="3777"/>
      <c r="W142" s="3777"/>
      <c r="X142" s="3777"/>
      <c r="Y142" s="3777"/>
      <c r="Z142" s="3777"/>
      <c r="AA142" s="3777"/>
      <c r="AB142" s="3777"/>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6">
        <f t="shared" si="65"/>
        <v>0</v>
      </c>
      <c r="H143" s="1256">
        <f t="shared" si="66"/>
        <v>0</v>
      </c>
      <c r="I143" s="3777"/>
      <c r="J143" s="3777"/>
      <c r="K143" s="3777"/>
      <c r="L143" s="3777"/>
      <c r="M143" s="3777"/>
      <c r="N143" s="3777"/>
      <c r="O143" s="3777"/>
      <c r="P143" s="3777"/>
      <c r="Q143" s="3777"/>
      <c r="R143" s="3777"/>
      <c r="S143" s="3777"/>
      <c r="T143" s="3777"/>
      <c r="U143" s="3777"/>
      <c r="V143" s="3777"/>
      <c r="W143" s="3777"/>
      <c r="X143" s="3777"/>
      <c r="Y143" s="3777"/>
      <c r="Z143" s="3777"/>
      <c r="AA143" s="3777"/>
      <c r="AB143" s="3777"/>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6">
        <f t="shared" si="65"/>
        <v>0</v>
      </c>
      <c r="H144" s="1256">
        <f t="shared" si="66"/>
        <v>0</v>
      </c>
      <c r="I144" s="3777"/>
      <c r="J144" s="3777"/>
      <c r="K144" s="3777"/>
      <c r="L144" s="3777"/>
      <c r="M144" s="3777"/>
      <c r="N144" s="3777"/>
      <c r="O144" s="3777"/>
      <c r="P144" s="3777"/>
      <c r="Q144" s="3777"/>
      <c r="R144" s="3777"/>
      <c r="S144" s="3777"/>
      <c r="T144" s="3777"/>
      <c r="U144" s="3777"/>
      <c r="V144" s="3777"/>
      <c r="W144" s="3777"/>
      <c r="X144" s="3777"/>
      <c r="Y144" s="3777"/>
      <c r="Z144" s="3777"/>
      <c r="AA144" s="3777"/>
      <c r="AB144" s="3777"/>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6">
        <f t="shared" si="65"/>
        <v>0</v>
      </c>
      <c r="H145" s="1256">
        <f t="shared" si="66"/>
        <v>0</v>
      </c>
      <c r="I145" s="3777"/>
      <c r="J145" s="3777"/>
      <c r="K145" s="3777"/>
      <c r="L145" s="3777"/>
      <c r="M145" s="3777"/>
      <c r="N145" s="3777"/>
      <c r="O145" s="3777"/>
      <c r="P145" s="3777"/>
      <c r="Q145" s="3777"/>
      <c r="R145" s="3777"/>
      <c r="S145" s="3777"/>
      <c r="T145" s="3777"/>
      <c r="U145" s="3777"/>
      <c r="V145" s="3777"/>
      <c r="W145" s="3777"/>
      <c r="X145" s="3777"/>
      <c r="Y145" s="3777"/>
      <c r="Z145" s="3777"/>
      <c r="AA145" s="3777"/>
      <c r="AB145" s="3777"/>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6">
        <f t="shared" si="65"/>
        <v>0</v>
      </c>
      <c r="H146" s="1256">
        <f t="shared" si="66"/>
        <v>0</v>
      </c>
      <c r="I146" s="3777"/>
      <c r="J146" s="3777"/>
      <c r="K146" s="3777"/>
      <c r="L146" s="3777"/>
      <c r="M146" s="3777"/>
      <c r="N146" s="3777"/>
      <c r="O146" s="3777"/>
      <c r="P146" s="3777"/>
      <c r="Q146" s="3777"/>
      <c r="R146" s="3777"/>
      <c r="S146" s="3777"/>
      <c r="T146" s="3777"/>
      <c r="U146" s="3777"/>
      <c r="V146" s="3777"/>
      <c r="W146" s="3777"/>
      <c r="X146" s="3777"/>
      <c r="Y146" s="3777"/>
      <c r="Z146" s="3777"/>
      <c r="AA146" s="3777"/>
      <c r="AB146" s="3777"/>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6">
        <f t="shared" si="65"/>
        <v>0</v>
      </c>
      <c r="H147" s="1256">
        <f t="shared" si="66"/>
        <v>0</v>
      </c>
      <c r="I147" s="3777"/>
      <c r="J147" s="3777"/>
      <c r="K147" s="3777"/>
      <c r="L147" s="3777"/>
      <c r="M147" s="3777"/>
      <c r="N147" s="3777"/>
      <c r="O147" s="3777"/>
      <c r="P147" s="3777"/>
      <c r="Q147" s="3777"/>
      <c r="R147" s="3777"/>
      <c r="S147" s="3777"/>
      <c r="T147" s="3777"/>
      <c r="U147" s="3777"/>
      <c r="V147" s="3777"/>
      <c r="W147" s="3777"/>
      <c r="X147" s="3777"/>
      <c r="Y147" s="3777"/>
      <c r="Z147" s="3777"/>
      <c r="AA147" s="3777"/>
      <c r="AB147" s="3777"/>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6">
        <f t="shared" si="65"/>
        <v>0</v>
      </c>
      <c r="H148" s="1256">
        <f t="shared" si="66"/>
        <v>0</v>
      </c>
      <c r="I148" s="3777"/>
      <c r="J148" s="3777"/>
      <c r="K148" s="3777"/>
      <c r="L148" s="3777"/>
      <c r="M148" s="3777"/>
      <c r="N148" s="3777"/>
      <c r="O148" s="3777"/>
      <c r="P148" s="3777"/>
      <c r="Q148" s="3777"/>
      <c r="R148" s="3777"/>
      <c r="S148" s="3777"/>
      <c r="T148" s="3777"/>
      <c r="U148" s="3777"/>
      <c r="V148" s="3777"/>
      <c r="W148" s="3777"/>
      <c r="X148" s="3777"/>
      <c r="Y148" s="3777"/>
      <c r="Z148" s="3777"/>
      <c r="AA148" s="3777"/>
      <c r="AB148" s="3777"/>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6">
        <f t="shared" si="65"/>
        <v>0</v>
      </c>
      <c r="H149" s="1256">
        <f t="shared" si="66"/>
        <v>0</v>
      </c>
      <c r="I149" s="3777"/>
      <c r="J149" s="3777"/>
      <c r="K149" s="3777"/>
      <c r="L149" s="3777"/>
      <c r="M149" s="3777"/>
      <c r="N149" s="3777"/>
      <c r="O149" s="3777"/>
      <c r="P149" s="3777"/>
      <c r="Q149" s="3777"/>
      <c r="R149" s="3777"/>
      <c r="S149" s="3777"/>
      <c r="T149" s="3777"/>
      <c r="U149" s="3777"/>
      <c r="V149" s="3777"/>
      <c r="W149" s="3777"/>
      <c r="X149" s="3777"/>
      <c r="Y149" s="3777"/>
      <c r="Z149" s="3777"/>
      <c r="AA149" s="3777"/>
      <c r="AB149" s="3777"/>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6">
        <f t="shared" si="65"/>
        <v>0</v>
      </c>
      <c r="H150" s="1256">
        <f t="shared" si="66"/>
        <v>0</v>
      </c>
      <c r="I150" s="3777"/>
      <c r="J150" s="3777"/>
      <c r="K150" s="3777"/>
      <c r="L150" s="3777"/>
      <c r="M150" s="3777"/>
      <c r="N150" s="3777"/>
      <c r="O150" s="3777"/>
      <c r="P150" s="3777"/>
      <c r="Q150" s="3777"/>
      <c r="R150" s="3777"/>
      <c r="S150" s="3777"/>
      <c r="T150" s="3777"/>
      <c r="U150" s="3777"/>
      <c r="V150" s="3777"/>
      <c r="W150" s="3777"/>
      <c r="X150" s="3777"/>
      <c r="Y150" s="3777"/>
      <c r="Z150" s="3777"/>
      <c r="AA150" s="3777"/>
      <c r="AB150" s="3777"/>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6">
        <f t="shared" si="65"/>
        <v>0</v>
      </c>
      <c r="H151" s="1256">
        <f t="shared" si="66"/>
        <v>0</v>
      </c>
      <c r="I151" s="3777"/>
      <c r="J151" s="3777"/>
      <c r="K151" s="3777"/>
      <c r="L151" s="3777"/>
      <c r="M151" s="3777"/>
      <c r="N151" s="3777"/>
      <c r="O151" s="3777"/>
      <c r="P151" s="3777"/>
      <c r="Q151" s="3777"/>
      <c r="R151" s="3777"/>
      <c r="S151" s="3777"/>
      <c r="T151" s="3777"/>
      <c r="U151" s="3777"/>
      <c r="V151" s="3777"/>
      <c r="W151" s="3777"/>
      <c r="X151" s="3777"/>
      <c r="Y151" s="3777"/>
      <c r="Z151" s="3777"/>
      <c r="AA151" s="3777"/>
      <c r="AB151" s="3777"/>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6">
        <f t="shared" si="65"/>
        <v>0</v>
      </c>
      <c r="H152" s="1256">
        <f t="shared" si="66"/>
        <v>0</v>
      </c>
      <c r="I152" s="3777"/>
      <c r="J152" s="3777"/>
      <c r="K152" s="3777"/>
      <c r="L152" s="3777"/>
      <c r="M152" s="3777"/>
      <c r="N152" s="3777"/>
      <c r="O152" s="3777"/>
      <c r="P152" s="3777"/>
      <c r="Q152" s="3777"/>
      <c r="R152" s="3777"/>
      <c r="S152" s="3777"/>
      <c r="T152" s="3777"/>
      <c r="U152" s="3777"/>
      <c r="V152" s="3777"/>
      <c r="W152" s="3777"/>
      <c r="X152" s="3777"/>
      <c r="Y152" s="3777"/>
      <c r="Z152" s="3777"/>
      <c r="AA152" s="3777"/>
      <c r="AB152" s="3777"/>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6">
        <f t="shared" si="65"/>
        <v>0</v>
      </c>
      <c r="H153" s="1256">
        <f t="shared" si="66"/>
        <v>0</v>
      </c>
      <c r="I153" s="3777"/>
      <c r="J153" s="3777"/>
      <c r="K153" s="3777"/>
      <c r="L153" s="3777"/>
      <c r="M153" s="3777"/>
      <c r="N153" s="3777"/>
      <c r="O153" s="3777"/>
      <c r="P153" s="3777"/>
      <c r="Q153" s="3777"/>
      <c r="R153" s="3777"/>
      <c r="S153" s="3777"/>
      <c r="T153" s="3777"/>
      <c r="U153" s="3777"/>
      <c r="V153" s="3777"/>
      <c r="W153" s="3777"/>
      <c r="X153" s="3777"/>
      <c r="Y153" s="3777"/>
      <c r="Z153" s="3777"/>
      <c r="AA153" s="3777"/>
      <c r="AB153" s="3777"/>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6">
        <f t="shared" si="65"/>
        <v>0</v>
      </c>
      <c r="H154" s="1256">
        <f t="shared" si="66"/>
        <v>0</v>
      </c>
      <c r="I154" s="3777"/>
      <c r="J154" s="3777"/>
      <c r="K154" s="3777"/>
      <c r="L154" s="3777"/>
      <c r="M154" s="3777"/>
      <c r="N154" s="3777"/>
      <c r="O154" s="3777"/>
      <c r="P154" s="3777"/>
      <c r="Q154" s="3777"/>
      <c r="R154" s="3777"/>
      <c r="S154" s="3777"/>
      <c r="T154" s="3777"/>
      <c r="U154" s="3777"/>
      <c r="V154" s="3777"/>
      <c r="W154" s="3777"/>
      <c r="X154" s="3777"/>
      <c r="Y154" s="3777"/>
      <c r="Z154" s="3777"/>
      <c r="AA154" s="3777"/>
      <c r="AB154" s="3777"/>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6">
        <f t="shared" si="65"/>
        <v>0</v>
      </c>
      <c r="H155" s="1256">
        <f t="shared" si="66"/>
        <v>0</v>
      </c>
      <c r="I155" s="3777"/>
      <c r="J155" s="3777"/>
      <c r="K155" s="3777"/>
      <c r="L155" s="3777"/>
      <c r="M155" s="3777"/>
      <c r="N155" s="3777"/>
      <c r="O155" s="3777"/>
      <c r="P155" s="3777"/>
      <c r="Q155" s="3777"/>
      <c r="R155" s="3777"/>
      <c r="S155" s="3777"/>
      <c r="T155" s="3777"/>
      <c r="U155" s="3777"/>
      <c r="V155" s="3777"/>
      <c r="W155" s="3777"/>
      <c r="X155" s="3777"/>
      <c r="Y155" s="3777"/>
      <c r="Z155" s="3777"/>
      <c r="AA155" s="3777"/>
      <c r="AB155" s="3777"/>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6">
        <f t="shared" si="65"/>
        <v>0</v>
      </c>
      <c r="H156" s="1256">
        <f t="shared" si="66"/>
        <v>0</v>
      </c>
      <c r="I156" s="3777"/>
      <c r="J156" s="3777"/>
      <c r="K156" s="3777"/>
      <c r="L156" s="3777"/>
      <c r="M156" s="3777"/>
      <c r="N156" s="3777"/>
      <c r="O156" s="3777"/>
      <c r="P156" s="3777"/>
      <c r="Q156" s="3777"/>
      <c r="R156" s="3777"/>
      <c r="S156" s="3777"/>
      <c r="T156" s="3777"/>
      <c r="U156" s="3777"/>
      <c r="V156" s="3777"/>
      <c r="W156" s="3777"/>
      <c r="X156" s="3777"/>
      <c r="Y156" s="3777"/>
      <c r="Z156" s="3777"/>
      <c r="AA156" s="3777"/>
      <c r="AB156" s="3777"/>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6">
        <f t="shared" si="65"/>
        <v>0</v>
      </c>
      <c r="H157" s="1256">
        <f t="shared" si="66"/>
        <v>0</v>
      </c>
      <c r="I157" s="3777"/>
      <c r="J157" s="3777"/>
      <c r="K157" s="3777"/>
      <c r="L157" s="3777"/>
      <c r="M157" s="3777"/>
      <c r="N157" s="3777"/>
      <c r="O157" s="3777"/>
      <c r="P157" s="3777"/>
      <c r="Q157" s="3777"/>
      <c r="R157" s="3777"/>
      <c r="S157" s="3777"/>
      <c r="T157" s="3777"/>
      <c r="U157" s="3777"/>
      <c r="V157" s="3777"/>
      <c r="W157" s="3777"/>
      <c r="X157" s="3777"/>
      <c r="Y157" s="3777"/>
      <c r="Z157" s="3777"/>
      <c r="AA157" s="3777"/>
      <c r="AB157" s="3777"/>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6">
        <f t="shared" si="65"/>
        <v>0</v>
      </c>
      <c r="H158" s="1256">
        <f t="shared" si="66"/>
        <v>0</v>
      </c>
      <c r="I158" s="3777"/>
      <c r="J158" s="3777"/>
      <c r="K158" s="3777"/>
      <c r="L158" s="3777"/>
      <c r="M158" s="3777"/>
      <c r="N158" s="3777"/>
      <c r="O158" s="3777"/>
      <c r="P158" s="3777"/>
      <c r="Q158" s="3777"/>
      <c r="R158" s="3777"/>
      <c r="S158" s="3777"/>
      <c r="T158" s="3777"/>
      <c r="U158" s="3777"/>
      <c r="V158" s="3777"/>
      <c r="W158" s="3777"/>
      <c r="X158" s="3777"/>
      <c r="Y158" s="3777"/>
      <c r="Z158" s="3777"/>
      <c r="AA158" s="3777"/>
      <c r="AB158" s="3777"/>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6">
        <f t="shared" si="65"/>
        <v>0</v>
      </c>
      <c r="H159" s="1256">
        <f t="shared" si="66"/>
        <v>0</v>
      </c>
      <c r="I159" s="3777"/>
      <c r="J159" s="3777"/>
      <c r="K159" s="3777"/>
      <c r="L159" s="3777"/>
      <c r="M159" s="3777"/>
      <c r="N159" s="3777"/>
      <c r="O159" s="3777"/>
      <c r="P159" s="3777"/>
      <c r="Q159" s="3777"/>
      <c r="R159" s="3777"/>
      <c r="S159" s="3777"/>
      <c r="T159" s="3777"/>
      <c r="U159" s="3777"/>
      <c r="V159" s="3777"/>
      <c r="W159" s="3777"/>
      <c r="X159" s="3777"/>
      <c r="Y159" s="3777"/>
      <c r="Z159" s="3777"/>
      <c r="AA159" s="3777"/>
      <c r="AB159" s="3777"/>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6">
        <f t="shared" si="65"/>
        <v>0</v>
      </c>
      <c r="H160" s="1256">
        <f t="shared" si="66"/>
        <v>0</v>
      </c>
      <c r="I160" s="3777"/>
      <c r="J160" s="3777"/>
      <c r="K160" s="3777"/>
      <c r="L160" s="3777"/>
      <c r="M160" s="3777"/>
      <c r="N160" s="3777"/>
      <c r="O160" s="3777"/>
      <c r="P160" s="3777"/>
      <c r="Q160" s="3777"/>
      <c r="R160" s="3777"/>
      <c r="S160" s="3777"/>
      <c r="T160" s="3777"/>
      <c r="U160" s="3777"/>
      <c r="V160" s="3777"/>
      <c r="W160" s="3777"/>
      <c r="X160" s="3777"/>
      <c r="Y160" s="3777"/>
      <c r="Z160" s="3777"/>
      <c r="AA160" s="3777"/>
      <c r="AB160" s="3777"/>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6">
        <f t="shared" si="65"/>
        <v>0</v>
      </c>
      <c r="H161" s="1256">
        <f t="shared" si="66"/>
        <v>0</v>
      </c>
      <c r="I161" s="3777"/>
      <c r="J161" s="3777"/>
      <c r="K161" s="3777"/>
      <c r="L161" s="3777"/>
      <c r="M161" s="3777"/>
      <c r="N161" s="3777"/>
      <c r="O161" s="3777"/>
      <c r="P161" s="3777"/>
      <c r="Q161" s="3777"/>
      <c r="R161" s="3777"/>
      <c r="S161" s="3777"/>
      <c r="T161" s="3777"/>
      <c r="U161" s="3777"/>
      <c r="V161" s="3777"/>
      <c r="W161" s="3777"/>
      <c r="X161" s="3777"/>
      <c r="Y161" s="3777"/>
      <c r="Z161" s="3777"/>
      <c r="AA161" s="3777"/>
      <c r="AB161" s="3777"/>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6">
        <f t="shared" si="65"/>
        <v>0</v>
      </c>
      <c r="H162" s="1256">
        <f t="shared" si="66"/>
        <v>0</v>
      </c>
      <c r="I162" s="3777"/>
      <c r="J162" s="3777"/>
      <c r="K162" s="3777"/>
      <c r="L162" s="3777"/>
      <c r="M162" s="3777"/>
      <c r="N162" s="3777"/>
      <c r="O162" s="3777"/>
      <c r="P162" s="3777"/>
      <c r="Q162" s="3777"/>
      <c r="R162" s="3777"/>
      <c r="S162" s="3777"/>
      <c r="T162" s="3777"/>
      <c r="U162" s="3777"/>
      <c r="V162" s="3777"/>
      <c r="W162" s="3777"/>
      <c r="X162" s="3777"/>
      <c r="Y162" s="3777"/>
      <c r="Z162" s="3777"/>
      <c r="AA162" s="3777"/>
      <c r="AB162" s="3777"/>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6">
        <f t="shared" si="65"/>
        <v>0</v>
      </c>
      <c r="H163" s="1256">
        <f t="shared" si="66"/>
        <v>0</v>
      </c>
      <c r="I163" s="3777"/>
      <c r="J163" s="3777"/>
      <c r="K163" s="3777"/>
      <c r="L163" s="3777"/>
      <c r="M163" s="3777"/>
      <c r="N163" s="3777"/>
      <c r="O163" s="3777"/>
      <c r="P163" s="3777"/>
      <c r="Q163" s="3777"/>
      <c r="R163" s="3777"/>
      <c r="S163" s="3777"/>
      <c r="T163" s="3777"/>
      <c r="U163" s="3777"/>
      <c r="V163" s="3777"/>
      <c r="W163" s="3777"/>
      <c r="X163" s="3777"/>
      <c r="Y163" s="3777"/>
      <c r="Z163" s="3777"/>
      <c r="AA163" s="3777"/>
      <c r="AB163" s="3777"/>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6">
        <f t="shared" si="65"/>
        <v>0</v>
      </c>
      <c r="H164" s="1256">
        <f t="shared" si="66"/>
        <v>0</v>
      </c>
      <c r="I164" s="3777"/>
      <c r="J164" s="3777"/>
      <c r="K164" s="3777"/>
      <c r="L164" s="3777"/>
      <c r="M164" s="3777"/>
      <c r="N164" s="3777"/>
      <c r="O164" s="3777"/>
      <c r="P164" s="3777"/>
      <c r="Q164" s="3777"/>
      <c r="R164" s="3777"/>
      <c r="S164" s="3777"/>
      <c r="T164" s="3777"/>
      <c r="U164" s="3777"/>
      <c r="V164" s="3777"/>
      <c r="W164" s="3777"/>
      <c r="X164" s="3777"/>
      <c r="Y164" s="3777"/>
      <c r="Z164" s="3777"/>
      <c r="AA164" s="3777"/>
      <c r="AB164" s="3777"/>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6">
        <f t="shared" si="65"/>
        <v>0</v>
      </c>
      <c r="H165" s="1256">
        <f t="shared" si="66"/>
        <v>0</v>
      </c>
      <c r="I165" s="3777"/>
      <c r="J165" s="3777"/>
      <c r="K165" s="3777"/>
      <c r="L165" s="3777"/>
      <c r="M165" s="3777"/>
      <c r="N165" s="3777"/>
      <c r="O165" s="3777"/>
      <c r="P165" s="3777"/>
      <c r="Q165" s="3777"/>
      <c r="R165" s="3777"/>
      <c r="S165" s="3777"/>
      <c r="T165" s="3777"/>
      <c r="U165" s="3777"/>
      <c r="V165" s="3777"/>
      <c r="W165" s="3777"/>
      <c r="X165" s="3777"/>
      <c r="Y165" s="3777"/>
      <c r="Z165" s="3777"/>
      <c r="AA165" s="3777"/>
      <c r="AB165" s="3777"/>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6">
        <f t="shared" si="65"/>
        <v>0</v>
      </c>
      <c r="H166" s="1256">
        <f t="shared" si="66"/>
        <v>0</v>
      </c>
      <c r="I166" s="3777"/>
      <c r="J166" s="3777"/>
      <c r="K166" s="3777"/>
      <c r="L166" s="3777"/>
      <c r="M166" s="3777"/>
      <c r="N166" s="3777"/>
      <c r="O166" s="3777"/>
      <c r="P166" s="3777"/>
      <c r="Q166" s="3777"/>
      <c r="R166" s="3777"/>
      <c r="S166" s="3777"/>
      <c r="T166" s="3777"/>
      <c r="U166" s="3777"/>
      <c r="V166" s="3777"/>
      <c r="W166" s="3777"/>
      <c r="X166" s="3777"/>
      <c r="Y166" s="3777"/>
      <c r="Z166" s="3777"/>
      <c r="AA166" s="3777"/>
      <c r="AB166" s="3777"/>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6">
        <f t="shared" si="65"/>
        <v>0</v>
      </c>
      <c r="H167" s="1256">
        <f t="shared" si="66"/>
        <v>0</v>
      </c>
      <c r="I167" s="3777"/>
      <c r="J167" s="3777"/>
      <c r="K167" s="3777"/>
      <c r="L167" s="3777"/>
      <c r="M167" s="3777"/>
      <c r="N167" s="3777"/>
      <c r="O167" s="3777"/>
      <c r="P167" s="3777"/>
      <c r="Q167" s="3777"/>
      <c r="R167" s="3777"/>
      <c r="S167" s="3777"/>
      <c r="T167" s="3777"/>
      <c r="U167" s="3777"/>
      <c r="V167" s="3777"/>
      <c r="W167" s="3777"/>
      <c r="X167" s="3777"/>
      <c r="Y167" s="3777"/>
      <c r="Z167" s="3777"/>
      <c r="AA167" s="3777"/>
      <c r="AB167" s="3777"/>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6">
        <f t="shared" si="65"/>
        <v>0</v>
      </c>
      <c r="H168" s="1256">
        <f t="shared" si="66"/>
        <v>0</v>
      </c>
      <c r="I168" s="3777"/>
      <c r="J168" s="3777"/>
      <c r="K168" s="3777"/>
      <c r="L168" s="3777"/>
      <c r="M168" s="3777"/>
      <c r="N168" s="3777"/>
      <c r="O168" s="3777"/>
      <c r="P168" s="3777"/>
      <c r="Q168" s="3777"/>
      <c r="R168" s="3777"/>
      <c r="S168" s="3777"/>
      <c r="T168" s="3777"/>
      <c r="U168" s="3777"/>
      <c r="V168" s="3777"/>
      <c r="W168" s="3777"/>
      <c r="X168" s="3777"/>
      <c r="Y168" s="3777"/>
      <c r="Z168" s="3777"/>
      <c r="AA168" s="3777"/>
      <c r="AB168" s="3777"/>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6">
        <f t="shared" si="65"/>
        <v>0</v>
      </c>
      <c r="H169" s="1256">
        <f t="shared" si="66"/>
        <v>0</v>
      </c>
      <c r="I169" s="3777"/>
      <c r="J169" s="3777"/>
      <c r="K169" s="3777"/>
      <c r="L169" s="3777"/>
      <c r="M169" s="3777"/>
      <c r="N169" s="3777"/>
      <c r="O169" s="3777"/>
      <c r="P169" s="3777"/>
      <c r="Q169" s="3777"/>
      <c r="R169" s="3777"/>
      <c r="S169" s="3777"/>
      <c r="T169" s="3777"/>
      <c r="U169" s="3777"/>
      <c r="V169" s="3777"/>
      <c r="W169" s="3777"/>
      <c r="X169" s="3777"/>
      <c r="Y169" s="3777"/>
      <c r="Z169" s="3777"/>
      <c r="AA169" s="3777"/>
      <c r="AB169" s="3777"/>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6">
        <f t="shared" si="65"/>
        <v>0</v>
      </c>
      <c r="H170" s="1256">
        <f t="shared" si="66"/>
        <v>0</v>
      </c>
      <c r="I170" s="3777"/>
      <c r="J170" s="3777"/>
      <c r="K170" s="3777"/>
      <c r="L170" s="3777"/>
      <c r="M170" s="3777"/>
      <c r="N170" s="3777"/>
      <c r="O170" s="3777"/>
      <c r="P170" s="3777"/>
      <c r="Q170" s="3777"/>
      <c r="R170" s="3777"/>
      <c r="S170" s="3777"/>
      <c r="T170" s="3777"/>
      <c r="U170" s="3777"/>
      <c r="V170" s="3777"/>
      <c r="W170" s="3777"/>
      <c r="X170" s="3777"/>
      <c r="Y170" s="3777"/>
      <c r="Z170" s="3777"/>
      <c r="AA170" s="3777"/>
      <c r="AB170" s="3777"/>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6">
        <f t="shared" si="65"/>
        <v>0</v>
      </c>
      <c r="H171" s="1256">
        <f t="shared" si="66"/>
        <v>0</v>
      </c>
      <c r="I171" s="3777"/>
      <c r="J171" s="3777"/>
      <c r="K171" s="3777"/>
      <c r="L171" s="3777"/>
      <c r="M171" s="3777"/>
      <c r="N171" s="3777"/>
      <c r="O171" s="3777"/>
      <c r="P171" s="3777"/>
      <c r="Q171" s="3777"/>
      <c r="R171" s="3777"/>
      <c r="S171" s="3777"/>
      <c r="T171" s="3777"/>
      <c r="U171" s="3777"/>
      <c r="V171" s="3777"/>
      <c r="W171" s="3777"/>
      <c r="X171" s="3777"/>
      <c r="Y171" s="3777"/>
      <c r="Z171" s="3777"/>
      <c r="AA171" s="3777"/>
      <c r="AB171" s="3777"/>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6">
        <f t="shared" si="65"/>
        <v>0</v>
      </c>
      <c r="H172" s="1256">
        <f t="shared" si="66"/>
        <v>0</v>
      </c>
      <c r="I172" s="3777"/>
      <c r="J172" s="3777"/>
      <c r="K172" s="3777"/>
      <c r="L172" s="3777"/>
      <c r="M172" s="3777"/>
      <c r="N172" s="3777"/>
      <c r="O172" s="3777"/>
      <c r="P172" s="3777"/>
      <c r="Q172" s="3777"/>
      <c r="R172" s="3777"/>
      <c r="S172" s="3777"/>
      <c r="T172" s="3777"/>
      <c r="U172" s="3777"/>
      <c r="V172" s="3777"/>
      <c r="W172" s="3777"/>
      <c r="X172" s="3777"/>
      <c r="Y172" s="3777"/>
      <c r="Z172" s="3777"/>
      <c r="AA172" s="3777"/>
      <c r="AB172" s="3777"/>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6">
        <f t="shared" si="65"/>
        <v>0</v>
      </c>
      <c r="H173" s="1256">
        <f t="shared" si="66"/>
        <v>0</v>
      </c>
      <c r="I173" s="3777"/>
      <c r="J173" s="3777"/>
      <c r="K173" s="3777"/>
      <c r="L173" s="3777"/>
      <c r="M173" s="3777"/>
      <c r="N173" s="3777"/>
      <c r="O173" s="3777"/>
      <c r="P173" s="3777"/>
      <c r="Q173" s="3777"/>
      <c r="R173" s="3777"/>
      <c r="S173" s="3777"/>
      <c r="T173" s="3777"/>
      <c r="U173" s="3777"/>
      <c r="V173" s="3777"/>
      <c r="W173" s="3777"/>
      <c r="X173" s="3777"/>
      <c r="Y173" s="3777"/>
      <c r="Z173" s="3777"/>
      <c r="AA173" s="3777"/>
      <c r="AB173" s="3777"/>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6">
        <f t="shared" ref="G174:G205" si="94">H174+AC174+AT174</f>
        <v>0</v>
      </c>
      <c r="H174" s="1256">
        <f t="shared" ref="H174:H205" si="95">SUMIF(I$12:AB$12,"总值",I174:AB174)</f>
        <v>0</v>
      </c>
      <c r="I174" s="3777"/>
      <c r="J174" s="3777"/>
      <c r="K174" s="3777"/>
      <c r="L174" s="3777"/>
      <c r="M174" s="3777"/>
      <c r="N174" s="3777"/>
      <c r="O174" s="3777"/>
      <c r="P174" s="3777"/>
      <c r="Q174" s="3777"/>
      <c r="R174" s="3777"/>
      <c r="S174" s="3777"/>
      <c r="T174" s="3777"/>
      <c r="U174" s="3777"/>
      <c r="V174" s="3777"/>
      <c r="W174" s="3777"/>
      <c r="X174" s="3777"/>
      <c r="Y174" s="3777"/>
      <c r="Z174" s="3777"/>
      <c r="AA174" s="3777"/>
      <c r="AB174" s="3777"/>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6">
        <f t="shared" si="94"/>
        <v>0</v>
      </c>
      <c r="H175" s="1256">
        <f t="shared" si="95"/>
        <v>0</v>
      </c>
      <c r="I175" s="3777"/>
      <c r="J175" s="3777"/>
      <c r="K175" s="3777"/>
      <c r="L175" s="3777"/>
      <c r="M175" s="3777"/>
      <c r="N175" s="3777"/>
      <c r="O175" s="3777"/>
      <c r="P175" s="3777"/>
      <c r="Q175" s="3777"/>
      <c r="R175" s="3777"/>
      <c r="S175" s="3777"/>
      <c r="T175" s="3777"/>
      <c r="U175" s="3777"/>
      <c r="V175" s="3777"/>
      <c r="W175" s="3777"/>
      <c r="X175" s="3777"/>
      <c r="Y175" s="3777"/>
      <c r="Z175" s="3777"/>
      <c r="AA175" s="3777"/>
      <c r="AB175" s="3777"/>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6">
        <f t="shared" si="94"/>
        <v>0</v>
      </c>
      <c r="H176" s="1256">
        <f t="shared" si="95"/>
        <v>0</v>
      </c>
      <c r="I176" s="3777"/>
      <c r="J176" s="3777"/>
      <c r="K176" s="3777"/>
      <c r="L176" s="3777"/>
      <c r="M176" s="3777"/>
      <c r="N176" s="3777"/>
      <c r="O176" s="3777"/>
      <c r="P176" s="3777"/>
      <c r="Q176" s="3777"/>
      <c r="R176" s="3777"/>
      <c r="S176" s="3777"/>
      <c r="T176" s="3777"/>
      <c r="U176" s="3777"/>
      <c r="V176" s="3777"/>
      <c r="W176" s="3777"/>
      <c r="X176" s="3777"/>
      <c r="Y176" s="3777"/>
      <c r="Z176" s="3777"/>
      <c r="AA176" s="3777"/>
      <c r="AB176" s="3777"/>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6">
        <f t="shared" si="94"/>
        <v>0</v>
      </c>
      <c r="H177" s="1256">
        <f t="shared" si="95"/>
        <v>0</v>
      </c>
      <c r="I177" s="3777"/>
      <c r="J177" s="3777"/>
      <c r="K177" s="3777"/>
      <c r="L177" s="3777"/>
      <c r="M177" s="3777"/>
      <c r="N177" s="3777"/>
      <c r="O177" s="3777"/>
      <c r="P177" s="3777"/>
      <c r="Q177" s="3777"/>
      <c r="R177" s="3777"/>
      <c r="S177" s="3777"/>
      <c r="T177" s="3777"/>
      <c r="U177" s="3777"/>
      <c r="V177" s="3777"/>
      <c r="W177" s="3777"/>
      <c r="X177" s="3777"/>
      <c r="Y177" s="3777"/>
      <c r="Z177" s="3777"/>
      <c r="AA177" s="3777"/>
      <c r="AB177" s="3777"/>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6">
        <f t="shared" si="94"/>
        <v>0</v>
      </c>
      <c r="H178" s="1256">
        <f t="shared" si="95"/>
        <v>0</v>
      </c>
      <c r="I178" s="3777"/>
      <c r="J178" s="3777"/>
      <c r="K178" s="3777"/>
      <c r="L178" s="3777"/>
      <c r="M178" s="3777"/>
      <c r="N178" s="3777"/>
      <c r="O178" s="3777"/>
      <c r="P178" s="3777"/>
      <c r="Q178" s="3777"/>
      <c r="R178" s="3777"/>
      <c r="S178" s="3777"/>
      <c r="T178" s="3777"/>
      <c r="U178" s="3777"/>
      <c r="V178" s="3777"/>
      <c r="W178" s="3777"/>
      <c r="X178" s="3777"/>
      <c r="Y178" s="3777"/>
      <c r="Z178" s="3777"/>
      <c r="AA178" s="3777"/>
      <c r="AB178" s="3777"/>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6">
        <f t="shared" si="94"/>
        <v>0</v>
      </c>
      <c r="H179" s="1256">
        <f t="shared" si="95"/>
        <v>0</v>
      </c>
      <c r="I179" s="3777"/>
      <c r="J179" s="3777"/>
      <c r="K179" s="3777"/>
      <c r="L179" s="3777"/>
      <c r="M179" s="3777"/>
      <c r="N179" s="3777"/>
      <c r="O179" s="3777"/>
      <c r="P179" s="3777"/>
      <c r="Q179" s="3777"/>
      <c r="R179" s="3777"/>
      <c r="S179" s="3777"/>
      <c r="T179" s="3777"/>
      <c r="U179" s="3777"/>
      <c r="V179" s="3777"/>
      <c r="W179" s="3777"/>
      <c r="X179" s="3777"/>
      <c r="Y179" s="3777"/>
      <c r="Z179" s="3777"/>
      <c r="AA179" s="3777"/>
      <c r="AB179" s="3777"/>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6">
        <f t="shared" si="94"/>
        <v>0</v>
      </c>
      <c r="H180" s="1256">
        <f t="shared" si="95"/>
        <v>0</v>
      </c>
      <c r="I180" s="3777"/>
      <c r="J180" s="3777"/>
      <c r="K180" s="3777"/>
      <c r="L180" s="3777"/>
      <c r="M180" s="3777"/>
      <c r="N180" s="3777"/>
      <c r="O180" s="3777"/>
      <c r="P180" s="3777"/>
      <c r="Q180" s="3777"/>
      <c r="R180" s="3777"/>
      <c r="S180" s="3777"/>
      <c r="T180" s="3777"/>
      <c r="U180" s="3777"/>
      <c r="V180" s="3777"/>
      <c r="W180" s="3777"/>
      <c r="X180" s="3777"/>
      <c r="Y180" s="3777"/>
      <c r="Z180" s="3777"/>
      <c r="AA180" s="3777"/>
      <c r="AB180" s="3777"/>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6">
        <f t="shared" si="94"/>
        <v>0</v>
      </c>
      <c r="H181" s="1256">
        <f t="shared" si="95"/>
        <v>0</v>
      </c>
      <c r="I181" s="3777"/>
      <c r="J181" s="3777"/>
      <c r="K181" s="3777"/>
      <c r="L181" s="3777"/>
      <c r="M181" s="3777"/>
      <c r="N181" s="3777"/>
      <c r="O181" s="3777"/>
      <c r="P181" s="3777"/>
      <c r="Q181" s="3777"/>
      <c r="R181" s="3777"/>
      <c r="S181" s="3777"/>
      <c r="T181" s="3777"/>
      <c r="U181" s="3777"/>
      <c r="V181" s="3777"/>
      <c r="W181" s="3777"/>
      <c r="X181" s="3777"/>
      <c r="Y181" s="3777"/>
      <c r="Z181" s="3777"/>
      <c r="AA181" s="3777"/>
      <c r="AB181" s="3777"/>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6">
        <f t="shared" si="94"/>
        <v>0</v>
      </c>
      <c r="H182" s="1256">
        <f t="shared" si="95"/>
        <v>0</v>
      </c>
      <c r="I182" s="3777"/>
      <c r="J182" s="3777"/>
      <c r="K182" s="3777"/>
      <c r="L182" s="3777"/>
      <c r="M182" s="3777"/>
      <c r="N182" s="3777"/>
      <c r="O182" s="3777"/>
      <c r="P182" s="3777"/>
      <c r="Q182" s="3777"/>
      <c r="R182" s="3777"/>
      <c r="S182" s="3777"/>
      <c r="T182" s="3777"/>
      <c r="U182" s="3777"/>
      <c r="V182" s="3777"/>
      <c r="W182" s="3777"/>
      <c r="X182" s="3777"/>
      <c r="Y182" s="3777"/>
      <c r="Z182" s="3777"/>
      <c r="AA182" s="3777"/>
      <c r="AB182" s="3777"/>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6">
        <f t="shared" si="94"/>
        <v>0</v>
      </c>
      <c r="H183" s="1256">
        <f t="shared" si="95"/>
        <v>0</v>
      </c>
      <c r="I183" s="3777"/>
      <c r="J183" s="3777"/>
      <c r="K183" s="3777"/>
      <c r="L183" s="3777"/>
      <c r="M183" s="3777"/>
      <c r="N183" s="3777"/>
      <c r="O183" s="3777"/>
      <c r="P183" s="3777"/>
      <c r="Q183" s="3777"/>
      <c r="R183" s="3777"/>
      <c r="S183" s="3777"/>
      <c r="T183" s="3777"/>
      <c r="U183" s="3777"/>
      <c r="V183" s="3777"/>
      <c r="W183" s="3777"/>
      <c r="X183" s="3777"/>
      <c r="Y183" s="3777"/>
      <c r="Z183" s="3777"/>
      <c r="AA183" s="3777"/>
      <c r="AB183" s="3777"/>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6">
        <f t="shared" si="94"/>
        <v>0</v>
      </c>
      <c r="H184" s="1256">
        <f t="shared" si="95"/>
        <v>0</v>
      </c>
      <c r="I184" s="3777"/>
      <c r="J184" s="3777"/>
      <c r="K184" s="3777"/>
      <c r="L184" s="3777"/>
      <c r="M184" s="3777"/>
      <c r="N184" s="3777"/>
      <c r="O184" s="3777"/>
      <c r="P184" s="3777"/>
      <c r="Q184" s="3777"/>
      <c r="R184" s="3777"/>
      <c r="S184" s="3777"/>
      <c r="T184" s="3777"/>
      <c r="U184" s="3777"/>
      <c r="V184" s="3777"/>
      <c r="W184" s="3777"/>
      <c r="X184" s="3777"/>
      <c r="Y184" s="3777"/>
      <c r="Z184" s="3777"/>
      <c r="AA184" s="3777"/>
      <c r="AB184" s="3777"/>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6">
        <f t="shared" si="94"/>
        <v>0</v>
      </c>
      <c r="H185" s="1256">
        <f t="shared" si="95"/>
        <v>0</v>
      </c>
      <c r="I185" s="3777"/>
      <c r="J185" s="3777"/>
      <c r="K185" s="3777"/>
      <c r="L185" s="3777"/>
      <c r="M185" s="3777"/>
      <c r="N185" s="3777"/>
      <c r="O185" s="3777"/>
      <c r="P185" s="3777"/>
      <c r="Q185" s="3777"/>
      <c r="R185" s="3777"/>
      <c r="S185" s="3777"/>
      <c r="T185" s="3777"/>
      <c r="U185" s="3777"/>
      <c r="V185" s="3777"/>
      <c r="W185" s="3777"/>
      <c r="X185" s="3777"/>
      <c r="Y185" s="3777"/>
      <c r="Z185" s="3777"/>
      <c r="AA185" s="3777"/>
      <c r="AB185" s="3777"/>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6">
        <f t="shared" si="94"/>
        <v>0</v>
      </c>
      <c r="H186" s="1256">
        <f t="shared" si="95"/>
        <v>0</v>
      </c>
      <c r="I186" s="3777"/>
      <c r="J186" s="3777"/>
      <c r="K186" s="3777"/>
      <c r="L186" s="3777"/>
      <c r="M186" s="3777"/>
      <c r="N186" s="3777"/>
      <c r="O186" s="3777"/>
      <c r="P186" s="3777"/>
      <c r="Q186" s="3777"/>
      <c r="R186" s="3777"/>
      <c r="S186" s="3777"/>
      <c r="T186" s="3777"/>
      <c r="U186" s="3777"/>
      <c r="V186" s="3777"/>
      <c r="W186" s="3777"/>
      <c r="X186" s="3777"/>
      <c r="Y186" s="3777"/>
      <c r="Z186" s="3777"/>
      <c r="AA186" s="3777"/>
      <c r="AB186" s="3777"/>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6">
        <f t="shared" si="94"/>
        <v>0</v>
      </c>
      <c r="H187" s="1256">
        <f t="shared" si="95"/>
        <v>0</v>
      </c>
      <c r="I187" s="3777"/>
      <c r="J187" s="3777"/>
      <c r="K187" s="3777"/>
      <c r="L187" s="3777"/>
      <c r="M187" s="3777"/>
      <c r="N187" s="3777"/>
      <c r="O187" s="3777"/>
      <c r="P187" s="3777"/>
      <c r="Q187" s="3777"/>
      <c r="R187" s="3777"/>
      <c r="S187" s="3777"/>
      <c r="T187" s="3777"/>
      <c r="U187" s="3777"/>
      <c r="V187" s="3777"/>
      <c r="W187" s="3777"/>
      <c r="X187" s="3777"/>
      <c r="Y187" s="3777"/>
      <c r="Z187" s="3777"/>
      <c r="AA187" s="3777"/>
      <c r="AB187" s="3777"/>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6">
        <f t="shared" si="94"/>
        <v>0</v>
      </c>
      <c r="H188" s="1256">
        <f t="shared" si="95"/>
        <v>0</v>
      </c>
      <c r="I188" s="3777"/>
      <c r="J188" s="3777"/>
      <c r="K188" s="3777"/>
      <c r="L188" s="3777"/>
      <c r="M188" s="3777"/>
      <c r="N188" s="3777"/>
      <c r="O188" s="3777"/>
      <c r="P188" s="3777"/>
      <c r="Q188" s="3777"/>
      <c r="R188" s="3777"/>
      <c r="S188" s="3777"/>
      <c r="T188" s="3777"/>
      <c r="U188" s="3777"/>
      <c r="V188" s="3777"/>
      <c r="W188" s="3777"/>
      <c r="X188" s="3777"/>
      <c r="Y188" s="3777"/>
      <c r="Z188" s="3777"/>
      <c r="AA188" s="3777"/>
      <c r="AB188" s="3777"/>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6">
        <f t="shared" si="94"/>
        <v>0</v>
      </c>
      <c r="H189" s="1256">
        <f t="shared" si="95"/>
        <v>0</v>
      </c>
      <c r="I189" s="3777"/>
      <c r="J189" s="3777"/>
      <c r="K189" s="3777"/>
      <c r="L189" s="3777"/>
      <c r="M189" s="3777"/>
      <c r="N189" s="3777"/>
      <c r="O189" s="3777"/>
      <c r="P189" s="3777"/>
      <c r="Q189" s="3777"/>
      <c r="R189" s="3777"/>
      <c r="S189" s="3777"/>
      <c r="T189" s="3777"/>
      <c r="U189" s="3777"/>
      <c r="V189" s="3777"/>
      <c r="W189" s="3777"/>
      <c r="X189" s="3777"/>
      <c r="Y189" s="3777"/>
      <c r="Z189" s="3777"/>
      <c r="AA189" s="3777"/>
      <c r="AB189" s="3777"/>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6">
        <f t="shared" si="94"/>
        <v>0</v>
      </c>
      <c r="H190" s="1256">
        <f t="shared" si="95"/>
        <v>0</v>
      </c>
      <c r="I190" s="3777"/>
      <c r="J190" s="3777"/>
      <c r="K190" s="3777"/>
      <c r="L190" s="3777"/>
      <c r="M190" s="3777"/>
      <c r="N190" s="3777"/>
      <c r="O190" s="3777"/>
      <c r="P190" s="3777"/>
      <c r="Q190" s="3777"/>
      <c r="R190" s="3777"/>
      <c r="S190" s="3777"/>
      <c r="T190" s="3777"/>
      <c r="U190" s="3777"/>
      <c r="V190" s="3777"/>
      <c r="W190" s="3777"/>
      <c r="X190" s="3777"/>
      <c r="Y190" s="3777"/>
      <c r="Z190" s="3777"/>
      <c r="AA190" s="3777"/>
      <c r="AB190" s="3777"/>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6">
        <f t="shared" si="94"/>
        <v>0</v>
      </c>
      <c r="H191" s="1256">
        <f t="shared" si="95"/>
        <v>0</v>
      </c>
      <c r="I191" s="3777"/>
      <c r="J191" s="3777"/>
      <c r="K191" s="3777"/>
      <c r="L191" s="3777"/>
      <c r="M191" s="3777"/>
      <c r="N191" s="3777"/>
      <c r="O191" s="3777"/>
      <c r="P191" s="3777"/>
      <c r="Q191" s="3777"/>
      <c r="R191" s="3777"/>
      <c r="S191" s="3777"/>
      <c r="T191" s="3777"/>
      <c r="U191" s="3777"/>
      <c r="V191" s="3777"/>
      <c r="W191" s="3777"/>
      <c r="X191" s="3777"/>
      <c r="Y191" s="3777"/>
      <c r="Z191" s="3777"/>
      <c r="AA191" s="3777"/>
      <c r="AB191" s="3777"/>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6">
        <f t="shared" si="94"/>
        <v>0</v>
      </c>
      <c r="H192" s="1256">
        <f t="shared" si="95"/>
        <v>0</v>
      </c>
      <c r="I192" s="3777"/>
      <c r="J192" s="3777"/>
      <c r="K192" s="3777"/>
      <c r="L192" s="3777"/>
      <c r="M192" s="3777"/>
      <c r="N192" s="3777"/>
      <c r="O192" s="3777"/>
      <c r="P192" s="3777"/>
      <c r="Q192" s="3777"/>
      <c r="R192" s="3777"/>
      <c r="S192" s="3777"/>
      <c r="T192" s="3777"/>
      <c r="U192" s="3777"/>
      <c r="V192" s="3777"/>
      <c r="W192" s="3777"/>
      <c r="X192" s="3777"/>
      <c r="Y192" s="3777"/>
      <c r="Z192" s="3777"/>
      <c r="AA192" s="3777"/>
      <c r="AB192" s="3777"/>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6">
        <f t="shared" si="94"/>
        <v>0</v>
      </c>
      <c r="H193" s="1256">
        <f t="shared" si="95"/>
        <v>0</v>
      </c>
      <c r="I193" s="3777"/>
      <c r="J193" s="3777"/>
      <c r="K193" s="3777"/>
      <c r="L193" s="3777"/>
      <c r="M193" s="3777"/>
      <c r="N193" s="3777"/>
      <c r="O193" s="3777"/>
      <c r="P193" s="3777"/>
      <c r="Q193" s="3777"/>
      <c r="R193" s="3777"/>
      <c r="S193" s="3777"/>
      <c r="T193" s="3777"/>
      <c r="U193" s="3777"/>
      <c r="V193" s="3777"/>
      <c r="W193" s="3777"/>
      <c r="X193" s="3777"/>
      <c r="Y193" s="3777"/>
      <c r="Z193" s="3777"/>
      <c r="AA193" s="3777"/>
      <c r="AB193" s="3777"/>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6">
        <f t="shared" si="94"/>
        <v>0</v>
      </c>
      <c r="H194" s="1256">
        <f t="shared" si="95"/>
        <v>0</v>
      </c>
      <c r="I194" s="3777"/>
      <c r="J194" s="3777"/>
      <c r="K194" s="3777"/>
      <c r="L194" s="3777"/>
      <c r="M194" s="3777"/>
      <c r="N194" s="3777"/>
      <c r="O194" s="3777"/>
      <c r="P194" s="3777"/>
      <c r="Q194" s="3777"/>
      <c r="R194" s="3777"/>
      <c r="S194" s="3777"/>
      <c r="T194" s="3777"/>
      <c r="U194" s="3777"/>
      <c r="V194" s="3777"/>
      <c r="W194" s="3777"/>
      <c r="X194" s="3777"/>
      <c r="Y194" s="3777"/>
      <c r="Z194" s="3777"/>
      <c r="AA194" s="3777"/>
      <c r="AB194" s="3777"/>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6">
        <f t="shared" si="94"/>
        <v>0</v>
      </c>
      <c r="H195" s="1256">
        <f t="shared" si="95"/>
        <v>0</v>
      </c>
      <c r="I195" s="3777"/>
      <c r="J195" s="3777"/>
      <c r="K195" s="3777"/>
      <c r="L195" s="3777"/>
      <c r="M195" s="3777"/>
      <c r="N195" s="3777"/>
      <c r="O195" s="3777"/>
      <c r="P195" s="3777"/>
      <c r="Q195" s="3777"/>
      <c r="R195" s="3777"/>
      <c r="S195" s="3777"/>
      <c r="T195" s="3777"/>
      <c r="U195" s="3777"/>
      <c r="V195" s="3777"/>
      <c r="W195" s="3777"/>
      <c r="X195" s="3777"/>
      <c r="Y195" s="3777"/>
      <c r="Z195" s="3777"/>
      <c r="AA195" s="3777"/>
      <c r="AB195" s="3777"/>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6">
        <f t="shared" si="94"/>
        <v>0</v>
      </c>
      <c r="H196" s="1256">
        <f t="shared" si="95"/>
        <v>0</v>
      </c>
      <c r="I196" s="3777"/>
      <c r="J196" s="3777"/>
      <c r="K196" s="3777"/>
      <c r="L196" s="3777"/>
      <c r="M196" s="3777"/>
      <c r="N196" s="3777"/>
      <c r="O196" s="3777"/>
      <c r="P196" s="3777"/>
      <c r="Q196" s="3777"/>
      <c r="R196" s="3777"/>
      <c r="S196" s="3777"/>
      <c r="T196" s="3777"/>
      <c r="U196" s="3777"/>
      <c r="V196" s="3777"/>
      <c r="W196" s="3777"/>
      <c r="X196" s="3777"/>
      <c r="Y196" s="3777"/>
      <c r="Z196" s="3777"/>
      <c r="AA196" s="3777"/>
      <c r="AB196" s="3777"/>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6">
        <f t="shared" si="94"/>
        <v>0</v>
      </c>
      <c r="H197" s="1256">
        <f t="shared" si="95"/>
        <v>0</v>
      </c>
      <c r="I197" s="3777"/>
      <c r="J197" s="3777"/>
      <c r="K197" s="3777"/>
      <c r="L197" s="3777"/>
      <c r="M197" s="3777"/>
      <c r="N197" s="3777"/>
      <c r="O197" s="3777"/>
      <c r="P197" s="3777"/>
      <c r="Q197" s="3777"/>
      <c r="R197" s="3777"/>
      <c r="S197" s="3777"/>
      <c r="T197" s="3777"/>
      <c r="U197" s="3777"/>
      <c r="V197" s="3777"/>
      <c r="W197" s="3777"/>
      <c r="X197" s="3777"/>
      <c r="Y197" s="3777"/>
      <c r="Z197" s="3777"/>
      <c r="AA197" s="3777"/>
      <c r="AB197" s="3777"/>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6">
        <f t="shared" si="94"/>
        <v>0</v>
      </c>
      <c r="H198" s="1256">
        <f t="shared" si="95"/>
        <v>0</v>
      </c>
      <c r="I198" s="3777"/>
      <c r="J198" s="3777"/>
      <c r="K198" s="3777"/>
      <c r="L198" s="3777"/>
      <c r="M198" s="3777"/>
      <c r="N198" s="3777"/>
      <c r="O198" s="3777"/>
      <c r="P198" s="3777"/>
      <c r="Q198" s="3777"/>
      <c r="R198" s="3777"/>
      <c r="S198" s="3777"/>
      <c r="T198" s="3777"/>
      <c r="U198" s="3777"/>
      <c r="V198" s="3777"/>
      <c r="W198" s="3777"/>
      <c r="X198" s="3777"/>
      <c r="Y198" s="3777"/>
      <c r="Z198" s="3777"/>
      <c r="AA198" s="3777"/>
      <c r="AB198" s="3777"/>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6">
        <f t="shared" si="94"/>
        <v>0</v>
      </c>
      <c r="H199" s="1256">
        <f t="shared" si="95"/>
        <v>0</v>
      </c>
      <c r="I199" s="3777"/>
      <c r="J199" s="3777"/>
      <c r="K199" s="3777"/>
      <c r="L199" s="3777"/>
      <c r="M199" s="3777"/>
      <c r="N199" s="3777"/>
      <c r="O199" s="3777"/>
      <c r="P199" s="3777"/>
      <c r="Q199" s="3777"/>
      <c r="R199" s="3777"/>
      <c r="S199" s="3777"/>
      <c r="T199" s="3777"/>
      <c r="U199" s="3777"/>
      <c r="V199" s="3777"/>
      <c r="W199" s="3777"/>
      <c r="X199" s="3777"/>
      <c r="Y199" s="3777"/>
      <c r="Z199" s="3777"/>
      <c r="AA199" s="3777"/>
      <c r="AB199" s="3777"/>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6">
        <f t="shared" si="94"/>
        <v>0</v>
      </c>
      <c r="H200" s="1256">
        <f t="shared" si="95"/>
        <v>0</v>
      </c>
      <c r="I200" s="3777"/>
      <c r="J200" s="3777"/>
      <c r="K200" s="3777"/>
      <c r="L200" s="3777"/>
      <c r="M200" s="3777"/>
      <c r="N200" s="3777"/>
      <c r="O200" s="3777"/>
      <c r="P200" s="3777"/>
      <c r="Q200" s="3777"/>
      <c r="R200" s="3777"/>
      <c r="S200" s="3777"/>
      <c r="T200" s="3777"/>
      <c r="U200" s="3777"/>
      <c r="V200" s="3777"/>
      <c r="W200" s="3777"/>
      <c r="X200" s="3777"/>
      <c r="Y200" s="3777"/>
      <c r="Z200" s="3777"/>
      <c r="AA200" s="3777"/>
      <c r="AB200" s="3777"/>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6">
        <f t="shared" si="94"/>
        <v>0</v>
      </c>
      <c r="H201" s="1256">
        <f t="shared" si="95"/>
        <v>0</v>
      </c>
      <c r="I201" s="3777"/>
      <c r="J201" s="3777"/>
      <c r="K201" s="3777"/>
      <c r="L201" s="3777"/>
      <c r="M201" s="3777"/>
      <c r="N201" s="3777"/>
      <c r="O201" s="3777"/>
      <c r="P201" s="3777"/>
      <c r="Q201" s="3777"/>
      <c r="R201" s="3777"/>
      <c r="S201" s="3777"/>
      <c r="T201" s="3777"/>
      <c r="U201" s="3777"/>
      <c r="V201" s="3777"/>
      <c r="W201" s="3777"/>
      <c r="X201" s="3777"/>
      <c r="Y201" s="3777"/>
      <c r="Z201" s="3777"/>
      <c r="AA201" s="3777"/>
      <c r="AB201" s="3777"/>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6">
        <f t="shared" si="94"/>
        <v>0</v>
      </c>
      <c r="H202" s="1256">
        <f t="shared" si="95"/>
        <v>0</v>
      </c>
      <c r="I202" s="3777"/>
      <c r="J202" s="3777"/>
      <c r="K202" s="3777"/>
      <c r="L202" s="3777"/>
      <c r="M202" s="3777"/>
      <c r="N202" s="3777"/>
      <c r="O202" s="3777"/>
      <c r="P202" s="3777"/>
      <c r="Q202" s="3777"/>
      <c r="R202" s="3777"/>
      <c r="S202" s="3777"/>
      <c r="T202" s="3777"/>
      <c r="U202" s="3777"/>
      <c r="V202" s="3777"/>
      <c r="W202" s="3777"/>
      <c r="X202" s="3777"/>
      <c r="Y202" s="3777"/>
      <c r="Z202" s="3777"/>
      <c r="AA202" s="3777"/>
      <c r="AB202" s="3777"/>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6">
        <f t="shared" si="94"/>
        <v>0</v>
      </c>
      <c r="H203" s="1256">
        <f t="shared" si="95"/>
        <v>0</v>
      </c>
      <c r="I203" s="3777"/>
      <c r="J203" s="3777"/>
      <c r="K203" s="3777"/>
      <c r="L203" s="3777"/>
      <c r="M203" s="3777"/>
      <c r="N203" s="3777"/>
      <c r="O203" s="3777"/>
      <c r="P203" s="3777"/>
      <c r="Q203" s="3777"/>
      <c r="R203" s="3777"/>
      <c r="S203" s="3777"/>
      <c r="T203" s="3777"/>
      <c r="U203" s="3777"/>
      <c r="V203" s="3777"/>
      <c r="W203" s="3777"/>
      <c r="X203" s="3777"/>
      <c r="Y203" s="3777"/>
      <c r="Z203" s="3777"/>
      <c r="AA203" s="3777"/>
      <c r="AB203" s="3777"/>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6">
        <f t="shared" si="94"/>
        <v>0</v>
      </c>
      <c r="H204" s="1256">
        <f t="shared" si="95"/>
        <v>0</v>
      </c>
      <c r="I204" s="3777"/>
      <c r="J204" s="3777"/>
      <c r="K204" s="3777"/>
      <c r="L204" s="3777"/>
      <c r="M204" s="3777"/>
      <c r="N204" s="3777"/>
      <c r="O204" s="3777"/>
      <c r="P204" s="3777"/>
      <c r="Q204" s="3777"/>
      <c r="R204" s="3777"/>
      <c r="S204" s="3777"/>
      <c r="T204" s="3777"/>
      <c r="U204" s="3777"/>
      <c r="V204" s="3777"/>
      <c r="W204" s="3777"/>
      <c r="X204" s="3777"/>
      <c r="Y204" s="3777"/>
      <c r="Z204" s="3777"/>
      <c r="AA204" s="3777"/>
      <c r="AB204" s="3777"/>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6">
        <f t="shared" si="94"/>
        <v>0</v>
      </c>
      <c r="H205" s="1256">
        <f t="shared" si="95"/>
        <v>0</v>
      </c>
      <c r="I205" s="3777"/>
      <c r="J205" s="3777"/>
      <c r="K205" s="3777"/>
      <c r="L205" s="3777"/>
      <c r="M205" s="3777"/>
      <c r="N205" s="3777"/>
      <c r="O205" s="3777"/>
      <c r="P205" s="3777"/>
      <c r="Q205" s="3777"/>
      <c r="R205" s="3777"/>
      <c r="S205" s="3777"/>
      <c r="T205" s="3777"/>
      <c r="U205" s="3777"/>
      <c r="V205" s="3777"/>
      <c r="W205" s="3777"/>
      <c r="X205" s="3777"/>
      <c r="Y205" s="3777"/>
      <c r="Z205" s="3777"/>
      <c r="AA205" s="3777"/>
      <c r="AB205" s="3777"/>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6">
        <f>H206+AC206+AT206</f>
        <v>0</v>
      </c>
      <c r="H206" s="1256">
        <f>SUMIF(I$12:AB$12,"总值",I206:AB206)</f>
        <v>0</v>
      </c>
      <c r="I206" s="3777"/>
      <c r="J206" s="3777"/>
      <c r="K206" s="3777"/>
      <c r="L206" s="3777"/>
      <c r="M206" s="3777"/>
      <c r="N206" s="3777"/>
      <c r="O206" s="3777"/>
      <c r="P206" s="3777"/>
      <c r="Q206" s="3777"/>
      <c r="R206" s="3777"/>
      <c r="S206" s="3777"/>
      <c r="T206" s="3777"/>
      <c r="U206" s="3777"/>
      <c r="V206" s="3777"/>
      <c r="W206" s="3777"/>
      <c r="X206" s="3777"/>
      <c r="Y206" s="3777"/>
      <c r="Z206" s="3777"/>
      <c r="AA206" s="3777"/>
      <c r="AB206" s="3777"/>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6">
        <f>H207+AC207+AT207</f>
        <v>0</v>
      </c>
      <c r="H207" s="1256">
        <f>SUMIF(I$12:AB$12,"总值",I207:AB207)</f>
        <v>0</v>
      </c>
      <c r="I207" s="3777"/>
      <c r="J207" s="3777"/>
      <c r="K207" s="3777"/>
      <c r="L207" s="3777"/>
      <c r="M207" s="3777"/>
      <c r="N207" s="3777"/>
      <c r="O207" s="3777"/>
      <c r="P207" s="3777"/>
      <c r="Q207" s="3777"/>
      <c r="R207" s="3777"/>
      <c r="S207" s="3777"/>
      <c r="T207" s="3777"/>
      <c r="U207" s="3777"/>
      <c r="V207" s="3777"/>
      <c r="W207" s="3777"/>
      <c r="X207" s="3777"/>
      <c r="Y207" s="3777"/>
      <c r="Z207" s="3777"/>
      <c r="AA207" s="3777"/>
      <c r="AB207" s="3777"/>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6">
        <f t="shared" ref="G208:G299" si="124">H208+AC208+AT208</f>
        <v>0</v>
      </c>
      <c r="H208" s="1256">
        <f t="shared" ref="H208:H299" si="125">SUMIF(I$12:AB$12,"总值",I208:AB208)</f>
        <v>0</v>
      </c>
      <c r="I208" s="3777"/>
      <c r="J208" s="3777"/>
      <c r="K208" s="3777"/>
      <c r="L208" s="3777"/>
      <c r="M208" s="3777"/>
      <c r="N208" s="3777"/>
      <c r="O208" s="3777"/>
      <c r="P208" s="3777"/>
      <c r="Q208" s="3777"/>
      <c r="R208" s="3777"/>
      <c r="S208" s="3777"/>
      <c r="T208" s="3777"/>
      <c r="U208" s="3777"/>
      <c r="V208" s="3777"/>
      <c r="W208" s="3777"/>
      <c r="X208" s="3777"/>
      <c r="Y208" s="3777"/>
      <c r="Z208" s="3777"/>
      <c r="AA208" s="3777"/>
      <c r="AB208" s="3777"/>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6">
        <f t="shared" si="124"/>
        <v>0</v>
      </c>
      <c r="H209" s="1256">
        <f t="shared" si="125"/>
        <v>0</v>
      </c>
      <c r="I209" s="3777"/>
      <c r="J209" s="3777"/>
      <c r="K209" s="3777"/>
      <c r="L209" s="3777"/>
      <c r="M209" s="3777"/>
      <c r="N209" s="3777"/>
      <c r="O209" s="3777"/>
      <c r="P209" s="3777"/>
      <c r="Q209" s="3777"/>
      <c r="R209" s="3777"/>
      <c r="S209" s="3777"/>
      <c r="T209" s="3777"/>
      <c r="U209" s="3777"/>
      <c r="V209" s="3777"/>
      <c r="W209" s="3777"/>
      <c r="X209" s="3777"/>
      <c r="Y209" s="3777"/>
      <c r="Z209" s="3777"/>
      <c r="AA209" s="3777"/>
      <c r="AB209" s="3777"/>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6">
        <f t="shared" si="124"/>
        <v>0</v>
      </c>
      <c r="H210" s="1256">
        <f t="shared" si="125"/>
        <v>0</v>
      </c>
      <c r="I210" s="3777"/>
      <c r="J210" s="3777"/>
      <c r="K210" s="3777"/>
      <c r="L210" s="3777"/>
      <c r="M210" s="3777"/>
      <c r="N210" s="3777"/>
      <c r="O210" s="3777"/>
      <c r="P210" s="3777"/>
      <c r="Q210" s="3777"/>
      <c r="R210" s="3777"/>
      <c r="S210" s="3777"/>
      <c r="T210" s="3777"/>
      <c r="U210" s="3777"/>
      <c r="V210" s="3777"/>
      <c r="W210" s="3777"/>
      <c r="X210" s="3777"/>
      <c r="Y210" s="3777"/>
      <c r="Z210" s="3777"/>
      <c r="AA210" s="3777"/>
      <c r="AB210" s="3777"/>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6">
        <f t="shared" si="124"/>
        <v>0</v>
      </c>
      <c r="H211" s="1256">
        <f t="shared" si="125"/>
        <v>0</v>
      </c>
      <c r="I211" s="3777"/>
      <c r="J211" s="3777"/>
      <c r="K211" s="3777"/>
      <c r="L211" s="3777"/>
      <c r="M211" s="3777"/>
      <c r="N211" s="3777"/>
      <c r="O211" s="3777"/>
      <c r="P211" s="3777"/>
      <c r="Q211" s="3777"/>
      <c r="R211" s="3777"/>
      <c r="S211" s="3777"/>
      <c r="T211" s="3777"/>
      <c r="U211" s="3777"/>
      <c r="V211" s="3777"/>
      <c r="W211" s="3777"/>
      <c r="X211" s="3777"/>
      <c r="Y211" s="3777"/>
      <c r="Z211" s="3777"/>
      <c r="AA211" s="3777"/>
      <c r="AB211" s="3777"/>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6">
        <f t="shared" si="124"/>
        <v>0</v>
      </c>
      <c r="H212" s="1256">
        <f t="shared" si="125"/>
        <v>0</v>
      </c>
      <c r="I212" s="3777"/>
      <c r="J212" s="3777"/>
      <c r="K212" s="3777"/>
      <c r="L212" s="3777"/>
      <c r="M212" s="3777"/>
      <c r="N212" s="3777"/>
      <c r="O212" s="3777"/>
      <c r="P212" s="3777"/>
      <c r="Q212" s="3777"/>
      <c r="R212" s="3777"/>
      <c r="S212" s="3777"/>
      <c r="T212" s="3777"/>
      <c r="U212" s="3777"/>
      <c r="V212" s="3777"/>
      <c r="W212" s="3777"/>
      <c r="X212" s="3777"/>
      <c r="Y212" s="3777"/>
      <c r="Z212" s="3777"/>
      <c r="AA212" s="3777"/>
      <c r="AB212" s="3777"/>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6">
        <f t="shared" si="124"/>
        <v>0</v>
      </c>
      <c r="H213" s="1256">
        <f t="shared" si="125"/>
        <v>0</v>
      </c>
      <c r="I213" s="3777"/>
      <c r="J213" s="3777"/>
      <c r="K213" s="3777"/>
      <c r="L213" s="3777"/>
      <c r="M213" s="3777"/>
      <c r="N213" s="3777"/>
      <c r="O213" s="3777"/>
      <c r="P213" s="3777"/>
      <c r="Q213" s="3777"/>
      <c r="R213" s="3777"/>
      <c r="S213" s="3777"/>
      <c r="T213" s="3777"/>
      <c r="U213" s="3777"/>
      <c r="V213" s="3777"/>
      <c r="W213" s="3777"/>
      <c r="X213" s="3777"/>
      <c r="Y213" s="3777"/>
      <c r="Z213" s="3777"/>
      <c r="AA213" s="3777"/>
      <c r="AB213" s="3777"/>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6">
        <f t="shared" si="124"/>
        <v>0</v>
      </c>
      <c r="H214" s="1256">
        <f t="shared" si="125"/>
        <v>0</v>
      </c>
      <c r="I214" s="3777"/>
      <c r="J214" s="3777"/>
      <c r="K214" s="3777"/>
      <c r="L214" s="3777"/>
      <c r="M214" s="3777"/>
      <c r="N214" s="3777"/>
      <c r="O214" s="3777"/>
      <c r="P214" s="3777"/>
      <c r="Q214" s="3777"/>
      <c r="R214" s="3777"/>
      <c r="S214" s="3777"/>
      <c r="T214" s="3777"/>
      <c r="U214" s="3777"/>
      <c r="V214" s="3777"/>
      <c r="W214" s="3777"/>
      <c r="X214" s="3777"/>
      <c r="Y214" s="3777"/>
      <c r="Z214" s="3777"/>
      <c r="AA214" s="3777"/>
      <c r="AB214" s="3777"/>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6">
        <f t="shared" si="124"/>
        <v>0</v>
      </c>
      <c r="H215" s="1256">
        <f t="shared" si="125"/>
        <v>0</v>
      </c>
      <c r="I215" s="3777"/>
      <c r="J215" s="3777"/>
      <c r="K215" s="3777"/>
      <c r="L215" s="3777"/>
      <c r="M215" s="3777"/>
      <c r="N215" s="3777"/>
      <c r="O215" s="3777"/>
      <c r="P215" s="3777"/>
      <c r="Q215" s="3777"/>
      <c r="R215" s="3777"/>
      <c r="S215" s="3777"/>
      <c r="T215" s="3777"/>
      <c r="U215" s="3777"/>
      <c r="V215" s="3777"/>
      <c r="W215" s="3777"/>
      <c r="X215" s="3777"/>
      <c r="Y215" s="3777"/>
      <c r="Z215" s="3777"/>
      <c r="AA215" s="3777"/>
      <c r="AB215" s="3777"/>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6">
        <f t="shared" si="124"/>
        <v>0</v>
      </c>
      <c r="H216" s="1256">
        <f t="shared" si="125"/>
        <v>0</v>
      </c>
      <c r="I216" s="3777"/>
      <c r="J216" s="3777"/>
      <c r="K216" s="3777"/>
      <c r="L216" s="3777"/>
      <c r="M216" s="3777"/>
      <c r="N216" s="3777"/>
      <c r="O216" s="3777"/>
      <c r="P216" s="3777"/>
      <c r="Q216" s="3777"/>
      <c r="R216" s="3777"/>
      <c r="S216" s="3777"/>
      <c r="T216" s="3777"/>
      <c r="U216" s="3777"/>
      <c r="V216" s="3777"/>
      <c r="W216" s="3777"/>
      <c r="X216" s="3777"/>
      <c r="Y216" s="3777"/>
      <c r="Z216" s="3777"/>
      <c r="AA216" s="3777"/>
      <c r="AB216" s="3777"/>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6">
        <f t="shared" si="124"/>
        <v>0</v>
      </c>
      <c r="H217" s="1256">
        <f t="shared" si="125"/>
        <v>0</v>
      </c>
      <c r="I217" s="3777"/>
      <c r="J217" s="3777"/>
      <c r="K217" s="3777"/>
      <c r="L217" s="3777"/>
      <c r="M217" s="3777"/>
      <c r="N217" s="3777"/>
      <c r="O217" s="3777"/>
      <c r="P217" s="3777"/>
      <c r="Q217" s="3777"/>
      <c r="R217" s="3777"/>
      <c r="S217" s="3777"/>
      <c r="T217" s="3777"/>
      <c r="U217" s="3777"/>
      <c r="V217" s="3777"/>
      <c r="W217" s="3777"/>
      <c r="X217" s="3777"/>
      <c r="Y217" s="3777"/>
      <c r="Z217" s="3777"/>
      <c r="AA217" s="3777"/>
      <c r="AB217" s="3777"/>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6">
        <f t="shared" si="124"/>
        <v>0</v>
      </c>
      <c r="H218" s="1256">
        <f t="shared" si="125"/>
        <v>0</v>
      </c>
      <c r="I218" s="3777"/>
      <c r="J218" s="3777"/>
      <c r="K218" s="3777"/>
      <c r="L218" s="3777"/>
      <c r="M218" s="3777"/>
      <c r="N218" s="3777"/>
      <c r="O218" s="3777"/>
      <c r="P218" s="3777"/>
      <c r="Q218" s="3777"/>
      <c r="R218" s="3777"/>
      <c r="S218" s="3777"/>
      <c r="T218" s="3777"/>
      <c r="U218" s="3777"/>
      <c r="V218" s="3777"/>
      <c r="W218" s="3777"/>
      <c r="X218" s="3777"/>
      <c r="Y218" s="3777"/>
      <c r="Z218" s="3777"/>
      <c r="AA218" s="3777"/>
      <c r="AB218" s="3777"/>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6">
        <f t="shared" si="124"/>
        <v>0</v>
      </c>
      <c r="H219" s="1256">
        <f t="shared" si="125"/>
        <v>0</v>
      </c>
      <c r="I219" s="3777"/>
      <c r="J219" s="3777"/>
      <c r="K219" s="3777"/>
      <c r="L219" s="3777"/>
      <c r="M219" s="3777"/>
      <c r="N219" s="3777"/>
      <c r="O219" s="3777"/>
      <c r="P219" s="3777"/>
      <c r="Q219" s="3777"/>
      <c r="R219" s="3777"/>
      <c r="S219" s="3777"/>
      <c r="T219" s="3777"/>
      <c r="U219" s="3777"/>
      <c r="V219" s="3777"/>
      <c r="W219" s="3777"/>
      <c r="X219" s="3777"/>
      <c r="Y219" s="3777"/>
      <c r="Z219" s="3777"/>
      <c r="AA219" s="3777"/>
      <c r="AB219" s="3777"/>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6">
        <f t="shared" si="124"/>
        <v>0</v>
      </c>
      <c r="H220" s="1256">
        <f t="shared" si="125"/>
        <v>0</v>
      </c>
      <c r="I220" s="3777"/>
      <c r="J220" s="3777"/>
      <c r="K220" s="3777"/>
      <c r="L220" s="3777"/>
      <c r="M220" s="3777"/>
      <c r="N220" s="3777"/>
      <c r="O220" s="3777"/>
      <c r="P220" s="3777"/>
      <c r="Q220" s="3777"/>
      <c r="R220" s="3777"/>
      <c r="S220" s="3777"/>
      <c r="T220" s="3777"/>
      <c r="U220" s="3777"/>
      <c r="V220" s="3777"/>
      <c r="W220" s="3777"/>
      <c r="X220" s="3777"/>
      <c r="Y220" s="3777"/>
      <c r="Z220" s="3777"/>
      <c r="AA220" s="3777"/>
      <c r="AB220" s="3777"/>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6">
        <f t="shared" si="124"/>
        <v>0</v>
      </c>
      <c r="H221" s="1256">
        <f t="shared" si="125"/>
        <v>0</v>
      </c>
      <c r="I221" s="3777"/>
      <c r="J221" s="3777"/>
      <c r="K221" s="3777"/>
      <c r="L221" s="3777"/>
      <c r="M221" s="3777"/>
      <c r="N221" s="3777"/>
      <c r="O221" s="3777"/>
      <c r="P221" s="3777"/>
      <c r="Q221" s="3777"/>
      <c r="R221" s="3777"/>
      <c r="S221" s="3777"/>
      <c r="T221" s="3777"/>
      <c r="U221" s="3777"/>
      <c r="V221" s="3777"/>
      <c r="W221" s="3777"/>
      <c r="X221" s="3777"/>
      <c r="Y221" s="3777"/>
      <c r="Z221" s="3777"/>
      <c r="AA221" s="3777"/>
      <c r="AB221" s="3777"/>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6">
        <f t="shared" si="124"/>
        <v>0</v>
      </c>
      <c r="H222" s="1256">
        <f t="shared" si="125"/>
        <v>0</v>
      </c>
      <c r="I222" s="3777"/>
      <c r="J222" s="3777"/>
      <c r="K222" s="3777"/>
      <c r="L222" s="3777"/>
      <c r="M222" s="3777"/>
      <c r="N222" s="3777"/>
      <c r="O222" s="3777"/>
      <c r="P222" s="3777"/>
      <c r="Q222" s="3777"/>
      <c r="R222" s="3777"/>
      <c r="S222" s="3777"/>
      <c r="T222" s="3777"/>
      <c r="U222" s="3777"/>
      <c r="V222" s="3777"/>
      <c r="W222" s="3777"/>
      <c r="X222" s="3777"/>
      <c r="Y222" s="3777"/>
      <c r="Z222" s="3777"/>
      <c r="AA222" s="3777"/>
      <c r="AB222" s="3777"/>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6">
        <f t="shared" si="124"/>
        <v>0</v>
      </c>
      <c r="H223" s="1256">
        <f t="shared" si="125"/>
        <v>0</v>
      </c>
      <c r="I223" s="3777"/>
      <c r="J223" s="3777"/>
      <c r="K223" s="3777"/>
      <c r="L223" s="3777"/>
      <c r="M223" s="3777"/>
      <c r="N223" s="3777"/>
      <c r="O223" s="3777"/>
      <c r="P223" s="3777"/>
      <c r="Q223" s="3777"/>
      <c r="R223" s="3777"/>
      <c r="S223" s="3777"/>
      <c r="T223" s="3777"/>
      <c r="U223" s="3777"/>
      <c r="V223" s="3777"/>
      <c r="W223" s="3777"/>
      <c r="X223" s="3777"/>
      <c r="Y223" s="3777"/>
      <c r="Z223" s="3777"/>
      <c r="AA223" s="3777"/>
      <c r="AB223" s="3777"/>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6">
        <f t="shared" si="124"/>
        <v>0</v>
      </c>
      <c r="H224" s="1256">
        <f t="shared" si="125"/>
        <v>0</v>
      </c>
      <c r="I224" s="3777"/>
      <c r="J224" s="3777"/>
      <c r="K224" s="3777"/>
      <c r="L224" s="3777"/>
      <c r="M224" s="3777"/>
      <c r="N224" s="3777"/>
      <c r="O224" s="3777"/>
      <c r="P224" s="3777"/>
      <c r="Q224" s="3777"/>
      <c r="R224" s="3777"/>
      <c r="S224" s="3777"/>
      <c r="T224" s="3777"/>
      <c r="U224" s="3777"/>
      <c r="V224" s="3777"/>
      <c r="W224" s="3777"/>
      <c r="X224" s="3777"/>
      <c r="Y224" s="3777"/>
      <c r="Z224" s="3777"/>
      <c r="AA224" s="3777"/>
      <c r="AB224" s="3777"/>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6">
        <f t="shared" si="124"/>
        <v>0</v>
      </c>
      <c r="H225" s="1256">
        <f t="shared" si="125"/>
        <v>0</v>
      </c>
      <c r="I225" s="3777"/>
      <c r="J225" s="3777"/>
      <c r="K225" s="3777"/>
      <c r="L225" s="3777"/>
      <c r="M225" s="3777"/>
      <c r="N225" s="3777"/>
      <c r="O225" s="3777"/>
      <c r="P225" s="3777"/>
      <c r="Q225" s="3777"/>
      <c r="R225" s="3777"/>
      <c r="S225" s="3777"/>
      <c r="T225" s="3777"/>
      <c r="U225" s="3777"/>
      <c r="V225" s="3777"/>
      <c r="W225" s="3777"/>
      <c r="X225" s="3777"/>
      <c r="Y225" s="3777"/>
      <c r="Z225" s="3777"/>
      <c r="AA225" s="3777"/>
      <c r="AB225" s="3777"/>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6">
        <f t="shared" si="124"/>
        <v>0</v>
      </c>
      <c r="H226" s="1256">
        <f t="shared" si="125"/>
        <v>0</v>
      </c>
      <c r="I226" s="3777"/>
      <c r="J226" s="3777"/>
      <c r="K226" s="3777"/>
      <c r="L226" s="3777"/>
      <c r="M226" s="3777"/>
      <c r="N226" s="3777"/>
      <c r="O226" s="3777"/>
      <c r="P226" s="3777"/>
      <c r="Q226" s="3777"/>
      <c r="R226" s="3777"/>
      <c r="S226" s="3777"/>
      <c r="T226" s="3777"/>
      <c r="U226" s="3777"/>
      <c r="V226" s="3777"/>
      <c r="W226" s="3777"/>
      <c r="X226" s="3777"/>
      <c r="Y226" s="3777"/>
      <c r="Z226" s="3777"/>
      <c r="AA226" s="3777"/>
      <c r="AB226" s="3777"/>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6">
        <f t="shared" si="124"/>
        <v>0</v>
      </c>
      <c r="H227" s="1256">
        <f t="shared" si="125"/>
        <v>0</v>
      </c>
      <c r="I227" s="3777"/>
      <c r="J227" s="3777"/>
      <c r="K227" s="3777"/>
      <c r="L227" s="3777"/>
      <c r="M227" s="3777"/>
      <c r="N227" s="3777"/>
      <c r="O227" s="3777"/>
      <c r="P227" s="3777"/>
      <c r="Q227" s="3777"/>
      <c r="R227" s="3777"/>
      <c r="S227" s="3777"/>
      <c r="T227" s="3777"/>
      <c r="U227" s="3777"/>
      <c r="V227" s="3777"/>
      <c r="W227" s="3777"/>
      <c r="X227" s="3777"/>
      <c r="Y227" s="3777"/>
      <c r="Z227" s="3777"/>
      <c r="AA227" s="3777"/>
      <c r="AB227" s="3777"/>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6">
        <f t="shared" si="124"/>
        <v>0</v>
      </c>
      <c r="H228" s="1256">
        <f t="shared" si="125"/>
        <v>0</v>
      </c>
      <c r="I228" s="3777"/>
      <c r="J228" s="3777"/>
      <c r="K228" s="3777"/>
      <c r="L228" s="3777"/>
      <c r="M228" s="3777"/>
      <c r="N228" s="3777"/>
      <c r="O228" s="3777"/>
      <c r="P228" s="3777"/>
      <c r="Q228" s="3777"/>
      <c r="R228" s="3777"/>
      <c r="S228" s="3777"/>
      <c r="T228" s="3777"/>
      <c r="U228" s="3777"/>
      <c r="V228" s="3777"/>
      <c r="W228" s="3777"/>
      <c r="X228" s="3777"/>
      <c r="Y228" s="3777"/>
      <c r="Z228" s="3777"/>
      <c r="AA228" s="3777"/>
      <c r="AB228" s="3777"/>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6">
        <f t="shared" si="124"/>
        <v>0</v>
      </c>
      <c r="H229" s="1256">
        <f t="shared" si="125"/>
        <v>0</v>
      </c>
      <c r="I229" s="3777"/>
      <c r="J229" s="3777"/>
      <c r="K229" s="3777"/>
      <c r="L229" s="3777"/>
      <c r="M229" s="3777"/>
      <c r="N229" s="3777"/>
      <c r="O229" s="3777"/>
      <c r="P229" s="3777"/>
      <c r="Q229" s="3777"/>
      <c r="R229" s="3777"/>
      <c r="S229" s="3777"/>
      <c r="T229" s="3777"/>
      <c r="U229" s="3777"/>
      <c r="V229" s="3777"/>
      <c r="W229" s="3777"/>
      <c r="X229" s="3777"/>
      <c r="Y229" s="3777"/>
      <c r="Z229" s="3777"/>
      <c r="AA229" s="3777"/>
      <c r="AB229" s="3777"/>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6">
        <f t="shared" si="124"/>
        <v>0</v>
      </c>
      <c r="H230" s="1256">
        <f t="shared" si="125"/>
        <v>0</v>
      </c>
      <c r="I230" s="3777"/>
      <c r="J230" s="3777"/>
      <c r="K230" s="3777"/>
      <c r="L230" s="3777"/>
      <c r="M230" s="3777"/>
      <c r="N230" s="3777"/>
      <c r="O230" s="3777"/>
      <c r="P230" s="3777"/>
      <c r="Q230" s="3777"/>
      <c r="R230" s="3777"/>
      <c r="S230" s="3777"/>
      <c r="T230" s="3777"/>
      <c r="U230" s="3777"/>
      <c r="V230" s="3777"/>
      <c r="W230" s="3777"/>
      <c r="X230" s="3777"/>
      <c r="Y230" s="3777"/>
      <c r="Z230" s="3777"/>
      <c r="AA230" s="3777"/>
      <c r="AB230" s="3777"/>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6">
        <f t="shared" si="124"/>
        <v>0</v>
      </c>
      <c r="H231" s="1256">
        <f t="shared" si="125"/>
        <v>0</v>
      </c>
      <c r="I231" s="3777"/>
      <c r="J231" s="3777"/>
      <c r="K231" s="3777"/>
      <c r="L231" s="3777"/>
      <c r="M231" s="3777"/>
      <c r="N231" s="3777"/>
      <c r="O231" s="3777"/>
      <c r="P231" s="3777"/>
      <c r="Q231" s="3777"/>
      <c r="R231" s="3777"/>
      <c r="S231" s="3777"/>
      <c r="T231" s="3777"/>
      <c r="U231" s="3777"/>
      <c r="V231" s="3777"/>
      <c r="W231" s="3777"/>
      <c r="X231" s="3777"/>
      <c r="Y231" s="3777"/>
      <c r="Z231" s="3777"/>
      <c r="AA231" s="3777"/>
      <c r="AB231" s="3777"/>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6">
        <f t="shared" si="124"/>
        <v>0</v>
      </c>
      <c r="H232" s="1256">
        <f t="shared" si="125"/>
        <v>0</v>
      </c>
      <c r="I232" s="3777"/>
      <c r="J232" s="3777"/>
      <c r="K232" s="3777"/>
      <c r="L232" s="3777"/>
      <c r="M232" s="3777"/>
      <c r="N232" s="3777"/>
      <c r="O232" s="3777"/>
      <c r="P232" s="3777"/>
      <c r="Q232" s="3777"/>
      <c r="R232" s="3777"/>
      <c r="S232" s="3777"/>
      <c r="T232" s="3777"/>
      <c r="U232" s="3777"/>
      <c r="V232" s="3777"/>
      <c r="W232" s="3777"/>
      <c r="X232" s="3777"/>
      <c r="Y232" s="3777"/>
      <c r="Z232" s="3777"/>
      <c r="AA232" s="3777"/>
      <c r="AB232" s="3777"/>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6">
        <f t="shared" si="124"/>
        <v>0</v>
      </c>
      <c r="H233" s="1256">
        <f t="shared" si="125"/>
        <v>0</v>
      </c>
      <c r="I233" s="3777"/>
      <c r="J233" s="3777"/>
      <c r="K233" s="3777"/>
      <c r="L233" s="3777"/>
      <c r="M233" s="3777"/>
      <c r="N233" s="3777"/>
      <c r="O233" s="3777"/>
      <c r="P233" s="3777"/>
      <c r="Q233" s="3777"/>
      <c r="R233" s="3777"/>
      <c r="S233" s="3777"/>
      <c r="T233" s="3777"/>
      <c r="U233" s="3777"/>
      <c r="V233" s="3777"/>
      <c r="W233" s="3777"/>
      <c r="X233" s="3777"/>
      <c r="Y233" s="3777"/>
      <c r="Z233" s="3777"/>
      <c r="AA233" s="3777"/>
      <c r="AB233" s="3777"/>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6">
        <f t="shared" si="124"/>
        <v>0</v>
      </c>
      <c r="H234" s="1256">
        <f t="shared" si="125"/>
        <v>0</v>
      </c>
      <c r="I234" s="3777"/>
      <c r="J234" s="3777"/>
      <c r="K234" s="3777"/>
      <c r="L234" s="3777"/>
      <c r="M234" s="3777"/>
      <c r="N234" s="3777"/>
      <c r="O234" s="3777"/>
      <c r="P234" s="3777"/>
      <c r="Q234" s="3777"/>
      <c r="R234" s="3777"/>
      <c r="S234" s="3777"/>
      <c r="T234" s="3777"/>
      <c r="U234" s="3777"/>
      <c r="V234" s="3777"/>
      <c r="W234" s="3777"/>
      <c r="X234" s="3777"/>
      <c r="Y234" s="3777"/>
      <c r="Z234" s="3777"/>
      <c r="AA234" s="3777"/>
      <c r="AB234" s="3777"/>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6">
        <f t="shared" si="124"/>
        <v>0</v>
      </c>
      <c r="H235" s="1256">
        <f t="shared" si="125"/>
        <v>0</v>
      </c>
      <c r="I235" s="3777"/>
      <c r="J235" s="3777"/>
      <c r="K235" s="3777"/>
      <c r="L235" s="3777"/>
      <c r="M235" s="3777"/>
      <c r="N235" s="3777"/>
      <c r="O235" s="3777"/>
      <c r="P235" s="3777"/>
      <c r="Q235" s="3777"/>
      <c r="R235" s="3777"/>
      <c r="S235" s="3777"/>
      <c r="T235" s="3777"/>
      <c r="U235" s="3777"/>
      <c r="V235" s="3777"/>
      <c r="W235" s="3777"/>
      <c r="X235" s="3777"/>
      <c r="Y235" s="3777"/>
      <c r="Z235" s="3777"/>
      <c r="AA235" s="3777"/>
      <c r="AB235" s="3777"/>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6">
        <f t="shared" si="124"/>
        <v>0</v>
      </c>
      <c r="H236" s="1256">
        <f t="shared" si="125"/>
        <v>0</v>
      </c>
      <c r="I236" s="3777"/>
      <c r="J236" s="3777"/>
      <c r="K236" s="3777"/>
      <c r="L236" s="3777"/>
      <c r="M236" s="3777"/>
      <c r="N236" s="3777"/>
      <c r="O236" s="3777"/>
      <c r="P236" s="3777"/>
      <c r="Q236" s="3777"/>
      <c r="R236" s="3777"/>
      <c r="S236" s="3777"/>
      <c r="T236" s="3777"/>
      <c r="U236" s="3777"/>
      <c r="V236" s="3777"/>
      <c r="W236" s="3777"/>
      <c r="X236" s="3777"/>
      <c r="Y236" s="3777"/>
      <c r="Z236" s="3777"/>
      <c r="AA236" s="3777"/>
      <c r="AB236" s="3777"/>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6">
        <f t="shared" si="124"/>
        <v>0</v>
      </c>
      <c r="H237" s="1256">
        <f t="shared" si="125"/>
        <v>0</v>
      </c>
      <c r="I237" s="3777"/>
      <c r="J237" s="3777"/>
      <c r="K237" s="3777"/>
      <c r="L237" s="3777"/>
      <c r="M237" s="3777"/>
      <c r="N237" s="3777"/>
      <c r="O237" s="3777"/>
      <c r="P237" s="3777"/>
      <c r="Q237" s="3777"/>
      <c r="R237" s="3777"/>
      <c r="S237" s="3777"/>
      <c r="T237" s="3777"/>
      <c r="U237" s="3777"/>
      <c r="V237" s="3777"/>
      <c r="W237" s="3777"/>
      <c r="X237" s="3777"/>
      <c r="Y237" s="3777"/>
      <c r="Z237" s="3777"/>
      <c r="AA237" s="3777"/>
      <c r="AB237" s="3777"/>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6">
        <f t="shared" si="124"/>
        <v>0</v>
      </c>
      <c r="H238" s="1256">
        <f t="shared" si="125"/>
        <v>0</v>
      </c>
      <c r="I238" s="3777"/>
      <c r="J238" s="3777"/>
      <c r="K238" s="3777"/>
      <c r="L238" s="3777"/>
      <c r="M238" s="3777"/>
      <c r="N238" s="3777"/>
      <c r="O238" s="3777"/>
      <c r="P238" s="3777"/>
      <c r="Q238" s="3777"/>
      <c r="R238" s="3777"/>
      <c r="S238" s="3777"/>
      <c r="T238" s="3777"/>
      <c r="U238" s="3777"/>
      <c r="V238" s="3777"/>
      <c r="W238" s="3777"/>
      <c r="X238" s="3777"/>
      <c r="Y238" s="3777"/>
      <c r="Z238" s="3777"/>
      <c r="AA238" s="3777"/>
      <c r="AB238" s="3777"/>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6">
        <f t="shared" si="124"/>
        <v>0</v>
      </c>
      <c r="H239" s="1256">
        <f t="shared" si="125"/>
        <v>0</v>
      </c>
      <c r="I239" s="3777"/>
      <c r="J239" s="3777"/>
      <c r="K239" s="3777"/>
      <c r="L239" s="3777"/>
      <c r="M239" s="3777"/>
      <c r="N239" s="3777"/>
      <c r="O239" s="3777"/>
      <c r="P239" s="3777"/>
      <c r="Q239" s="3777"/>
      <c r="R239" s="3777"/>
      <c r="S239" s="3777"/>
      <c r="T239" s="3777"/>
      <c r="U239" s="3777"/>
      <c r="V239" s="3777"/>
      <c r="W239" s="3777"/>
      <c r="X239" s="3777"/>
      <c r="Y239" s="3777"/>
      <c r="Z239" s="3777"/>
      <c r="AA239" s="3777"/>
      <c r="AB239" s="3777"/>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6">
        <f t="shared" si="124"/>
        <v>0</v>
      </c>
      <c r="H240" s="1256">
        <f t="shared" si="125"/>
        <v>0</v>
      </c>
      <c r="I240" s="3777"/>
      <c r="J240" s="3777"/>
      <c r="K240" s="3777"/>
      <c r="L240" s="3777"/>
      <c r="M240" s="3777"/>
      <c r="N240" s="3777"/>
      <c r="O240" s="3777"/>
      <c r="P240" s="3777"/>
      <c r="Q240" s="3777"/>
      <c r="R240" s="3777"/>
      <c r="S240" s="3777"/>
      <c r="T240" s="3777"/>
      <c r="U240" s="3777"/>
      <c r="V240" s="3777"/>
      <c r="W240" s="3777"/>
      <c r="X240" s="3777"/>
      <c r="Y240" s="3777"/>
      <c r="Z240" s="3777"/>
      <c r="AA240" s="3777"/>
      <c r="AB240" s="3777"/>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6">
        <f t="shared" si="124"/>
        <v>0</v>
      </c>
      <c r="H241" s="1256">
        <f t="shared" si="125"/>
        <v>0</v>
      </c>
      <c r="I241" s="3777"/>
      <c r="J241" s="3777"/>
      <c r="K241" s="3777"/>
      <c r="L241" s="3777"/>
      <c r="M241" s="3777"/>
      <c r="N241" s="3777"/>
      <c r="O241" s="3777"/>
      <c r="P241" s="3777"/>
      <c r="Q241" s="3777"/>
      <c r="R241" s="3777"/>
      <c r="S241" s="3777"/>
      <c r="T241" s="3777"/>
      <c r="U241" s="3777"/>
      <c r="V241" s="3777"/>
      <c r="W241" s="3777"/>
      <c r="X241" s="3777"/>
      <c r="Y241" s="3777"/>
      <c r="Z241" s="3777"/>
      <c r="AA241" s="3777"/>
      <c r="AB241" s="3777"/>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6">
        <f t="shared" si="124"/>
        <v>0</v>
      </c>
      <c r="H242" s="1256">
        <f t="shared" si="125"/>
        <v>0</v>
      </c>
      <c r="I242" s="3777"/>
      <c r="J242" s="3777"/>
      <c r="K242" s="3777"/>
      <c r="L242" s="3777"/>
      <c r="M242" s="3777"/>
      <c r="N242" s="3777"/>
      <c r="O242" s="3777"/>
      <c r="P242" s="3777"/>
      <c r="Q242" s="3777"/>
      <c r="R242" s="3777"/>
      <c r="S242" s="3777"/>
      <c r="T242" s="3777"/>
      <c r="U242" s="3777"/>
      <c r="V242" s="3777"/>
      <c r="W242" s="3777"/>
      <c r="X242" s="3777"/>
      <c r="Y242" s="3777"/>
      <c r="Z242" s="3777"/>
      <c r="AA242" s="3777"/>
      <c r="AB242" s="3777"/>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6">
        <f t="shared" si="124"/>
        <v>0</v>
      </c>
      <c r="H243" s="1256">
        <f t="shared" si="125"/>
        <v>0</v>
      </c>
      <c r="I243" s="3777"/>
      <c r="J243" s="3777"/>
      <c r="K243" s="3777"/>
      <c r="L243" s="3777"/>
      <c r="M243" s="3777"/>
      <c r="N243" s="3777"/>
      <c r="O243" s="3777"/>
      <c r="P243" s="3777"/>
      <c r="Q243" s="3777"/>
      <c r="R243" s="3777"/>
      <c r="S243" s="3777"/>
      <c r="T243" s="3777"/>
      <c r="U243" s="3777"/>
      <c r="V243" s="3777"/>
      <c r="W243" s="3777"/>
      <c r="X243" s="3777"/>
      <c r="Y243" s="3777"/>
      <c r="Z243" s="3777"/>
      <c r="AA243" s="3777"/>
      <c r="AB243" s="3777"/>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6">
        <f t="shared" si="124"/>
        <v>0</v>
      </c>
      <c r="H244" s="1256">
        <f t="shared" si="125"/>
        <v>0</v>
      </c>
      <c r="I244" s="3777"/>
      <c r="J244" s="3777"/>
      <c r="K244" s="3777"/>
      <c r="L244" s="3777"/>
      <c r="M244" s="3777"/>
      <c r="N244" s="3777"/>
      <c r="O244" s="3777"/>
      <c r="P244" s="3777"/>
      <c r="Q244" s="3777"/>
      <c r="R244" s="3777"/>
      <c r="S244" s="3777"/>
      <c r="T244" s="3777"/>
      <c r="U244" s="3777"/>
      <c r="V244" s="3777"/>
      <c r="W244" s="3777"/>
      <c r="X244" s="3777"/>
      <c r="Y244" s="3777"/>
      <c r="Z244" s="3777"/>
      <c r="AA244" s="3777"/>
      <c r="AB244" s="3777"/>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6">
        <f t="shared" si="124"/>
        <v>0</v>
      </c>
      <c r="H245" s="1256">
        <f t="shared" si="125"/>
        <v>0</v>
      </c>
      <c r="I245" s="3777"/>
      <c r="J245" s="3777"/>
      <c r="K245" s="3777"/>
      <c r="L245" s="3777"/>
      <c r="M245" s="3777"/>
      <c r="N245" s="3777"/>
      <c r="O245" s="3777"/>
      <c r="P245" s="3777"/>
      <c r="Q245" s="3777"/>
      <c r="R245" s="3777"/>
      <c r="S245" s="3777"/>
      <c r="T245" s="3777"/>
      <c r="U245" s="3777"/>
      <c r="V245" s="3777"/>
      <c r="W245" s="3777"/>
      <c r="X245" s="3777"/>
      <c r="Y245" s="3777"/>
      <c r="Z245" s="3777"/>
      <c r="AA245" s="3777"/>
      <c r="AB245" s="3777"/>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6">
        <f t="shared" si="124"/>
        <v>0</v>
      </c>
      <c r="H246" s="1256">
        <f t="shared" si="125"/>
        <v>0</v>
      </c>
      <c r="I246" s="3777"/>
      <c r="J246" s="3777"/>
      <c r="K246" s="3777"/>
      <c r="L246" s="3777"/>
      <c r="M246" s="3777"/>
      <c r="N246" s="3777"/>
      <c r="O246" s="3777"/>
      <c r="P246" s="3777"/>
      <c r="Q246" s="3777"/>
      <c r="R246" s="3777"/>
      <c r="S246" s="3777"/>
      <c r="T246" s="3777"/>
      <c r="U246" s="3777"/>
      <c r="V246" s="3777"/>
      <c r="W246" s="3777"/>
      <c r="X246" s="3777"/>
      <c r="Y246" s="3777"/>
      <c r="Z246" s="3777"/>
      <c r="AA246" s="3777"/>
      <c r="AB246" s="3777"/>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6">
        <f t="shared" si="124"/>
        <v>0</v>
      </c>
      <c r="H247" s="1256">
        <f t="shared" si="125"/>
        <v>0</v>
      </c>
      <c r="I247" s="3777"/>
      <c r="J247" s="3777"/>
      <c r="K247" s="3777"/>
      <c r="L247" s="3777"/>
      <c r="M247" s="3777"/>
      <c r="N247" s="3777"/>
      <c r="O247" s="3777"/>
      <c r="P247" s="3777"/>
      <c r="Q247" s="3777"/>
      <c r="R247" s="3777"/>
      <c r="S247" s="3777"/>
      <c r="T247" s="3777"/>
      <c r="U247" s="3777"/>
      <c r="V247" s="3777"/>
      <c r="W247" s="3777"/>
      <c r="X247" s="3777"/>
      <c r="Y247" s="3777"/>
      <c r="Z247" s="3777"/>
      <c r="AA247" s="3777"/>
      <c r="AB247" s="3777"/>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6">
        <f t="shared" si="124"/>
        <v>0</v>
      </c>
      <c r="H248" s="1256">
        <f t="shared" si="125"/>
        <v>0</v>
      </c>
      <c r="I248" s="3777"/>
      <c r="J248" s="3777"/>
      <c r="K248" s="3777"/>
      <c r="L248" s="3777"/>
      <c r="M248" s="3777"/>
      <c r="N248" s="3777"/>
      <c r="O248" s="3777"/>
      <c r="P248" s="3777"/>
      <c r="Q248" s="3777"/>
      <c r="R248" s="3777"/>
      <c r="S248" s="3777"/>
      <c r="T248" s="3777"/>
      <c r="U248" s="3777"/>
      <c r="V248" s="3777"/>
      <c r="W248" s="3777"/>
      <c r="X248" s="3777"/>
      <c r="Y248" s="3777"/>
      <c r="Z248" s="3777"/>
      <c r="AA248" s="3777"/>
      <c r="AB248" s="3777"/>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6">
        <f t="shared" si="124"/>
        <v>0</v>
      </c>
      <c r="H249" s="1256">
        <f t="shared" si="125"/>
        <v>0</v>
      </c>
      <c r="I249" s="3777"/>
      <c r="J249" s="3777"/>
      <c r="K249" s="3777"/>
      <c r="L249" s="3777"/>
      <c r="M249" s="3777"/>
      <c r="N249" s="3777"/>
      <c r="O249" s="3777"/>
      <c r="P249" s="3777"/>
      <c r="Q249" s="3777"/>
      <c r="R249" s="3777"/>
      <c r="S249" s="3777"/>
      <c r="T249" s="3777"/>
      <c r="U249" s="3777"/>
      <c r="V249" s="3777"/>
      <c r="W249" s="3777"/>
      <c r="X249" s="3777"/>
      <c r="Y249" s="3777"/>
      <c r="Z249" s="3777"/>
      <c r="AA249" s="3777"/>
      <c r="AB249" s="3777"/>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6">
        <f t="shared" si="124"/>
        <v>0</v>
      </c>
      <c r="H250" s="1256">
        <f t="shared" si="125"/>
        <v>0</v>
      </c>
      <c r="I250" s="3777"/>
      <c r="J250" s="3777"/>
      <c r="K250" s="3777"/>
      <c r="L250" s="3777"/>
      <c r="M250" s="3777"/>
      <c r="N250" s="3777"/>
      <c r="O250" s="3777"/>
      <c r="P250" s="3777"/>
      <c r="Q250" s="3777"/>
      <c r="R250" s="3777"/>
      <c r="S250" s="3777"/>
      <c r="T250" s="3777"/>
      <c r="U250" s="3777"/>
      <c r="V250" s="3777"/>
      <c r="W250" s="3777"/>
      <c r="X250" s="3777"/>
      <c r="Y250" s="3777"/>
      <c r="Z250" s="3777"/>
      <c r="AA250" s="3777"/>
      <c r="AB250" s="3777"/>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6">
        <f t="shared" si="124"/>
        <v>0</v>
      </c>
      <c r="H251" s="1256">
        <f t="shared" si="125"/>
        <v>0</v>
      </c>
      <c r="I251" s="3777"/>
      <c r="J251" s="3777"/>
      <c r="K251" s="3777"/>
      <c r="L251" s="3777"/>
      <c r="M251" s="3777"/>
      <c r="N251" s="3777"/>
      <c r="O251" s="3777"/>
      <c r="P251" s="3777"/>
      <c r="Q251" s="3777"/>
      <c r="R251" s="3777"/>
      <c r="S251" s="3777"/>
      <c r="T251" s="3777"/>
      <c r="U251" s="3777"/>
      <c r="V251" s="3777"/>
      <c r="W251" s="3777"/>
      <c r="X251" s="3777"/>
      <c r="Y251" s="3777"/>
      <c r="Z251" s="3777"/>
      <c r="AA251" s="3777"/>
      <c r="AB251" s="3777"/>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6">
        <f t="shared" si="124"/>
        <v>0</v>
      </c>
      <c r="H252" s="1256">
        <f t="shared" si="125"/>
        <v>0</v>
      </c>
      <c r="I252" s="3777"/>
      <c r="J252" s="3777"/>
      <c r="K252" s="3777"/>
      <c r="L252" s="3777"/>
      <c r="M252" s="3777"/>
      <c r="N252" s="3777"/>
      <c r="O252" s="3777"/>
      <c r="P252" s="3777"/>
      <c r="Q252" s="3777"/>
      <c r="R252" s="3777"/>
      <c r="S252" s="3777"/>
      <c r="T252" s="3777"/>
      <c r="U252" s="3777"/>
      <c r="V252" s="3777"/>
      <c r="W252" s="3777"/>
      <c r="X252" s="3777"/>
      <c r="Y252" s="3777"/>
      <c r="Z252" s="3777"/>
      <c r="AA252" s="3777"/>
      <c r="AB252" s="3777"/>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6">
        <f t="shared" si="124"/>
        <v>0</v>
      </c>
      <c r="H253" s="1256">
        <f t="shared" si="125"/>
        <v>0</v>
      </c>
      <c r="I253" s="3777"/>
      <c r="J253" s="3777"/>
      <c r="K253" s="3777"/>
      <c r="L253" s="3777"/>
      <c r="M253" s="3777"/>
      <c r="N253" s="3777"/>
      <c r="O253" s="3777"/>
      <c r="P253" s="3777"/>
      <c r="Q253" s="3777"/>
      <c r="R253" s="3777"/>
      <c r="S253" s="3777"/>
      <c r="T253" s="3777"/>
      <c r="U253" s="3777"/>
      <c r="V253" s="3777"/>
      <c r="W253" s="3777"/>
      <c r="X253" s="3777"/>
      <c r="Y253" s="3777"/>
      <c r="Z253" s="3777"/>
      <c r="AA253" s="3777"/>
      <c r="AB253" s="3777"/>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6">
        <f t="shared" si="124"/>
        <v>0</v>
      </c>
      <c r="H254" s="1256">
        <f t="shared" si="125"/>
        <v>0</v>
      </c>
      <c r="I254" s="3777"/>
      <c r="J254" s="3777"/>
      <c r="K254" s="3777"/>
      <c r="L254" s="3777"/>
      <c r="M254" s="3777"/>
      <c r="N254" s="3777"/>
      <c r="O254" s="3777"/>
      <c r="P254" s="3777"/>
      <c r="Q254" s="3777"/>
      <c r="R254" s="3777"/>
      <c r="S254" s="3777"/>
      <c r="T254" s="3777"/>
      <c r="U254" s="3777"/>
      <c r="V254" s="3777"/>
      <c r="W254" s="3777"/>
      <c r="X254" s="3777"/>
      <c r="Y254" s="3777"/>
      <c r="Z254" s="3777"/>
      <c r="AA254" s="3777"/>
      <c r="AB254" s="3777"/>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6">
        <f t="shared" si="124"/>
        <v>0</v>
      </c>
      <c r="H255" s="1256">
        <f t="shared" si="125"/>
        <v>0</v>
      </c>
      <c r="I255" s="3777"/>
      <c r="J255" s="3777"/>
      <c r="K255" s="3777"/>
      <c r="L255" s="3777"/>
      <c r="M255" s="3777"/>
      <c r="N255" s="3777"/>
      <c r="O255" s="3777"/>
      <c r="P255" s="3777"/>
      <c r="Q255" s="3777"/>
      <c r="R255" s="3777"/>
      <c r="S255" s="3777"/>
      <c r="T255" s="3777"/>
      <c r="U255" s="3777"/>
      <c r="V255" s="3777"/>
      <c r="W255" s="3777"/>
      <c r="X255" s="3777"/>
      <c r="Y255" s="3777"/>
      <c r="Z255" s="3777"/>
      <c r="AA255" s="3777"/>
      <c r="AB255" s="3777"/>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6">
        <f t="shared" si="124"/>
        <v>0</v>
      </c>
      <c r="H256" s="1256">
        <f t="shared" si="125"/>
        <v>0</v>
      </c>
      <c r="I256" s="3777"/>
      <c r="J256" s="3777"/>
      <c r="K256" s="3777"/>
      <c r="L256" s="3777"/>
      <c r="M256" s="3777"/>
      <c r="N256" s="3777"/>
      <c r="O256" s="3777"/>
      <c r="P256" s="3777"/>
      <c r="Q256" s="3777"/>
      <c r="R256" s="3777"/>
      <c r="S256" s="3777"/>
      <c r="T256" s="3777"/>
      <c r="U256" s="3777"/>
      <c r="V256" s="3777"/>
      <c r="W256" s="3777"/>
      <c r="X256" s="3777"/>
      <c r="Y256" s="3777"/>
      <c r="Z256" s="3777"/>
      <c r="AA256" s="3777"/>
      <c r="AB256" s="3777"/>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6">
        <f t="shared" si="124"/>
        <v>0</v>
      </c>
      <c r="H257" s="1256">
        <f t="shared" si="125"/>
        <v>0</v>
      </c>
      <c r="I257" s="3777"/>
      <c r="J257" s="3777"/>
      <c r="K257" s="3777"/>
      <c r="L257" s="3777"/>
      <c r="M257" s="3777"/>
      <c r="N257" s="3777"/>
      <c r="O257" s="3777"/>
      <c r="P257" s="3777"/>
      <c r="Q257" s="3777"/>
      <c r="R257" s="3777"/>
      <c r="S257" s="3777"/>
      <c r="T257" s="3777"/>
      <c r="U257" s="3777"/>
      <c r="V257" s="3777"/>
      <c r="W257" s="3777"/>
      <c r="X257" s="3777"/>
      <c r="Y257" s="3777"/>
      <c r="Z257" s="3777"/>
      <c r="AA257" s="3777"/>
      <c r="AB257" s="3777"/>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6">
        <f t="shared" si="124"/>
        <v>0</v>
      </c>
      <c r="H258" s="1256">
        <f t="shared" si="125"/>
        <v>0</v>
      </c>
      <c r="I258" s="3777"/>
      <c r="J258" s="3777"/>
      <c r="K258" s="3777"/>
      <c r="L258" s="3777"/>
      <c r="M258" s="3777"/>
      <c r="N258" s="3777"/>
      <c r="O258" s="3777"/>
      <c r="P258" s="3777"/>
      <c r="Q258" s="3777"/>
      <c r="R258" s="3777"/>
      <c r="S258" s="3777"/>
      <c r="T258" s="3777"/>
      <c r="U258" s="3777"/>
      <c r="V258" s="3777"/>
      <c r="W258" s="3777"/>
      <c r="X258" s="3777"/>
      <c r="Y258" s="3777"/>
      <c r="Z258" s="3777"/>
      <c r="AA258" s="3777"/>
      <c r="AB258" s="3777"/>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6">
        <f t="shared" si="124"/>
        <v>0</v>
      </c>
      <c r="H259" s="1256">
        <f t="shared" si="125"/>
        <v>0</v>
      </c>
      <c r="I259" s="3777"/>
      <c r="J259" s="3777"/>
      <c r="K259" s="3777"/>
      <c r="L259" s="3777"/>
      <c r="M259" s="3777"/>
      <c r="N259" s="3777"/>
      <c r="O259" s="3777"/>
      <c r="P259" s="3777"/>
      <c r="Q259" s="3777"/>
      <c r="R259" s="3777"/>
      <c r="S259" s="3777"/>
      <c r="T259" s="3777"/>
      <c r="U259" s="3777"/>
      <c r="V259" s="3777"/>
      <c r="W259" s="3777"/>
      <c r="X259" s="3777"/>
      <c r="Y259" s="3777"/>
      <c r="Z259" s="3777"/>
      <c r="AA259" s="3777"/>
      <c r="AB259" s="3777"/>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6">
        <f t="shared" si="124"/>
        <v>0</v>
      </c>
      <c r="H260" s="1256">
        <f t="shared" si="125"/>
        <v>0</v>
      </c>
      <c r="I260" s="3777"/>
      <c r="J260" s="3777"/>
      <c r="K260" s="3777"/>
      <c r="L260" s="3777"/>
      <c r="M260" s="3777"/>
      <c r="N260" s="3777"/>
      <c r="O260" s="3777"/>
      <c r="P260" s="3777"/>
      <c r="Q260" s="3777"/>
      <c r="R260" s="3777"/>
      <c r="S260" s="3777"/>
      <c r="T260" s="3777"/>
      <c r="U260" s="3777"/>
      <c r="V260" s="3777"/>
      <c r="W260" s="3777"/>
      <c r="X260" s="3777"/>
      <c r="Y260" s="3777"/>
      <c r="Z260" s="3777"/>
      <c r="AA260" s="3777"/>
      <c r="AB260" s="3777"/>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6">
        <f t="shared" si="124"/>
        <v>0</v>
      </c>
      <c r="H261" s="1256">
        <f t="shared" si="125"/>
        <v>0</v>
      </c>
      <c r="I261" s="3777"/>
      <c r="J261" s="3777"/>
      <c r="K261" s="3777"/>
      <c r="L261" s="3777"/>
      <c r="M261" s="3777"/>
      <c r="N261" s="3777"/>
      <c r="O261" s="3777"/>
      <c r="P261" s="3777"/>
      <c r="Q261" s="3777"/>
      <c r="R261" s="3777"/>
      <c r="S261" s="3777"/>
      <c r="T261" s="3777"/>
      <c r="U261" s="3777"/>
      <c r="V261" s="3777"/>
      <c r="W261" s="3777"/>
      <c r="X261" s="3777"/>
      <c r="Y261" s="3777"/>
      <c r="Z261" s="3777"/>
      <c r="AA261" s="3777"/>
      <c r="AB261" s="3777"/>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6">
        <f t="shared" si="124"/>
        <v>0</v>
      </c>
      <c r="H262" s="1256">
        <f t="shared" si="125"/>
        <v>0</v>
      </c>
      <c r="I262" s="3777"/>
      <c r="J262" s="3777"/>
      <c r="K262" s="3777"/>
      <c r="L262" s="3777"/>
      <c r="M262" s="3777"/>
      <c r="N262" s="3777"/>
      <c r="O262" s="3777"/>
      <c r="P262" s="3777"/>
      <c r="Q262" s="3777"/>
      <c r="R262" s="3777"/>
      <c r="S262" s="3777"/>
      <c r="T262" s="3777"/>
      <c r="U262" s="3777"/>
      <c r="V262" s="3777"/>
      <c r="W262" s="3777"/>
      <c r="X262" s="3777"/>
      <c r="Y262" s="3777"/>
      <c r="Z262" s="3777"/>
      <c r="AA262" s="3777"/>
      <c r="AB262" s="3777"/>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6">
        <f t="shared" si="124"/>
        <v>0</v>
      </c>
      <c r="H263" s="1256">
        <f t="shared" si="125"/>
        <v>0</v>
      </c>
      <c r="I263" s="3777"/>
      <c r="J263" s="3777"/>
      <c r="K263" s="3777"/>
      <c r="L263" s="3777"/>
      <c r="M263" s="3777"/>
      <c r="N263" s="3777"/>
      <c r="O263" s="3777"/>
      <c r="P263" s="3777"/>
      <c r="Q263" s="3777"/>
      <c r="R263" s="3777"/>
      <c r="S263" s="3777"/>
      <c r="T263" s="3777"/>
      <c r="U263" s="3777"/>
      <c r="V263" s="3777"/>
      <c r="W263" s="3777"/>
      <c r="X263" s="3777"/>
      <c r="Y263" s="3777"/>
      <c r="Z263" s="3777"/>
      <c r="AA263" s="3777"/>
      <c r="AB263" s="3777"/>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6">
        <f t="shared" si="124"/>
        <v>0</v>
      </c>
      <c r="H264" s="1256">
        <f t="shared" si="125"/>
        <v>0</v>
      </c>
      <c r="I264" s="3777"/>
      <c r="J264" s="3777"/>
      <c r="K264" s="3777"/>
      <c r="L264" s="3777"/>
      <c r="M264" s="3777"/>
      <c r="N264" s="3777"/>
      <c r="O264" s="3777"/>
      <c r="P264" s="3777"/>
      <c r="Q264" s="3777"/>
      <c r="R264" s="3777"/>
      <c r="S264" s="3777"/>
      <c r="T264" s="3777"/>
      <c r="U264" s="3777"/>
      <c r="V264" s="3777"/>
      <c r="W264" s="3777"/>
      <c r="X264" s="3777"/>
      <c r="Y264" s="3777"/>
      <c r="Z264" s="3777"/>
      <c r="AA264" s="3777"/>
      <c r="AB264" s="3777"/>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6">
        <f t="shared" si="124"/>
        <v>0</v>
      </c>
      <c r="H265" s="1256">
        <f t="shared" si="125"/>
        <v>0</v>
      </c>
      <c r="I265" s="3777"/>
      <c r="J265" s="3777"/>
      <c r="K265" s="3777"/>
      <c r="L265" s="3777"/>
      <c r="M265" s="3777"/>
      <c r="N265" s="3777"/>
      <c r="O265" s="3777"/>
      <c r="P265" s="3777"/>
      <c r="Q265" s="3777"/>
      <c r="R265" s="3777"/>
      <c r="S265" s="3777"/>
      <c r="T265" s="3777"/>
      <c r="U265" s="3777"/>
      <c r="V265" s="3777"/>
      <c r="W265" s="3777"/>
      <c r="X265" s="3777"/>
      <c r="Y265" s="3777"/>
      <c r="Z265" s="3777"/>
      <c r="AA265" s="3777"/>
      <c r="AB265" s="3777"/>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6">
        <f t="shared" si="124"/>
        <v>0</v>
      </c>
      <c r="H266" s="1256">
        <f t="shared" si="125"/>
        <v>0</v>
      </c>
      <c r="I266" s="3777"/>
      <c r="J266" s="3777"/>
      <c r="K266" s="3777"/>
      <c r="L266" s="3777"/>
      <c r="M266" s="3777"/>
      <c r="N266" s="3777"/>
      <c r="O266" s="3777"/>
      <c r="P266" s="3777"/>
      <c r="Q266" s="3777"/>
      <c r="R266" s="3777"/>
      <c r="S266" s="3777"/>
      <c r="T266" s="3777"/>
      <c r="U266" s="3777"/>
      <c r="V266" s="3777"/>
      <c r="W266" s="3777"/>
      <c r="X266" s="3777"/>
      <c r="Y266" s="3777"/>
      <c r="Z266" s="3777"/>
      <c r="AA266" s="3777"/>
      <c r="AB266" s="3777"/>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6">
        <f t="shared" si="124"/>
        <v>0</v>
      </c>
      <c r="H267" s="1256">
        <f t="shared" si="125"/>
        <v>0</v>
      </c>
      <c r="I267" s="3777"/>
      <c r="J267" s="3777"/>
      <c r="K267" s="3777"/>
      <c r="L267" s="3777"/>
      <c r="M267" s="3777"/>
      <c r="N267" s="3777"/>
      <c r="O267" s="3777"/>
      <c r="P267" s="3777"/>
      <c r="Q267" s="3777"/>
      <c r="R267" s="3777"/>
      <c r="S267" s="3777"/>
      <c r="T267" s="3777"/>
      <c r="U267" s="3777"/>
      <c r="V267" s="3777"/>
      <c r="W267" s="3777"/>
      <c r="X267" s="3777"/>
      <c r="Y267" s="3777"/>
      <c r="Z267" s="3777"/>
      <c r="AA267" s="3777"/>
      <c r="AB267" s="3777"/>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6">
        <f t="shared" si="124"/>
        <v>0</v>
      </c>
      <c r="H268" s="1256">
        <f t="shared" si="125"/>
        <v>0</v>
      </c>
      <c r="I268" s="3777"/>
      <c r="J268" s="3777"/>
      <c r="K268" s="3777"/>
      <c r="L268" s="3777"/>
      <c r="M268" s="3777"/>
      <c r="N268" s="3777"/>
      <c r="O268" s="3777"/>
      <c r="P268" s="3777"/>
      <c r="Q268" s="3777"/>
      <c r="R268" s="3777"/>
      <c r="S268" s="3777"/>
      <c r="T268" s="3777"/>
      <c r="U268" s="3777"/>
      <c r="V268" s="3777"/>
      <c r="W268" s="3777"/>
      <c r="X268" s="3777"/>
      <c r="Y268" s="3777"/>
      <c r="Z268" s="3777"/>
      <c r="AA268" s="3777"/>
      <c r="AB268" s="3777"/>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6">
        <f t="shared" si="124"/>
        <v>0</v>
      </c>
      <c r="H269" s="1256">
        <f t="shared" si="125"/>
        <v>0</v>
      </c>
      <c r="I269" s="3777"/>
      <c r="J269" s="3777"/>
      <c r="K269" s="3777"/>
      <c r="L269" s="3777"/>
      <c r="M269" s="3777"/>
      <c r="N269" s="3777"/>
      <c r="O269" s="3777"/>
      <c r="P269" s="3777"/>
      <c r="Q269" s="3777"/>
      <c r="R269" s="3777"/>
      <c r="S269" s="3777"/>
      <c r="T269" s="3777"/>
      <c r="U269" s="3777"/>
      <c r="V269" s="3777"/>
      <c r="W269" s="3777"/>
      <c r="X269" s="3777"/>
      <c r="Y269" s="3777"/>
      <c r="Z269" s="3777"/>
      <c r="AA269" s="3777"/>
      <c r="AB269" s="3777"/>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6">
        <f t="shared" si="124"/>
        <v>0</v>
      </c>
      <c r="H270" s="1256">
        <f t="shared" si="125"/>
        <v>0</v>
      </c>
      <c r="I270" s="3777"/>
      <c r="J270" s="3777"/>
      <c r="K270" s="3777"/>
      <c r="L270" s="3777"/>
      <c r="M270" s="3777"/>
      <c r="N270" s="3777"/>
      <c r="O270" s="3777"/>
      <c r="P270" s="3777"/>
      <c r="Q270" s="3777"/>
      <c r="R270" s="3777"/>
      <c r="S270" s="3777"/>
      <c r="T270" s="3777"/>
      <c r="U270" s="3777"/>
      <c r="V270" s="3777"/>
      <c r="W270" s="3777"/>
      <c r="X270" s="3777"/>
      <c r="Y270" s="3777"/>
      <c r="Z270" s="3777"/>
      <c r="AA270" s="3777"/>
      <c r="AB270" s="3777"/>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6">
        <f t="shared" si="124"/>
        <v>0</v>
      </c>
      <c r="H271" s="1256">
        <f t="shared" si="125"/>
        <v>0</v>
      </c>
      <c r="I271" s="3777"/>
      <c r="J271" s="3777"/>
      <c r="K271" s="3777"/>
      <c r="L271" s="3777"/>
      <c r="M271" s="3777"/>
      <c r="N271" s="3777"/>
      <c r="O271" s="3777"/>
      <c r="P271" s="3777"/>
      <c r="Q271" s="3777"/>
      <c r="R271" s="3777"/>
      <c r="S271" s="3777"/>
      <c r="T271" s="3777"/>
      <c r="U271" s="3777"/>
      <c r="V271" s="3777"/>
      <c r="W271" s="3777"/>
      <c r="X271" s="3777"/>
      <c r="Y271" s="3777"/>
      <c r="Z271" s="3777"/>
      <c r="AA271" s="3777"/>
      <c r="AB271" s="3777"/>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6">
        <f t="shared" si="124"/>
        <v>0</v>
      </c>
      <c r="H272" s="1256">
        <f t="shared" si="125"/>
        <v>0</v>
      </c>
      <c r="I272" s="3777"/>
      <c r="J272" s="3777"/>
      <c r="K272" s="3777"/>
      <c r="L272" s="3777"/>
      <c r="M272" s="3777"/>
      <c r="N272" s="3777"/>
      <c r="O272" s="3777"/>
      <c r="P272" s="3777"/>
      <c r="Q272" s="3777"/>
      <c r="R272" s="3777"/>
      <c r="S272" s="3777"/>
      <c r="T272" s="3777"/>
      <c r="U272" s="3777"/>
      <c r="V272" s="3777"/>
      <c r="W272" s="3777"/>
      <c r="X272" s="3777"/>
      <c r="Y272" s="3777"/>
      <c r="Z272" s="3777"/>
      <c r="AA272" s="3777"/>
      <c r="AB272" s="3777"/>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6">
        <f t="shared" si="124"/>
        <v>0</v>
      </c>
      <c r="H273" s="1256">
        <f t="shared" si="125"/>
        <v>0</v>
      </c>
      <c r="I273" s="3777"/>
      <c r="J273" s="3777"/>
      <c r="K273" s="3777"/>
      <c r="L273" s="3777"/>
      <c r="M273" s="3777"/>
      <c r="N273" s="3777"/>
      <c r="O273" s="3777"/>
      <c r="P273" s="3777"/>
      <c r="Q273" s="3777"/>
      <c r="R273" s="3777"/>
      <c r="S273" s="3777"/>
      <c r="T273" s="3777"/>
      <c r="U273" s="3777"/>
      <c r="V273" s="3777"/>
      <c r="W273" s="3777"/>
      <c r="X273" s="3777"/>
      <c r="Y273" s="3777"/>
      <c r="Z273" s="3777"/>
      <c r="AA273" s="3777"/>
      <c r="AB273" s="3777"/>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6">
        <f t="shared" si="124"/>
        <v>0</v>
      </c>
      <c r="H274" s="1256">
        <f t="shared" si="125"/>
        <v>0</v>
      </c>
      <c r="I274" s="3777"/>
      <c r="J274" s="3777"/>
      <c r="K274" s="3777"/>
      <c r="L274" s="3777"/>
      <c r="M274" s="3777"/>
      <c r="N274" s="3777"/>
      <c r="O274" s="3777"/>
      <c r="P274" s="3777"/>
      <c r="Q274" s="3777"/>
      <c r="R274" s="3777"/>
      <c r="S274" s="3777"/>
      <c r="T274" s="3777"/>
      <c r="U274" s="3777"/>
      <c r="V274" s="3777"/>
      <c r="W274" s="3777"/>
      <c r="X274" s="3777"/>
      <c r="Y274" s="3777"/>
      <c r="Z274" s="3777"/>
      <c r="AA274" s="3777"/>
      <c r="AB274" s="3777"/>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6">
        <f t="shared" si="124"/>
        <v>0</v>
      </c>
      <c r="H275" s="1256">
        <f t="shared" si="125"/>
        <v>0</v>
      </c>
      <c r="I275" s="3777"/>
      <c r="J275" s="3777"/>
      <c r="K275" s="3777"/>
      <c r="L275" s="3777"/>
      <c r="M275" s="3777"/>
      <c r="N275" s="3777"/>
      <c r="O275" s="3777"/>
      <c r="P275" s="3777"/>
      <c r="Q275" s="3777"/>
      <c r="R275" s="3777"/>
      <c r="S275" s="3777"/>
      <c r="T275" s="3777"/>
      <c r="U275" s="3777"/>
      <c r="V275" s="3777"/>
      <c r="W275" s="3777"/>
      <c r="X275" s="3777"/>
      <c r="Y275" s="3777"/>
      <c r="Z275" s="3777"/>
      <c r="AA275" s="3777"/>
      <c r="AB275" s="3777"/>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6">
        <f t="shared" si="124"/>
        <v>0</v>
      </c>
      <c r="H276" s="1256">
        <f t="shared" si="125"/>
        <v>0</v>
      </c>
      <c r="I276" s="3777"/>
      <c r="J276" s="3777"/>
      <c r="K276" s="3777"/>
      <c r="L276" s="3777"/>
      <c r="M276" s="3777"/>
      <c r="N276" s="3777"/>
      <c r="O276" s="3777"/>
      <c r="P276" s="3777"/>
      <c r="Q276" s="3777"/>
      <c r="R276" s="3777"/>
      <c r="S276" s="3777"/>
      <c r="T276" s="3777"/>
      <c r="U276" s="3777"/>
      <c r="V276" s="3777"/>
      <c r="W276" s="3777"/>
      <c r="X276" s="3777"/>
      <c r="Y276" s="3777"/>
      <c r="Z276" s="3777"/>
      <c r="AA276" s="3777"/>
      <c r="AB276" s="3777"/>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6">
        <f t="shared" si="124"/>
        <v>0</v>
      </c>
      <c r="H277" s="1256">
        <f t="shared" si="125"/>
        <v>0</v>
      </c>
      <c r="I277" s="3777"/>
      <c r="J277" s="3777"/>
      <c r="K277" s="3777"/>
      <c r="L277" s="3777"/>
      <c r="M277" s="3777"/>
      <c r="N277" s="3777"/>
      <c r="O277" s="3777"/>
      <c r="P277" s="3777"/>
      <c r="Q277" s="3777"/>
      <c r="R277" s="3777"/>
      <c r="S277" s="3777"/>
      <c r="T277" s="3777"/>
      <c r="U277" s="3777"/>
      <c r="V277" s="3777"/>
      <c r="W277" s="3777"/>
      <c r="X277" s="3777"/>
      <c r="Y277" s="3777"/>
      <c r="Z277" s="3777"/>
      <c r="AA277" s="3777"/>
      <c r="AB277" s="3777"/>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6">
        <f t="shared" si="124"/>
        <v>0</v>
      </c>
      <c r="H278" s="1256">
        <f t="shared" si="125"/>
        <v>0</v>
      </c>
      <c r="I278" s="3777"/>
      <c r="J278" s="3777"/>
      <c r="K278" s="3777"/>
      <c r="L278" s="3777"/>
      <c r="M278" s="3777"/>
      <c r="N278" s="3777"/>
      <c r="O278" s="3777"/>
      <c r="P278" s="3777"/>
      <c r="Q278" s="3777"/>
      <c r="R278" s="3777"/>
      <c r="S278" s="3777"/>
      <c r="T278" s="3777"/>
      <c r="U278" s="3777"/>
      <c r="V278" s="3777"/>
      <c r="W278" s="3777"/>
      <c r="X278" s="3777"/>
      <c r="Y278" s="3777"/>
      <c r="Z278" s="3777"/>
      <c r="AA278" s="3777"/>
      <c r="AB278" s="3777"/>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6">
        <f t="shared" si="124"/>
        <v>0</v>
      </c>
      <c r="H279" s="1256">
        <f t="shared" si="125"/>
        <v>0</v>
      </c>
      <c r="I279" s="3777"/>
      <c r="J279" s="3777"/>
      <c r="K279" s="3777"/>
      <c r="L279" s="3777"/>
      <c r="M279" s="3777"/>
      <c r="N279" s="3777"/>
      <c r="O279" s="3777"/>
      <c r="P279" s="3777"/>
      <c r="Q279" s="3777"/>
      <c r="R279" s="3777"/>
      <c r="S279" s="3777"/>
      <c r="T279" s="3777"/>
      <c r="U279" s="3777"/>
      <c r="V279" s="3777"/>
      <c r="W279" s="3777"/>
      <c r="X279" s="3777"/>
      <c r="Y279" s="3777"/>
      <c r="Z279" s="3777"/>
      <c r="AA279" s="3777"/>
      <c r="AB279" s="3777"/>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6">
        <f t="shared" si="124"/>
        <v>0</v>
      </c>
      <c r="H280" s="1256">
        <f t="shared" si="125"/>
        <v>0</v>
      </c>
      <c r="I280" s="3777"/>
      <c r="J280" s="3777"/>
      <c r="K280" s="3777"/>
      <c r="L280" s="3777"/>
      <c r="M280" s="3777"/>
      <c r="N280" s="3777"/>
      <c r="O280" s="3777"/>
      <c r="P280" s="3777"/>
      <c r="Q280" s="3777"/>
      <c r="R280" s="3777"/>
      <c r="S280" s="3777"/>
      <c r="T280" s="3777"/>
      <c r="U280" s="3777"/>
      <c r="V280" s="3777"/>
      <c r="W280" s="3777"/>
      <c r="X280" s="3777"/>
      <c r="Y280" s="3777"/>
      <c r="Z280" s="3777"/>
      <c r="AA280" s="3777"/>
      <c r="AB280" s="3777"/>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6">
        <f t="shared" si="124"/>
        <v>0</v>
      </c>
      <c r="H281" s="1256">
        <f t="shared" si="125"/>
        <v>0</v>
      </c>
      <c r="I281" s="3777"/>
      <c r="J281" s="3777"/>
      <c r="K281" s="3777"/>
      <c r="L281" s="3777"/>
      <c r="M281" s="3777"/>
      <c r="N281" s="3777"/>
      <c r="O281" s="3777"/>
      <c r="P281" s="3777"/>
      <c r="Q281" s="3777"/>
      <c r="R281" s="3777"/>
      <c r="S281" s="3777"/>
      <c r="T281" s="3777"/>
      <c r="U281" s="3777"/>
      <c r="V281" s="3777"/>
      <c r="W281" s="3777"/>
      <c r="X281" s="3777"/>
      <c r="Y281" s="3777"/>
      <c r="Z281" s="3777"/>
      <c r="AA281" s="3777"/>
      <c r="AB281" s="3777"/>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6">
        <f t="shared" si="124"/>
        <v>0</v>
      </c>
      <c r="H282" s="1256">
        <f t="shared" si="125"/>
        <v>0</v>
      </c>
      <c r="I282" s="3777"/>
      <c r="J282" s="3777"/>
      <c r="K282" s="3777"/>
      <c r="L282" s="3777"/>
      <c r="M282" s="3777"/>
      <c r="N282" s="3777"/>
      <c r="O282" s="3777"/>
      <c r="P282" s="3777"/>
      <c r="Q282" s="3777"/>
      <c r="R282" s="3777"/>
      <c r="S282" s="3777"/>
      <c r="T282" s="3777"/>
      <c r="U282" s="3777"/>
      <c r="V282" s="3777"/>
      <c r="W282" s="3777"/>
      <c r="X282" s="3777"/>
      <c r="Y282" s="3777"/>
      <c r="Z282" s="3777"/>
      <c r="AA282" s="3777"/>
      <c r="AB282" s="3777"/>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6">
        <f t="shared" si="124"/>
        <v>0</v>
      </c>
      <c r="H283" s="1256">
        <f t="shared" si="125"/>
        <v>0</v>
      </c>
      <c r="I283" s="3777"/>
      <c r="J283" s="3777"/>
      <c r="K283" s="3777"/>
      <c r="L283" s="3777"/>
      <c r="M283" s="3777"/>
      <c r="N283" s="3777"/>
      <c r="O283" s="3777"/>
      <c r="P283" s="3777"/>
      <c r="Q283" s="3777"/>
      <c r="R283" s="3777"/>
      <c r="S283" s="3777"/>
      <c r="T283" s="3777"/>
      <c r="U283" s="3777"/>
      <c r="V283" s="3777"/>
      <c r="W283" s="3777"/>
      <c r="X283" s="3777"/>
      <c r="Y283" s="3777"/>
      <c r="Z283" s="3777"/>
      <c r="AA283" s="3777"/>
      <c r="AB283" s="3777"/>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6">
        <f t="shared" si="124"/>
        <v>0</v>
      </c>
      <c r="H284" s="1256">
        <f t="shared" si="125"/>
        <v>0</v>
      </c>
      <c r="I284" s="3777"/>
      <c r="J284" s="3777"/>
      <c r="K284" s="3777"/>
      <c r="L284" s="3777"/>
      <c r="M284" s="3777"/>
      <c r="N284" s="3777"/>
      <c r="O284" s="3777"/>
      <c r="P284" s="3777"/>
      <c r="Q284" s="3777"/>
      <c r="R284" s="3777"/>
      <c r="S284" s="3777"/>
      <c r="T284" s="3777"/>
      <c r="U284" s="3777"/>
      <c r="V284" s="3777"/>
      <c r="W284" s="3777"/>
      <c r="X284" s="3777"/>
      <c r="Y284" s="3777"/>
      <c r="Z284" s="3777"/>
      <c r="AA284" s="3777"/>
      <c r="AB284" s="3777"/>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6">
        <f t="shared" si="124"/>
        <v>0</v>
      </c>
      <c r="H285" s="1256">
        <f t="shared" si="125"/>
        <v>0</v>
      </c>
      <c r="I285" s="3777"/>
      <c r="J285" s="3777"/>
      <c r="K285" s="3777"/>
      <c r="L285" s="3777"/>
      <c r="M285" s="3777"/>
      <c r="N285" s="3777"/>
      <c r="O285" s="3777"/>
      <c r="P285" s="3777"/>
      <c r="Q285" s="3777"/>
      <c r="R285" s="3777"/>
      <c r="S285" s="3777"/>
      <c r="T285" s="3777"/>
      <c r="U285" s="3777"/>
      <c r="V285" s="3777"/>
      <c r="W285" s="3777"/>
      <c r="X285" s="3777"/>
      <c r="Y285" s="3777"/>
      <c r="Z285" s="3777"/>
      <c r="AA285" s="3777"/>
      <c r="AB285" s="3777"/>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6">
        <f t="shared" si="124"/>
        <v>0</v>
      </c>
      <c r="H286" s="1256">
        <f t="shared" si="125"/>
        <v>0</v>
      </c>
      <c r="I286" s="3777"/>
      <c r="J286" s="3777"/>
      <c r="K286" s="3777"/>
      <c r="L286" s="3777"/>
      <c r="M286" s="3777"/>
      <c r="N286" s="3777"/>
      <c r="O286" s="3777"/>
      <c r="P286" s="3777"/>
      <c r="Q286" s="3777"/>
      <c r="R286" s="3777"/>
      <c r="S286" s="3777"/>
      <c r="T286" s="3777"/>
      <c r="U286" s="3777"/>
      <c r="V286" s="3777"/>
      <c r="W286" s="3777"/>
      <c r="X286" s="3777"/>
      <c r="Y286" s="3777"/>
      <c r="Z286" s="3777"/>
      <c r="AA286" s="3777"/>
      <c r="AB286" s="3777"/>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6">
        <f t="shared" si="124"/>
        <v>0</v>
      </c>
      <c r="H287" s="1256">
        <f t="shared" si="125"/>
        <v>0</v>
      </c>
      <c r="I287" s="3777"/>
      <c r="J287" s="3777"/>
      <c r="K287" s="3777"/>
      <c r="L287" s="3777"/>
      <c r="M287" s="3777"/>
      <c r="N287" s="3777"/>
      <c r="O287" s="3777"/>
      <c r="P287" s="3777"/>
      <c r="Q287" s="3777"/>
      <c r="R287" s="3777"/>
      <c r="S287" s="3777"/>
      <c r="T287" s="3777"/>
      <c r="U287" s="3777"/>
      <c r="V287" s="3777"/>
      <c r="W287" s="3777"/>
      <c r="X287" s="3777"/>
      <c r="Y287" s="3777"/>
      <c r="Z287" s="3777"/>
      <c r="AA287" s="3777"/>
      <c r="AB287" s="3777"/>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6">
        <f t="shared" si="124"/>
        <v>0</v>
      </c>
      <c r="H288" s="1256">
        <f t="shared" si="125"/>
        <v>0</v>
      </c>
      <c r="I288" s="3777"/>
      <c r="J288" s="3777"/>
      <c r="K288" s="3777"/>
      <c r="L288" s="3777"/>
      <c r="M288" s="3777"/>
      <c r="N288" s="3777"/>
      <c r="O288" s="3777"/>
      <c r="P288" s="3777"/>
      <c r="Q288" s="3777"/>
      <c r="R288" s="3777"/>
      <c r="S288" s="3777"/>
      <c r="T288" s="3777"/>
      <c r="U288" s="3777"/>
      <c r="V288" s="3777"/>
      <c r="W288" s="3777"/>
      <c r="X288" s="3777"/>
      <c r="Y288" s="3777"/>
      <c r="Z288" s="3777"/>
      <c r="AA288" s="3777"/>
      <c r="AB288" s="3777"/>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6">
        <f t="shared" si="124"/>
        <v>0</v>
      </c>
      <c r="H289" s="1256">
        <f t="shared" si="125"/>
        <v>0</v>
      </c>
      <c r="I289" s="3777"/>
      <c r="J289" s="3777"/>
      <c r="K289" s="3777"/>
      <c r="L289" s="3777"/>
      <c r="M289" s="3777"/>
      <c r="N289" s="3777"/>
      <c r="O289" s="3777"/>
      <c r="P289" s="3777"/>
      <c r="Q289" s="3777"/>
      <c r="R289" s="3777"/>
      <c r="S289" s="3777"/>
      <c r="T289" s="3777"/>
      <c r="U289" s="3777"/>
      <c r="V289" s="3777"/>
      <c r="W289" s="3777"/>
      <c r="X289" s="3777"/>
      <c r="Y289" s="3777"/>
      <c r="Z289" s="3777"/>
      <c r="AA289" s="3777"/>
      <c r="AB289" s="3777"/>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6">
        <f t="shared" si="124"/>
        <v>0</v>
      </c>
      <c r="H290" s="1256">
        <f t="shared" si="125"/>
        <v>0</v>
      </c>
      <c r="I290" s="3777"/>
      <c r="J290" s="3777"/>
      <c r="K290" s="3777"/>
      <c r="L290" s="3777"/>
      <c r="M290" s="3777"/>
      <c r="N290" s="3777"/>
      <c r="O290" s="3777"/>
      <c r="P290" s="3777"/>
      <c r="Q290" s="3777"/>
      <c r="R290" s="3777"/>
      <c r="S290" s="3777"/>
      <c r="T290" s="3777"/>
      <c r="U290" s="3777"/>
      <c r="V290" s="3777"/>
      <c r="W290" s="3777"/>
      <c r="X290" s="3777"/>
      <c r="Y290" s="3777"/>
      <c r="Z290" s="3777"/>
      <c r="AA290" s="3777"/>
      <c r="AB290" s="3777"/>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6">
        <f t="shared" si="124"/>
        <v>0</v>
      </c>
      <c r="H291" s="1256">
        <f t="shared" si="125"/>
        <v>0</v>
      </c>
      <c r="I291" s="3777"/>
      <c r="J291" s="3777"/>
      <c r="K291" s="3777"/>
      <c r="L291" s="3777"/>
      <c r="M291" s="3777"/>
      <c r="N291" s="3777"/>
      <c r="O291" s="3777"/>
      <c r="P291" s="3777"/>
      <c r="Q291" s="3777"/>
      <c r="R291" s="3777"/>
      <c r="S291" s="3777"/>
      <c r="T291" s="3777"/>
      <c r="U291" s="3777"/>
      <c r="V291" s="3777"/>
      <c r="W291" s="3777"/>
      <c r="X291" s="3777"/>
      <c r="Y291" s="3777"/>
      <c r="Z291" s="3777"/>
      <c r="AA291" s="3777"/>
      <c r="AB291" s="3777"/>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6">
        <f t="shared" si="124"/>
        <v>0</v>
      </c>
      <c r="H292" s="1256">
        <f t="shared" si="125"/>
        <v>0</v>
      </c>
      <c r="I292" s="3777"/>
      <c r="J292" s="3777"/>
      <c r="K292" s="3777"/>
      <c r="L292" s="3777"/>
      <c r="M292" s="3777"/>
      <c r="N292" s="3777"/>
      <c r="O292" s="3777"/>
      <c r="P292" s="3777"/>
      <c r="Q292" s="3777"/>
      <c r="R292" s="3777"/>
      <c r="S292" s="3777"/>
      <c r="T292" s="3777"/>
      <c r="U292" s="3777"/>
      <c r="V292" s="3777"/>
      <c r="W292" s="3777"/>
      <c r="X292" s="3777"/>
      <c r="Y292" s="3777"/>
      <c r="Z292" s="3777"/>
      <c r="AA292" s="3777"/>
      <c r="AB292" s="3777"/>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6">
        <f t="shared" si="124"/>
        <v>0</v>
      </c>
      <c r="H293" s="1256">
        <f t="shared" si="125"/>
        <v>0</v>
      </c>
      <c r="I293" s="3777"/>
      <c r="J293" s="3777"/>
      <c r="K293" s="3777"/>
      <c r="L293" s="3777"/>
      <c r="M293" s="3777"/>
      <c r="N293" s="3777"/>
      <c r="O293" s="3777"/>
      <c r="P293" s="3777"/>
      <c r="Q293" s="3777"/>
      <c r="R293" s="3777"/>
      <c r="S293" s="3777"/>
      <c r="T293" s="3777"/>
      <c r="U293" s="3777"/>
      <c r="V293" s="3777"/>
      <c r="W293" s="3777"/>
      <c r="X293" s="3777"/>
      <c r="Y293" s="3777"/>
      <c r="Z293" s="3777"/>
      <c r="AA293" s="3777"/>
      <c r="AB293" s="3777"/>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6">
        <f t="shared" si="124"/>
        <v>0</v>
      </c>
      <c r="H294" s="1256">
        <f t="shared" si="125"/>
        <v>0</v>
      </c>
      <c r="I294" s="3777"/>
      <c r="J294" s="3777"/>
      <c r="K294" s="3777"/>
      <c r="L294" s="3777"/>
      <c r="M294" s="3777"/>
      <c r="N294" s="3777"/>
      <c r="O294" s="3777"/>
      <c r="P294" s="3777"/>
      <c r="Q294" s="3777"/>
      <c r="R294" s="3777"/>
      <c r="S294" s="3777"/>
      <c r="T294" s="3777"/>
      <c r="U294" s="3777"/>
      <c r="V294" s="3777"/>
      <c r="W294" s="3777"/>
      <c r="X294" s="3777"/>
      <c r="Y294" s="3777"/>
      <c r="Z294" s="3777"/>
      <c r="AA294" s="3777"/>
      <c r="AB294" s="3777"/>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6">
        <f t="shared" si="124"/>
        <v>0</v>
      </c>
      <c r="H295" s="1256">
        <f t="shared" si="125"/>
        <v>0</v>
      </c>
      <c r="I295" s="3777"/>
      <c r="J295" s="3777"/>
      <c r="K295" s="3777"/>
      <c r="L295" s="3777"/>
      <c r="M295" s="3777"/>
      <c r="N295" s="3777"/>
      <c r="O295" s="3777"/>
      <c r="P295" s="3777"/>
      <c r="Q295" s="3777"/>
      <c r="R295" s="3777"/>
      <c r="S295" s="3777"/>
      <c r="T295" s="3777"/>
      <c r="U295" s="3777"/>
      <c r="V295" s="3777"/>
      <c r="W295" s="3777"/>
      <c r="X295" s="3777"/>
      <c r="Y295" s="3777"/>
      <c r="Z295" s="3777"/>
      <c r="AA295" s="3777"/>
      <c r="AB295" s="3777"/>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6">
        <f t="shared" si="124"/>
        <v>0</v>
      </c>
      <c r="H296" s="1256">
        <f t="shared" si="125"/>
        <v>0</v>
      </c>
      <c r="I296" s="3777"/>
      <c r="J296" s="3777"/>
      <c r="K296" s="3777"/>
      <c r="L296" s="3777"/>
      <c r="M296" s="3777"/>
      <c r="N296" s="3777"/>
      <c r="O296" s="3777"/>
      <c r="P296" s="3777"/>
      <c r="Q296" s="3777"/>
      <c r="R296" s="3777"/>
      <c r="S296" s="3777"/>
      <c r="T296" s="3777"/>
      <c r="U296" s="3777"/>
      <c r="V296" s="3777"/>
      <c r="W296" s="3777"/>
      <c r="X296" s="3777"/>
      <c r="Y296" s="3777"/>
      <c r="Z296" s="3777"/>
      <c r="AA296" s="3777"/>
      <c r="AB296" s="3777"/>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6">
        <f t="shared" si="124"/>
        <v>0</v>
      </c>
      <c r="H297" s="1256">
        <f t="shared" si="125"/>
        <v>0</v>
      </c>
      <c r="I297" s="3777"/>
      <c r="J297" s="3777"/>
      <c r="K297" s="3777"/>
      <c r="L297" s="3777"/>
      <c r="M297" s="3777"/>
      <c r="N297" s="3777"/>
      <c r="O297" s="3777"/>
      <c r="P297" s="3777"/>
      <c r="Q297" s="3777"/>
      <c r="R297" s="3777"/>
      <c r="S297" s="3777"/>
      <c r="T297" s="3777"/>
      <c r="U297" s="3777"/>
      <c r="V297" s="3777"/>
      <c r="W297" s="3777"/>
      <c r="X297" s="3777"/>
      <c r="Y297" s="3777"/>
      <c r="Z297" s="3777"/>
      <c r="AA297" s="3777"/>
      <c r="AB297" s="3777"/>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6">
        <f t="shared" si="124"/>
        <v>0</v>
      </c>
      <c r="H298" s="1256">
        <f t="shared" si="125"/>
        <v>0</v>
      </c>
      <c r="I298" s="3777"/>
      <c r="J298" s="3777"/>
      <c r="K298" s="3777"/>
      <c r="L298" s="3777"/>
      <c r="M298" s="3777"/>
      <c r="N298" s="3777"/>
      <c r="O298" s="3777"/>
      <c r="P298" s="3777"/>
      <c r="Q298" s="3777"/>
      <c r="R298" s="3777"/>
      <c r="S298" s="3777"/>
      <c r="T298" s="3777"/>
      <c r="U298" s="3777"/>
      <c r="V298" s="3777"/>
      <c r="W298" s="3777"/>
      <c r="X298" s="3777"/>
      <c r="Y298" s="3777"/>
      <c r="Z298" s="3777"/>
      <c r="AA298" s="3777"/>
      <c r="AB298" s="3777"/>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6">
        <f t="shared" si="124"/>
        <v>0</v>
      </c>
      <c r="H299" s="1256">
        <f t="shared" si="125"/>
        <v>0</v>
      </c>
      <c r="I299" s="3777"/>
      <c r="J299" s="3777"/>
      <c r="K299" s="3777"/>
      <c r="L299" s="3777"/>
      <c r="M299" s="3777"/>
      <c r="N299" s="3777"/>
      <c r="O299" s="3777"/>
      <c r="P299" s="3777"/>
      <c r="Q299" s="3777"/>
      <c r="R299" s="3777"/>
      <c r="S299" s="3777"/>
      <c r="T299" s="3777"/>
      <c r="U299" s="3777"/>
      <c r="V299" s="3777"/>
      <c r="W299" s="3777"/>
      <c r="X299" s="3777"/>
      <c r="Y299" s="3777"/>
      <c r="Z299" s="3777"/>
      <c r="AA299" s="3777"/>
      <c r="AB299" s="3777"/>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6">
        <f t="shared" ref="G300:G331" si="152">H300+AC300+AT300</f>
        <v>0</v>
      </c>
      <c r="H300" s="1256">
        <f t="shared" ref="H300:H331" si="153">SUMIF(I$12:AB$12,"总值",I300:AB300)</f>
        <v>0</v>
      </c>
      <c r="I300" s="3777"/>
      <c r="J300" s="3777"/>
      <c r="K300" s="3777"/>
      <c r="L300" s="3777"/>
      <c r="M300" s="3777"/>
      <c r="N300" s="3777"/>
      <c r="O300" s="3777"/>
      <c r="P300" s="3777"/>
      <c r="Q300" s="3777"/>
      <c r="R300" s="3777"/>
      <c r="S300" s="3777"/>
      <c r="T300" s="3777"/>
      <c r="U300" s="3777"/>
      <c r="V300" s="3777"/>
      <c r="W300" s="3777"/>
      <c r="X300" s="3777"/>
      <c r="Y300" s="3777"/>
      <c r="Z300" s="3777"/>
      <c r="AA300" s="3777"/>
      <c r="AB300" s="3777"/>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6">
        <f t="shared" si="152"/>
        <v>0</v>
      </c>
      <c r="H301" s="1256">
        <f t="shared" si="153"/>
        <v>0</v>
      </c>
      <c r="I301" s="3777"/>
      <c r="J301" s="3777"/>
      <c r="K301" s="3777"/>
      <c r="L301" s="3777"/>
      <c r="M301" s="3777"/>
      <c r="N301" s="3777"/>
      <c r="O301" s="3777"/>
      <c r="P301" s="3777"/>
      <c r="Q301" s="3777"/>
      <c r="R301" s="3777"/>
      <c r="S301" s="3777"/>
      <c r="T301" s="3777"/>
      <c r="U301" s="3777"/>
      <c r="V301" s="3777"/>
      <c r="W301" s="3777"/>
      <c r="X301" s="3777"/>
      <c r="Y301" s="3777"/>
      <c r="Z301" s="3777"/>
      <c r="AA301" s="3777"/>
      <c r="AB301" s="3777"/>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6">
        <f t="shared" si="152"/>
        <v>0</v>
      </c>
      <c r="H302" s="1256">
        <f t="shared" si="153"/>
        <v>0</v>
      </c>
      <c r="I302" s="3777"/>
      <c r="J302" s="3777"/>
      <c r="K302" s="3777"/>
      <c r="L302" s="3777"/>
      <c r="M302" s="3777"/>
      <c r="N302" s="3777"/>
      <c r="O302" s="3777"/>
      <c r="P302" s="3777"/>
      <c r="Q302" s="3777"/>
      <c r="R302" s="3777"/>
      <c r="S302" s="3777"/>
      <c r="T302" s="3777"/>
      <c r="U302" s="3777"/>
      <c r="V302" s="3777"/>
      <c r="W302" s="3777"/>
      <c r="X302" s="3777"/>
      <c r="Y302" s="3777"/>
      <c r="Z302" s="3777"/>
      <c r="AA302" s="3777"/>
      <c r="AB302" s="3777"/>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6">
        <f t="shared" si="152"/>
        <v>0</v>
      </c>
      <c r="H303" s="1256">
        <f t="shared" si="153"/>
        <v>0</v>
      </c>
      <c r="I303" s="3777"/>
      <c r="J303" s="3777"/>
      <c r="K303" s="3777"/>
      <c r="L303" s="3777"/>
      <c r="M303" s="3777"/>
      <c r="N303" s="3777"/>
      <c r="O303" s="3777"/>
      <c r="P303" s="3777"/>
      <c r="Q303" s="3777"/>
      <c r="R303" s="3777"/>
      <c r="S303" s="3777"/>
      <c r="T303" s="3777"/>
      <c r="U303" s="3777"/>
      <c r="V303" s="3777"/>
      <c r="W303" s="3777"/>
      <c r="X303" s="3777"/>
      <c r="Y303" s="3777"/>
      <c r="Z303" s="3777"/>
      <c r="AA303" s="3777"/>
      <c r="AB303" s="3777"/>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6">
        <f t="shared" si="152"/>
        <v>0</v>
      </c>
      <c r="H304" s="1256">
        <f t="shared" si="153"/>
        <v>0</v>
      </c>
      <c r="I304" s="3777"/>
      <c r="J304" s="3777"/>
      <c r="K304" s="3777"/>
      <c r="L304" s="3777"/>
      <c r="M304" s="3777"/>
      <c r="N304" s="3777"/>
      <c r="O304" s="3777"/>
      <c r="P304" s="3777"/>
      <c r="Q304" s="3777"/>
      <c r="R304" s="3777"/>
      <c r="S304" s="3777"/>
      <c r="T304" s="3777"/>
      <c r="U304" s="3777"/>
      <c r="V304" s="3777"/>
      <c r="W304" s="3777"/>
      <c r="X304" s="3777"/>
      <c r="Y304" s="3777"/>
      <c r="Z304" s="3777"/>
      <c r="AA304" s="3777"/>
      <c r="AB304" s="3777"/>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6">
        <f t="shared" si="152"/>
        <v>0</v>
      </c>
      <c r="H305" s="1256">
        <f t="shared" si="153"/>
        <v>0</v>
      </c>
      <c r="I305" s="3777"/>
      <c r="J305" s="3777"/>
      <c r="K305" s="3777"/>
      <c r="L305" s="3777"/>
      <c r="M305" s="3777"/>
      <c r="N305" s="3777"/>
      <c r="O305" s="3777"/>
      <c r="P305" s="3777"/>
      <c r="Q305" s="3777"/>
      <c r="R305" s="3777"/>
      <c r="S305" s="3777"/>
      <c r="T305" s="3777"/>
      <c r="U305" s="3777"/>
      <c r="V305" s="3777"/>
      <c r="W305" s="3777"/>
      <c r="X305" s="3777"/>
      <c r="Y305" s="3777"/>
      <c r="Z305" s="3777"/>
      <c r="AA305" s="3777"/>
      <c r="AB305" s="3777"/>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6">
        <f t="shared" si="152"/>
        <v>0</v>
      </c>
      <c r="H306" s="1256">
        <f t="shared" si="153"/>
        <v>0</v>
      </c>
      <c r="I306" s="3777"/>
      <c r="J306" s="3777"/>
      <c r="K306" s="3777"/>
      <c r="L306" s="3777"/>
      <c r="M306" s="3777"/>
      <c r="N306" s="3777"/>
      <c r="O306" s="3777"/>
      <c r="P306" s="3777"/>
      <c r="Q306" s="3777"/>
      <c r="R306" s="3777"/>
      <c r="S306" s="3777"/>
      <c r="T306" s="3777"/>
      <c r="U306" s="3777"/>
      <c r="V306" s="3777"/>
      <c r="W306" s="3777"/>
      <c r="X306" s="3777"/>
      <c r="Y306" s="3777"/>
      <c r="Z306" s="3777"/>
      <c r="AA306" s="3777"/>
      <c r="AB306" s="3777"/>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6">
        <f t="shared" si="152"/>
        <v>0</v>
      </c>
      <c r="H307" s="1256">
        <f t="shared" si="153"/>
        <v>0</v>
      </c>
      <c r="I307" s="3777"/>
      <c r="J307" s="3777"/>
      <c r="K307" s="3777"/>
      <c r="L307" s="3777"/>
      <c r="M307" s="3777"/>
      <c r="N307" s="3777"/>
      <c r="O307" s="3777"/>
      <c r="P307" s="3777"/>
      <c r="Q307" s="3777"/>
      <c r="R307" s="3777"/>
      <c r="S307" s="3777"/>
      <c r="T307" s="3777"/>
      <c r="U307" s="3777"/>
      <c r="V307" s="3777"/>
      <c r="W307" s="3777"/>
      <c r="X307" s="3777"/>
      <c r="Y307" s="3777"/>
      <c r="Z307" s="3777"/>
      <c r="AA307" s="3777"/>
      <c r="AB307" s="3777"/>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6">
        <f t="shared" si="152"/>
        <v>0</v>
      </c>
      <c r="H308" s="1256">
        <f t="shared" si="153"/>
        <v>0</v>
      </c>
      <c r="I308" s="3777"/>
      <c r="J308" s="3777"/>
      <c r="K308" s="3777"/>
      <c r="L308" s="3777"/>
      <c r="M308" s="3777"/>
      <c r="N308" s="3777"/>
      <c r="O308" s="3777"/>
      <c r="P308" s="3777"/>
      <c r="Q308" s="3777"/>
      <c r="R308" s="3777"/>
      <c r="S308" s="3777"/>
      <c r="T308" s="3777"/>
      <c r="U308" s="3777"/>
      <c r="V308" s="3777"/>
      <c r="W308" s="3777"/>
      <c r="X308" s="3777"/>
      <c r="Y308" s="3777"/>
      <c r="Z308" s="3777"/>
      <c r="AA308" s="3777"/>
      <c r="AB308" s="3777"/>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6">
        <f t="shared" si="152"/>
        <v>0</v>
      </c>
      <c r="H309" s="1256">
        <f t="shared" si="153"/>
        <v>0</v>
      </c>
      <c r="I309" s="3777"/>
      <c r="J309" s="3777"/>
      <c r="K309" s="3777"/>
      <c r="L309" s="3777"/>
      <c r="M309" s="3777"/>
      <c r="N309" s="3777"/>
      <c r="O309" s="3777"/>
      <c r="P309" s="3777"/>
      <c r="Q309" s="3777"/>
      <c r="R309" s="3777"/>
      <c r="S309" s="3777"/>
      <c r="T309" s="3777"/>
      <c r="U309" s="3777"/>
      <c r="V309" s="3777"/>
      <c r="W309" s="3777"/>
      <c r="X309" s="3777"/>
      <c r="Y309" s="3777"/>
      <c r="Z309" s="3777"/>
      <c r="AA309" s="3777"/>
      <c r="AB309" s="3777"/>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6">
        <f t="shared" si="152"/>
        <v>0</v>
      </c>
      <c r="H310" s="1256">
        <f t="shared" si="153"/>
        <v>0</v>
      </c>
      <c r="I310" s="3777"/>
      <c r="J310" s="3777"/>
      <c r="K310" s="3777"/>
      <c r="L310" s="3777"/>
      <c r="M310" s="3777"/>
      <c r="N310" s="3777"/>
      <c r="O310" s="3777"/>
      <c r="P310" s="3777"/>
      <c r="Q310" s="3777"/>
      <c r="R310" s="3777"/>
      <c r="S310" s="3777"/>
      <c r="T310" s="3777"/>
      <c r="U310" s="3777"/>
      <c r="V310" s="3777"/>
      <c r="W310" s="3777"/>
      <c r="X310" s="3777"/>
      <c r="Y310" s="3777"/>
      <c r="Z310" s="3777"/>
      <c r="AA310" s="3777"/>
      <c r="AB310" s="3777"/>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6">
        <f t="shared" si="152"/>
        <v>0</v>
      </c>
      <c r="H311" s="1256">
        <f t="shared" si="153"/>
        <v>0</v>
      </c>
      <c r="I311" s="3777"/>
      <c r="J311" s="3777"/>
      <c r="K311" s="3777"/>
      <c r="L311" s="3777"/>
      <c r="M311" s="3777"/>
      <c r="N311" s="3777"/>
      <c r="O311" s="3777"/>
      <c r="P311" s="3777"/>
      <c r="Q311" s="3777"/>
      <c r="R311" s="3777"/>
      <c r="S311" s="3777"/>
      <c r="T311" s="3777"/>
      <c r="U311" s="3777"/>
      <c r="V311" s="3777"/>
      <c r="W311" s="3777"/>
      <c r="X311" s="3777"/>
      <c r="Y311" s="3777"/>
      <c r="Z311" s="3777"/>
      <c r="AA311" s="3777"/>
      <c r="AB311" s="3777"/>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6">
        <f t="shared" si="152"/>
        <v>0</v>
      </c>
      <c r="H312" s="1256">
        <f t="shared" si="153"/>
        <v>0</v>
      </c>
      <c r="I312" s="3777"/>
      <c r="J312" s="3777"/>
      <c r="K312" s="3777"/>
      <c r="L312" s="3777"/>
      <c r="M312" s="3777"/>
      <c r="N312" s="3777"/>
      <c r="O312" s="3777"/>
      <c r="P312" s="3777"/>
      <c r="Q312" s="3777"/>
      <c r="R312" s="3777"/>
      <c r="S312" s="3777"/>
      <c r="T312" s="3777"/>
      <c r="U312" s="3777"/>
      <c r="V312" s="3777"/>
      <c r="W312" s="3777"/>
      <c r="X312" s="3777"/>
      <c r="Y312" s="3777"/>
      <c r="Z312" s="3777"/>
      <c r="AA312" s="3777"/>
      <c r="AB312" s="3777"/>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6">
        <f t="shared" si="152"/>
        <v>0</v>
      </c>
      <c r="H313" s="1256">
        <f t="shared" si="153"/>
        <v>0</v>
      </c>
      <c r="I313" s="3777"/>
      <c r="J313" s="3777"/>
      <c r="K313" s="3777"/>
      <c r="L313" s="3777"/>
      <c r="M313" s="3777"/>
      <c r="N313" s="3777"/>
      <c r="O313" s="3777"/>
      <c r="P313" s="3777"/>
      <c r="Q313" s="3777"/>
      <c r="R313" s="3777"/>
      <c r="S313" s="3777"/>
      <c r="T313" s="3777"/>
      <c r="U313" s="3777"/>
      <c r="V313" s="3777"/>
      <c r="W313" s="3777"/>
      <c r="X313" s="3777"/>
      <c r="Y313" s="3777"/>
      <c r="Z313" s="3777"/>
      <c r="AA313" s="3777"/>
      <c r="AB313" s="3777"/>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6">
        <f t="shared" si="152"/>
        <v>0</v>
      </c>
      <c r="H314" s="1256">
        <f t="shared" si="153"/>
        <v>0</v>
      </c>
      <c r="I314" s="3777"/>
      <c r="J314" s="3777"/>
      <c r="K314" s="3777"/>
      <c r="L314" s="3777"/>
      <c r="M314" s="3777"/>
      <c r="N314" s="3777"/>
      <c r="O314" s="3777"/>
      <c r="P314" s="3777"/>
      <c r="Q314" s="3777"/>
      <c r="R314" s="3777"/>
      <c r="S314" s="3777"/>
      <c r="T314" s="3777"/>
      <c r="U314" s="3777"/>
      <c r="V314" s="3777"/>
      <c r="W314" s="3777"/>
      <c r="X314" s="3777"/>
      <c r="Y314" s="3777"/>
      <c r="Z314" s="3777"/>
      <c r="AA314" s="3777"/>
      <c r="AB314" s="3777"/>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6">
        <f t="shared" si="152"/>
        <v>0</v>
      </c>
      <c r="H315" s="1256">
        <f t="shared" si="153"/>
        <v>0</v>
      </c>
      <c r="I315" s="3777"/>
      <c r="J315" s="3777"/>
      <c r="K315" s="3777"/>
      <c r="L315" s="3777"/>
      <c r="M315" s="3777"/>
      <c r="N315" s="3777"/>
      <c r="O315" s="3777"/>
      <c r="P315" s="3777"/>
      <c r="Q315" s="3777"/>
      <c r="R315" s="3777"/>
      <c r="S315" s="3777"/>
      <c r="T315" s="3777"/>
      <c r="U315" s="3777"/>
      <c r="V315" s="3777"/>
      <c r="W315" s="3777"/>
      <c r="X315" s="3777"/>
      <c r="Y315" s="3777"/>
      <c r="Z315" s="3777"/>
      <c r="AA315" s="3777"/>
      <c r="AB315" s="3777"/>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6">
        <f t="shared" si="152"/>
        <v>0</v>
      </c>
      <c r="H316" s="1256">
        <f t="shared" si="153"/>
        <v>0</v>
      </c>
      <c r="I316" s="3777"/>
      <c r="J316" s="3777"/>
      <c r="K316" s="3777"/>
      <c r="L316" s="3777"/>
      <c r="M316" s="3777"/>
      <c r="N316" s="3777"/>
      <c r="O316" s="3777"/>
      <c r="P316" s="3777"/>
      <c r="Q316" s="3777"/>
      <c r="R316" s="3777"/>
      <c r="S316" s="3777"/>
      <c r="T316" s="3777"/>
      <c r="U316" s="3777"/>
      <c r="V316" s="3777"/>
      <c r="W316" s="3777"/>
      <c r="X316" s="3777"/>
      <c r="Y316" s="3777"/>
      <c r="Z316" s="3777"/>
      <c r="AA316" s="3777"/>
      <c r="AB316" s="3777"/>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6">
        <f t="shared" si="152"/>
        <v>0</v>
      </c>
      <c r="H317" s="1256">
        <f t="shared" si="153"/>
        <v>0</v>
      </c>
      <c r="I317" s="3777"/>
      <c r="J317" s="3777"/>
      <c r="K317" s="3777"/>
      <c r="L317" s="3777"/>
      <c r="M317" s="3777"/>
      <c r="N317" s="3777"/>
      <c r="O317" s="3777"/>
      <c r="P317" s="3777"/>
      <c r="Q317" s="3777"/>
      <c r="R317" s="3777"/>
      <c r="S317" s="3777"/>
      <c r="T317" s="3777"/>
      <c r="U317" s="3777"/>
      <c r="V317" s="3777"/>
      <c r="W317" s="3777"/>
      <c r="X317" s="3777"/>
      <c r="Y317" s="3777"/>
      <c r="Z317" s="3777"/>
      <c r="AA317" s="3777"/>
      <c r="AB317" s="3777"/>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6">
        <f t="shared" si="152"/>
        <v>0</v>
      </c>
      <c r="H318" s="1256">
        <f t="shared" si="153"/>
        <v>0</v>
      </c>
      <c r="I318" s="3777"/>
      <c r="J318" s="3777"/>
      <c r="K318" s="3777"/>
      <c r="L318" s="3777"/>
      <c r="M318" s="3777"/>
      <c r="N318" s="3777"/>
      <c r="O318" s="3777"/>
      <c r="P318" s="3777"/>
      <c r="Q318" s="3777"/>
      <c r="R318" s="3777"/>
      <c r="S318" s="3777"/>
      <c r="T318" s="3777"/>
      <c r="U318" s="3777"/>
      <c r="V318" s="3777"/>
      <c r="W318" s="3777"/>
      <c r="X318" s="3777"/>
      <c r="Y318" s="3777"/>
      <c r="Z318" s="3777"/>
      <c r="AA318" s="3777"/>
      <c r="AB318" s="3777"/>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6">
        <f t="shared" si="152"/>
        <v>0</v>
      </c>
      <c r="H319" s="1256">
        <f t="shared" si="153"/>
        <v>0</v>
      </c>
      <c r="I319" s="3777"/>
      <c r="J319" s="3777"/>
      <c r="K319" s="3777"/>
      <c r="L319" s="3777"/>
      <c r="M319" s="3777"/>
      <c r="N319" s="3777"/>
      <c r="O319" s="3777"/>
      <c r="P319" s="3777"/>
      <c r="Q319" s="3777"/>
      <c r="R319" s="3777"/>
      <c r="S319" s="3777"/>
      <c r="T319" s="3777"/>
      <c r="U319" s="3777"/>
      <c r="V319" s="3777"/>
      <c r="W319" s="3777"/>
      <c r="X319" s="3777"/>
      <c r="Y319" s="3777"/>
      <c r="Z319" s="3777"/>
      <c r="AA319" s="3777"/>
      <c r="AB319" s="3777"/>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6">
        <f t="shared" si="152"/>
        <v>0</v>
      </c>
      <c r="H320" s="1256">
        <f t="shared" si="153"/>
        <v>0</v>
      </c>
      <c r="I320" s="3777"/>
      <c r="J320" s="3777"/>
      <c r="K320" s="3777"/>
      <c r="L320" s="3777"/>
      <c r="M320" s="3777"/>
      <c r="N320" s="3777"/>
      <c r="O320" s="3777"/>
      <c r="P320" s="3777"/>
      <c r="Q320" s="3777"/>
      <c r="R320" s="3777"/>
      <c r="S320" s="3777"/>
      <c r="T320" s="3777"/>
      <c r="U320" s="3777"/>
      <c r="V320" s="3777"/>
      <c r="W320" s="3777"/>
      <c r="X320" s="3777"/>
      <c r="Y320" s="3777"/>
      <c r="Z320" s="3777"/>
      <c r="AA320" s="3777"/>
      <c r="AB320" s="3777"/>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6">
        <f t="shared" si="152"/>
        <v>0</v>
      </c>
      <c r="H321" s="1256">
        <f t="shared" si="153"/>
        <v>0</v>
      </c>
      <c r="I321" s="3777"/>
      <c r="J321" s="3777"/>
      <c r="K321" s="3777"/>
      <c r="L321" s="3777"/>
      <c r="M321" s="3777"/>
      <c r="N321" s="3777"/>
      <c r="O321" s="3777"/>
      <c r="P321" s="3777"/>
      <c r="Q321" s="3777"/>
      <c r="R321" s="3777"/>
      <c r="S321" s="3777"/>
      <c r="T321" s="3777"/>
      <c r="U321" s="3777"/>
      <c r="V321" s="3777"/>
      <c r="W321" s="3777"/>
      <c r="X321" s="3777"/>
      <c r="Y321" s="3777"/>
      <c r="Z321" s="3777"/>
      <c r="AA321" s="3777"/>
      <c r="AB321" s="3777"/>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6">
        <f t="shared" si="152"/>
        <v>0</v>
      </c>
      <c r="H322" s="1256">
        <f t="shared" si="153"/>
        <v>0</v>
      </c>
      <c r="I322" s="3777"/>
      <c r="J322" s="3777"/>
      <c r="K322" s="3777"/>
      <c r="L322" s="3777"/>
      <c r="M322" s="3777"/>
      <c r="N322" s="3777"/>
      <c r="O322" s="3777"/>
      <c r="P322" s="3777"/>
      <c r="Q322" s="3777"/>
      <c r="R322" s="3777"/>
      <c r="S322" s="3777"/>
      <c r="T322" s="3777"/>
      <c r="U322" s="3777"/>
      <c r="V322" s="3777"/>
      <c r="W322" s="3777"/>
      <c r="X322" s="3777"/>
      <c r="Y322" s="3777"/>
      <c r="Z322" s="3777"/>
      <c r="AA322" s="3777"/>
      <c r="AB322" s="3777"/>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6">
        <f t="shared" si="152"/>
        <v>0</v>
      </c>
      <c r="H323" s="1256">
        <f t="shared" si="153"/>
        <v>0</v>
      </c>
      <c r="I323" s="3777"/>
      <c r="J323" s="3777"/>
      <c r="K323" s="3777"/>
      <c r="L323" s="3777"/>
      <c r="M323" s="3777"/>
      <c r="N323" s="3777"/>
      <c r="O323" s="3777"/>
      <c r="P323" s="3777"/>
      <c r="Q323" s="3777"/>
      <c r="R323" s="3777"/>
      <c r="S323" s="3777"/>
      <c r="T323" s="3777"/>
      <c r="U323" s="3777"/>
      <c r="V323" s="3777"/>
      <c r="W323" s="3777"/>
      <c r="X323" s="3777"/>
      <c r="Y323" s="3777"/>
      <c r="Z323" s="3777"/>
      <c r="AA323" s="3777"/>
      <c r="AB323" s="3777"/>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6">
        <f t="shared" si="152"/>
        <v>0</v>
      </c>
      <c r="H324" s="1256">
        <f t="shared" si="153"/>
        <v>0</v>
      </c>
      <c r="I324" s="3777"/>
      <c r="J324" s="3777"/>
      <c r="K324" s="3777"/>
      <c r="L324" s="3777"/>
      <c r="M324" s="3777"/>
      <c r="N324" s="3777"/>
      <c r="O324" s="3777"/>
      <c r="P324" s="3777"/>
      <c r="Q324" s="3777"/>
      <c r="R324" s="3777"/>
      <c r="S324" s="3777"/>
      <c r="T324" s="3777"/>
      <c r="U324" s="3777"/>
      <c r="V324" s="3777"/>
      <c r="W324" s="3777"/>
      <c r="X324" s="3777"/>
      <c r="Y324" s="3777"/>
      <c r="Z324" s="3777"/>
      <c r="AA324" s="3777"/>
      <c r="AB324" s="3777"/>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6">
        <f t="shared" si="152"/>
        <v>0</v>
      </c>
      <c r="H325" s="1256">
        <f t="shared" si="153"/>
        <v>0</v>
      </c>
      <c r="I325" s="3777"/>
      <c r="J325" s="3777"/>
      <c r="K325" s="3777"/>
      <c r="L325" s="3777"/>
      <c r="M325" s="3777"/>
      <c r="N325" s="3777"/>
      <c r="O325" s="3777"/>
      <c r="P325" s="3777"/>
      <c r="Q325" s="3777"/>
      <c r="R325" s="3777"/>
      <c r="S325" s="3777"/>
      <c r="T325" s="3777"/>
      <c r="U325" s="3777"/>
      <c r="V325" s="3777"/>
      <c r="W325" s="3777"/>
      <c r="X325" s="3777"/>
      <c r="Y325" s="3777"/>
      <c r="Z325" s="3777"/>
      <c r="AA325" s="3777"/>
      <c r="AB325" s="3777"/>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6">
        <f t="shared" si="152"/>
        <v>0</v>
      </c>
      <c r="H326" s="1256">
        <f t="shared" si="153"/>
        <v>0</v>
      </c>
      <c r="I326" s="3777"/>
      <c r="J326" s="3777"/>
      <c r="K326" s="3777"/>
      <c r="L326" s="3777"/>
      <c r="M326" s="3777"/>
      <c r="N326" s="3777"/>
      <c r="O326" s="3777"/>
      <c r="P326" s="3777"/>
      <c r="Q326" s="3777"/>
      <c r="R326" s="3777"/>
      <c r="S326" s="3777"/>
      <c r="T326" s="3777"/>
      <c r="U326" s="3777"/>
      <c r="V326" s="3777"/>
      <c r="W326" s="3777"/>
      <c r="X326" s="3777"/>
      <c r="Y326" s="3777"/>
      <c r="Z326" s="3777"/>
      <c r="AA326" s="3777"/>
      <c r="AB326" s="3777"/>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6">
        <f t="shared" si="152"/>
        <v>0</v>
      </c>
      <c r="H327" s="1256">
        <f t="shared" si="153"/>
        <v>0</v>
      </c>
      <c r="I327" s="3777"/>
      <c r="J327" s="3777"/>
      <c r="K327" s="3777"/>
      <c r="L327" s="3777"/>
      <c r="M327" s="3777"/>
      <c r="N327" s="3777"/>
      <c r="O327" s="3777"/>
      <c r="P327" s="3777"/>
      <c r="Q327" s="3777"/>
      <c r="R327" s="3777"/>
      <c r="S327" s="3777"/>
      <c r="T327" s="3777"/>
      <c r="U327" s="3777"/>
      <c r="V327" s="3777"/>
      <c r="W327" s="3777"/>
      <c r="X327" s="3777"/>
      <c r="Y327" s="3777"/>
      <c r="Z327" s="3777"/>
      <c r="AA327" s="3777"/>
      <c r="AB327" s="3777"/>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6">
        <f t="shared" si="152"/>
        <v>0</v>
      </c>
      <c r="H328" s="1256">
        <f t="shared" si="153"/>
        <v>0</v>
      </c>
      <c r="I328" s="3777"/>
      <c r="J328" s="3777"/>
      <c r="K328" s="3777"/>
      <c r="L328" s="3777"/>
      <c r="M328" s="3777"/>
      <c r="N328" s="3777"/>
      <c r="O328" s="3777"/>
      <c r="P328" s="3777"/>
      <c r="Q328" s="3777"/>
      <c r="R328" s="3777"/>
      <c r="S328" s="3777"/>
      <c r="T328" s="3777"/>
      <c r="U328" s="3777"/>
      <c r="V328" s="3777"/>
      <c r="W328" s="3777"/>
      <c r="X328" s="3777"/>
      <c r="Y328" s="3777"/>
      <c r="Z328" s="3777"/>
      <c r="AA328" s="3777"/>
      <c r="AB328" s="3777"/>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6">
        <f t="shared" si="152"/>
        <v>0</v>
      </c>
      <c r="H329" s="1256">
        <f t="shared" si="153"/>
        <v>0</v>
      </c>
      <c r="I329" s="3777"/>
      <c r="J329" s="3777"/>
      <c r="K329" s="3777"/>
      <c r="L329" s="3777"/>
      <c r="M329" s="3777"/>
      <c r="N329" s="3777"/>
      <c r="O329" s="3777"/>
      <c r="P329" s="3777"/>
      <c r="Q329" s="3777"/>
      <c r="R329" s="3777"/>
      <c r="S329" s="3777"/>
      <c r="T329" s="3777"/>
      <c r="U329" s="3777"/>
      <c r="V329" s="3777"/>
      <c r="W329" s="3777"/>
      <c r="X329" s="3777"/>
      <c r="Y329" s="3777"/>
      <c r="Z329" s="3777"/>
      <c r="AA329" s="3777"/>
      <c r="AB329" s="3777"/>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6">
        <f t="shared" si="152"/>
        <v>0</v>
      </c>
      <c r="H330" s="1256">
        <f t="shared" si="153"/>
        <v>0</v>
      </c>
      <c r="I330" s="3777"/>
      <c r="J330" s="3777"/>
      <c r="K330" s="3777"/>
      <c r="L330" s="3777"/>
      <c r="M330" s="3777"/>
      <c r="N330" s="3777"/>
      <c r="O330" s="3777"/>
      <c r="P330" s="3777"/>
      <c r="Q330" s="3777"/>
      <c r="R330" s="3777"/>
      <c r="S330" s="3777"/>
      <c r="T330" s="3777"/>
      <c r="U330" s="3777"/>
      <c r="V330" s="3777"/>
      <c r="W330" s="3777"/>
      <c r="X330" s="3777"/>
      <c r="Y330" s="3777"/>
      <c r="Z330" s="3777"/>
      <c r="AA330" s="3777"/>
      <c r="AB330" s="3777"/>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6">
        <f t="shared" si="152"/>
        <v>0</v>
      </c>
      <c r="H331" s="1256">
        <f t="shared" si="153"/>
        <v>0</v>
      </c>
      <c r="I331" s="3777"/>
      <c r="J331" s="3777"/>
      <c r="K331" s="3777"/>
      <c r="L331" s="3777"/>
      <c r="M331" s="3777"/>
      <c r="N331" s="3777"/>
      <c r="O331" s="3777"/>
      <c r="P331" s="3777"/>
      <c r="Q331" s="3777"/>
      <c r="R331" s="3777"/>
      <c r="S331" s="3777"/>
      <c r="T331" s="3777"/>
      <c r="U331" s="3777"/>
      <c r="V331" s="3777"/>
      <c r="W331" s="3777"/>
      <c r="X331" s="3777"/>
      <c r="Y331" s="3777"/>
      <c r="Z331" s="3777"/>
      <c r="AA331" s="3777"/>
      <c r="AB331" s="3777"/>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6">
        <f t="shared" ref="G332:G363" si="181">H332+AC332+AT332</f>
        <v>0</v>
      </c>
      <c r="H332" s="1256">
        <f t="shared" ref="H332:H363" si="182">SUMIF(I$12:AB$12,"总值",I332:AB332)</f>
        <v>0</v>
      </c>
      <c r="I332" s="3777"/>
      <c r="J332" s="3777"/>
      <c r="K332" s="3777"/>
      <c r="L332" s="3777"/>
      <c r="M332" s="3777"/>
      <c r="N332" s="3777"/>
      <c r="O332" s="3777"/>
      <c r="P332" s="3777"/>
      <c r="Q332" s="3777"/>
      <c r="R332" s="3777"/>
      <c r="S332" s="3777"/>
      <c r="T332" s="3777"/>
      <c r="U332" s="3777"/>
      <c r="V332" s="3777"/>
      <c r="W332" s="3777"/>
      <c r="X332" s="3777"/>
      <c r="Y332" s="3777"/>
      <c r="Z332" s="3777"/>
      <c r="AA332" s="3777"/>
      <c r="AB332" s="3777"/>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6">
        <f t="shared" si="181"/>
        <v>0</v>
      </c>
      <c r="H333" s="1256">
        <f t="shared" si="182"/>
        <v>0</v>
      </c>
      <c r="I333" s="3777"/>
      <c r="J333" s="3777"/>
      <c r="K333" s="3777"/>
      <c r="L333" s="3777"/>
      <c r="M333" s="3777"/>
      <c r="N333" s="3777"/>
      <c r="O333" s="3777"/>
      <c r="P333" s="3777"/>
      <c r="Q333" s="3777"/>
      <c r="R333" s="3777"/>
      <c r="S333" s="3777"/>
      <c r="T333" s="3777"/>
      <c r="U333" s="3777"/>
      <c r="V333" s="3777"/>
      <c r="W333" s="3777"/>
      <c r="X333" s="3777"/>
      <c r="Y333" s="3777"/>
      <c r="Z333" s="3777"/>
      <c r="AA333" s="3777"/>
      <c r="AB333" s="3777"/>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6">
        <f t="shared" si="181"/>
        <v>0</v>
      </c>
      <c r="H334" s="1256">
        <f t="shared" si="182"/>
        <v>0</v>
      </c>
      <c r="I334" s="3777"/>
      <c r="J334" s="3777"/>
      <c r="K334" s="3777"/>
      <c r="L334" s="3777"/>
      <c r="M334" s="3777"/>
      <c r="N334" s="3777"/>
      <c r="O334" s="3777"/>
      <c r="P334" s="3777"/>
      <c r="Q334" s="3777"/>
      <c r="R334" s="3777"/>
      <c r="S334" s="3777"/>
      <c r="T334" s="3777"/>
      <c r="U334" s="3777"/>
      <c r="V334" s="3777"/>
      <c r="W334" s="3777"/>
      <c r="X334" s="3777"/>
      <c r="Y334" s="3777"/>
      <c r="Z334" s="3777"/>
      <c r="AA334" s="3777"/>
      <c r="AB334" s="3777"/>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6">
        <f t="shared" si="181"/>
        <v>0</v>
      </c>
      <c r="H335" s="1256">
        <f t="shared" si="182"/>
        <v>0</v>
      </c>
      <c r="I335" s="3777"/>
      <c r="J335" s="3777"/>
      <c r="K335" s="3777"/>
      <c r="L335" s="3777"/>
      <c r="M335" s="3777"/>
      <c r="N335" s="3777"/>
      <c r="O335" s="3777"/>
      <c r="P335" s="3777"/>
      <c r="Q335" s="3777"/>
      <c r="R335" s="3777"/>
      <c r="S335" s="3777"/>
      <c r="T335" s="3777"/>
      <c r="U335" s="3777"/>
      <c r="V335" s="3777"/>
      <c r="W335" s="3777"/>
      <c r="X335" s="3777"/>
      <c r="Y335" s="3777"/>
      <c r="Z335" s="3777"/>
      <c r="AA335" s="3777"/>
      <c r="AB335" s="3777"/>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6">
        <f t="shared" si="181"/>
        <v>0</v>
      </c>
      <c r="H336" s="1256">
        <f t="shared" si="182"/>
        <v>0</v>
      </c>
      <c r="I336" s="3777"/>
      <c r="J336" s="3777"/>
      <c r="K336" s="3777"/>
      <c r="L336" s="3777"/>
      <c r="M336" s="3777"/>
      <c r="N336" s="3777"/>
      <c r="O336" s="3777"/>
      <c r="P336" s="3777"/>
      <c r="Q336" s="3777"/>
      <c r="R336" s="3777"/>
      <c r="S336" s="3777"/>
      <c r="T336" s="3777"/>
      <c r="U336" s="3777"/>
      <c r="V336" s="3777"/>
      <c r="W336" s="3777"/>
      <c r="X336" s="3777"/>
      <c r="Y336" s="3777"/>
      <c r="Z336" s="3777"/>
      <c r="AA336" s="3777"/>
      <c r="AB336" s="3777"/>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6">
        <f t="shared" si="181"/>
        <v>0</v>
      </c>
      <c r="H337" s="1256">
        <f t="shared" si="182"/>
        <v>0</v>
      </c>
      <c r="I337" s="3777"/>
      <c r="J337" s="3777"/>
      <c r="K337" s="3777"/>
      <c r="L337" s="3777"/>
      <c r="M337" s="3777"/>
      <c r="N337" s="3777"/>
      <c r="O337" s="3777"/>
      <c r="P337" s="3777"/>
      <c r="Q337" s="3777"/>
      <c r="R337" s="3777"/>
      <c r="S337" s="3777"/>
      <c r="T337" s="3777"/>
      <c r="U337" s="3777"/>
      <c r="V337" s="3777"/>
      <c r="W337" s="3777"/>
      <c r="X337" s="3777"/>
      <c r="Y337" s="3777"/>
      <c r="Z337" s="3777"/>
      <c r="AA337" s="3777"/>
      <c r="AB337" s="3777"/>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6">
        <f t="shared" si="181"/>
        <v>0</v>
      </c>
      <c r="H338" s="1256">
        <f t="shared" si="182"/>
        <v>0</v>
      </c>
      <c r="I338" s="3777"/>
      <c r="J338" s="3777"/>
      <c r="K338" s="3777"/>
      <c r="L338" s="3777"/>
      <c r="M338" s="3777"/>
      <c r="N338" s="3777"/>
      <c r="O338" s="3777"/>
      <c r="P338" s="3777"/>
      <c r="Q338" s="3777"/>
      <c r="R338" s="3777"/>
      <c r="S338" s="3777"/>
      <c r="T338" s="3777"/>
      <c r="U338" s="3777"/>
      <c r="V338" s="3777"/>
      <c r="W338" s="3777"/>
      <c r="X338" s="3777"/>
      <c r="Y338" s="3777"/>
      <c r="Z338" s="3777"/>
      <c r="AA338" s="3777"/>
      <c r="AB338" s="3777"/>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6">
        <f t="shared" si="181"/>
        <v>0</v>
      </c>
      <c r="H339" s="1256">
        <f t="shared" si="182"/>
        <v>0</v>
      </c>
      <c r="I339" s="3777"/>
      <c r="J339" s="3777"/>
      <c r="K339" s="3777"/>
      <c r="L339" s="3777"/>
      <c r="M339" s="3777"/>
      <c r="N339" s="3777"/>
      <c r="O339" s="3777"/>
      <c r="P339" s="3777"/>
      <c r="Q339" s="3777"/>
      <c r="R339" s="3777"/>
      <c r="S339" s="3777"/>
      <c r="T339" s="3777"/>
      <c r="U339" s="3777"/>
      <c r="V339" s="3777"/>
      <c r="W339" s="3777"/>
      <c r="X339" s="3777"/>
      <c r="Y339" s="3777"/>
      <c r="Z339" s="3777"/>
      <c r="AA339" s="3777"/>
      <c r="AB339" s="3777"/>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6">
        <f t="shared" si="181"/>
        <v>0</v>
      </c>
      <c r="H340" s="1256">
        <f t="shared" si="182"/>
        <v>0</v>
      </c>
      <c r="I340" s="3777"/>
      <c r="J340" s="3777"/>
      <c r="K340" s="3777"/>
      <c r="L340" s="3777"/>
      <c r="M340" s="3777"/>
      <c r="N340" s="3777"/>
      <c r="O340" s="3777"/>
      <c r="P340" s="3777"/>
      <c r="Q340" s="3777"/>
      <c r="R340" s="3777"/>
      <c r="S340" s="3777"/>
      <c r="T340" s="3777"/>
      <c r="U340" s="3777"/>
      <c r="V340" s="3777"/>
      <c r="W340" s="3777"/>
      <c r="X340" s="3777"/>
      <c r="Y340" s="3777"/>
      <c r="Z340" s="3777"/>
      <c r="AA340" s="3777"/>
      <c r="AB340" s="3777"/>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6">
        <f t="shared" si="181"/>
        <v>0</v>
      </c>
      <c r="H341" s="1256">
        <f t="shared" si="182"/>
        <v>0</v>
      </c>
      <c r="I341" s="3777"/>
      <c r="J341" s="3777"/>
      <c r="K341" s="3777"/>
      <c r="L341" s="3777"/>
      <c r="M341" s="3777"/>
      <c r="N341" s="3777"/>
      <c r="O341" s="3777"/>
      <c r="P341" s="3777"/>
      <c r="Q341" s="3777"/>
      <c r="R341" s="3777"/>
      <c r="S341" s="3777"/>
      <c r="T341" s="3777"/>
      <c r="U341" s="3777"/>
      <c r="V341" s="3777"/>
      <c r="W341" s="3777"/>
      <c r="X341" s="3777"/>
      <c r="Y341" s="3777"/>
      <c r="Z341" s="3777"/>
      <c r="AA341" s="3777"/>
      <c r="AB341" s="3777"/>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6">
        <f t="shared" si="181"/>
        <v>0</v>
      </c>
      <c r="H342" s="1256">
        <f t="shared" si="182"/>
        <v>0</v>
      </c>
      <c r="I342" s="3777"/>
      <c r="J342" s="3777"/>
      <c r="K342" s="3777"/>
      <c r="L342" s="3777"/>
      <c r="M342" s="3777"/>
      <c r="N342" s="3777"/>
      <c r="O342" s="3777"/>
      <c r="P342" s="3777"/>
      <c r="Q342" s="3777"/>
      <c r="R342" s="3777"/>
      <c r="S342" s="3777"/>
      <c r="T342" s="3777"/>
      <c r="U342" s="3777"/>
      <c r="V342" s="3777"/>
      <c r="W342" s="3777"/>
      <c r="X342" s="3777"/>
      <c r="Y342" s="3777"/>
      <c r="Z342" s="3777"/>
      <c r="AA342" s="3777"/>
      <c r="AB342" s="3777"/>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6">
        <f t="shared" si="181"/>
        <v>0</v>
      </c>
      <c r="H343" s="1256">
        <f t="shared" si="182"/>
        <v>0</v>
      </c>
      <c r="I343" s="3777"/>
      <c r="J343" s="3777"/>
      <c r="K343" s="3777"/>
      <c r="L343" s="3777"/>
      <c r="M343" s="3777"/>
      <c r="N343" s="3777"/>
      <c r="O343" s="3777"/>
      <c r="P343" s="3777"/>
      <c r="Q343" s="3777"/>
      <c r="R343" s="3777"/>
      <c r="S343" s="3777"/>
      <c r="T343" s="3777"/>
      <c r="U343" s="3777"/>
      <c r="V343" s="3777"/>
      <c r="W343" s="3777"/>
      <c r="X343" s="3777"/>
      <c r="Y343" s="3777"/>
      <c r="Z343" s="3777"/>
      <c r="AA343" s="3777"/>
      <c r="AB343" s="3777"/>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6">
        <f t="shared" si="181"/>
        <v>0</v>
      </c>
      <c r="H344" s="1256">
        <f t="shared" si="182"/>
        <v>0</v>
      </c>
      <c r="I344" s="3777"/>
      <c r="J344" s="3777"/>
      <c r="K344" s="3777"/>
      <c r="L344" s="3777"/>
      <c r="M344" s="3777"/>
      <c r="N344" s="3777"/>
      <c r="O344" s="3777"/>
      <c r="P344" s="3777"/>
      <c r="Q344" s="3777"/>
      <c r="R344" s="3777"/>
      <c r="S344" s="3777"/>
      <c r="T344" s="3777"/>
      <c r="U344" s="3777"/>
      <c r="V344" s="3777"/>
      <c r="W344" s="3777"/>
      <c r="X344" s="3777"/>
      <c r="Y344" s="3777"/>
      <c r="Z344" s="3777"/>
      <c r="AA344" s="3777"/>
      <c r="AB344" s="3777"/>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6">
        <f t="shared" si="181"/>
        <v>0</v>
      </c>
      <c r="H345" s="1256">
        <f t="shared" si="182"/>
        <v>0</v>
      </c>
      <c r="I345" s="3777"/>
      <c r="J345" s="3777"/>
      <c r="K345" s="3777"/>
      <c r="L345" s="3777"/>
      <c r="M345" s="3777"/>
      <c r="N345" s="3777"/>
      <c r="O345" s="3777"/>
      <c r="P345" s="3777"/>
      <c r="Q345" s="3777"/>
      <c r="R345" s="3777"/>
      <c r="S345" s="3777"/>
      <c r="T345" s="3777"/>
      <c r="U345" s="3777"/>
      <c r="V345" s="3777"/>
      <c r="W345" s="3777"/>
      <c r="X345" s="3777"/>
      <c r="Y345" s="3777"/>
      <c r="Z345" s="3777"/>
      <c r="AA345" s="3777"/>
      <c r="AB345" s="3777"/>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6">
        <f t="shared" si="181"/>
        <v>0</v>
      </c>
      <c r="H346" s="1256">
        <f t="shared" si="182"/>
        <v>0</v>
      </c>
      <c r="I346" s="3777"/>
      <c r="J346" s="3777"/>
      <c r="K346" s="3777"/>
      <c r="L346" s="3777"/>
      <c r="M346" s="3777"/>
      <c r="N346" s="3777"/>
      <c r="O346" s="3777"/>
      <c r="P346" s="3777"/>
      <c r="Q346" s="3777"/>
      <c r="R346" s="3777"/>
      <c r="S346" s="3777"/>
      <c r="T346" s="3777"/>
      <c r="U346" s="3777"/>
      <c r="V346" s="3777"/>
      <c r="W346" s="3777"/>
      <c r="X346" s="3777"/>
      <c r="Y346" s="3777"/>
      <c r="Z346" s="3777"/>
      <c r="AA346" s="3777"/>
      <c r="AB346" s="3777"/>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6">
        <f t="shared" si="181"/>
        <v>0</v>
      </c>
      <c r="H347" s="1256">
        <f t="shared" si="182"/>
        <v>0</v>
      </c>
      <c r="I347" s="3777"/>
      <c r="J347" s="3777"/>
      <c r="K347" s="3777"/>
      <c r="L347" s="3777"/>
      <c r="M347" s="3777"/>
      <c r="N347" s="3777"/>
      <c r="O347" s="3777"/>
      <c r="P347" s="3777"/>
      <c r="Q347" s="3777"/>
      <c r="R347" s="3777"/>
      <c r="S347" s="3777"/>
      <c r="T347" s="3777"/>
      <c r="U347" s="3777"/>
      <c r="V347" s="3777"/>
      <c r="W347" s="3777"/>
      <c r="X347" s="3777"/>
      <c r="Y347" s="3777"/>
      <c r="Z347" s="3777"/>
      <c r="AA347" s="3777"/>
      <c r="AB347" s="3777"/>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6">
        <f t="shared" si="181"/>
        <v>0</v>
      </c>
      <c r="H348" s="1256">
        <f t="shared" si="182"/>
        <v>0</v>
      </c>
      <c r="I348" s="3777"/>
      <c r="J348" s="3777"/>
      <c r="K348" s="3777"/>
      <c r="L348" s="3777"/>
      <c r="M348" s="3777"/>
      <c r="N348" s="3777"/>
      <c r="O348" s="3777"/>
      <c r="P348" s="3777"/>
      <c r="Q348" s="3777"/>
      <c r="R348" s="3777"/>
      <c r="S348" s="3777"/>
      <c r="T348" s="3777"/>
      <c r="U348" s="3777"/>
      <c r="V348" s="3777"/>
      <c r="W348" s="3777"/>
      <c r="X348" s="3777"/>
      <c r="Y348" s="3777"/>
      <c r="Z348" s="3777"/>
      <c r="AA348" s="3777"/>
      <c r="AB348" s="3777"/>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6">
        <f t="shared" si="181"/>
        <v>0</v>
      </c>
      <c r="H349" s="1256">
        <f t="shared" si="182"/>
        <v>0</v>
      </c>
      <c r="I349" s="3777"/>
      <c r="J349" s="3777"/>
      <c r="K349" s="3777"/>
      <c r="L349" s="3777"/>
      <c r="M349" s="3777"/>
      <c r="N349" s="3777"/>
      <c r="O349" s="3777"/>
      <c r="P349" s="3777"/>
      <c r="Q349" s="3777"/>
      <c r="R349" s="3777"/>
      <c r="S349" s="3777"/>
      <c r="T349" s="3777"/>
      <c r="U349" s="3777"/>
      <c r="V349" s="3777"/>
      <c r="W349" s="3777"/>
      <c r="X349" s="3777"/>
      <c r="Y349" s="3777"/>
      <c r="Z349" s="3777"/>
      <c r="AA349" s="3777"/>
      <c r="AB349" s="3777"/>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6">
        <f t="shared" si="181"/>
        <v>0</v>
      </c>
      <c r="H350" s="1256">
        <f t="shared" si="182"/>
        <v>0</v>
      </c>
      <c r="I350" s="3777"/>
      <c r="J350" s="3777"/>
      <c r="K350" s="3777"/>
      <c r="L350" s="3777"/>
      <c r="M350" s="3777"/>
      <c r="N350" s="3777"/>
      <c r="O350" s="3777"/>
      <c r="P350" s="3777"/>
      <c r="Q350" s="3777"/>
      <c r="R350" s="3777"/>
      <c r="S350" s="3777"/>
      <c r="T350" s="3777"/>
      <c r="U350" s="3777"/>
      <c r="V350" s="3777"/>
      <c r="W350" s="3777"/>
      <c r="X350" s="3777"/>
      <c r="Y350" s="3777"/>
      <c r="Z350" s="3777"/>
      <c r="AA350" s="3777"/>
      <c r="AB350" s="3777"/>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6">
        <f t="shared" si="181"/>
        <v>0</v>
      </c>
      <c r="H351" s="1256">
        <f t="shared" si="182"/>
        <v>0</v>
      </c>
      <c r="I351" s="3777"/>
      <c r="J351" s="3777"/>
      <c r="K351" s="3777"/>
      <c r="L351" s="3777"/>
      <c r="M351" s="3777"/>
      <c r="N351" s="3777"/>
      <c r="O351" s="3777"/>
      <c r="P351" s="3777"/>
      <c r="Q351" s="3777"/>
      <c r="R351" s="3777"/>
      <c r="S351" s="3777"/>
      <c r="T351" s="3777"/>
      <c r="U351" s="3777"/>
      <c r="V351" s="3777"/>
      <c r="W351" s="3777"/>
      <c r="X351" s="3777"/>
      <c r="Y351" s="3777"/>
      <c r="Z351" s="3777"/>
      <c r="AA351" s="3777"/>
      <c r="AB351" s="3777"/>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6">
        <f t="shared" si="181"/>
        <v>0</v>
      </c>
      <c r="H352" s="1256">
        <f t="shared" si="182"/>
        <v>0</v>
      </c>
      <c r="I352" s="3777"/>
      <c r="J352" s="3777"/>
      <c r="K352" s="3777"/>
      <c r="L352" s="3777"/>
      <c r="M352" s="3777"/>
      <c r="N352" s="3777"/>
      <c r="O352" s="3777"/>
      <c r="P352" s="3777"/>
      <c r="Q352" s="3777"/>
      <c r="R352" s="3777"/>
      <c r="S352" s="3777"/>
      <c r="T352" s="3777"/>
      <c r="U352" s="3777"/>
      <c r="V352" s="3777"/>
      <c r="W352" s="3777"/>
      <c r="X352" s="3777"/>
      <c r="Y352" s="3777"/>
      <c r="Z352" s="3777"/>
      <c r="AA352" s="3777"/>
      <c r="AB352" s="3777"/>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6">
        <f t="shared" si="181"/>
        <v>0</v>
      </c>
      <c r="H353" s="1256">
        <f t="shared" si="182"/>
        <v>0</v>
      </c>
      <c r="I353" s="3777"/>
      <c r="J353" s="3777"/>
      <c r="K353" s="3777"/>
      <c r="L353" s="3777"/>
      <c r="M353" s="3777"/>
      <c r="N353" s="3777"/>
      <c r="O353" s="3777"/>
      <c r="P353" s="3777"/>
      <c r="Q353" s="3777"/>
      <c r="R353" s="3777"/>
      <c r="S353" s="3777"/>
      <c r="T353" s="3777"/>
      <c r="U353" s="3777"/>
      <c r="V353" s="3777"/>
      <c r="W353" s="3777"/>
      <c r="X353" s="3777"/>
      <c r="Y353" s="3777"/>
      <c r="Z353" s="3777"/>
      <c r="AA353" s="3777"/>
      <c r="AB353" s="3777"/>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6">
        <f t="shared" si="181"/>
        <v>0</v>
      </c>
      <c r="H354" s="1256">
        <f t="shared" si="182"/>
        <v>0</v>
      </c>
      <c r="I354" s="3777"/>
      <c r="J354" s="3777"/>
      <c r="K354" s="3777"/>
      <c r="L354" s="3777"/>
      <c r="M354" s="3777"/>
      <c r="N354" s="3777"/>
      <c r="O354" s="3777"/>
      <c r="P354" s="3777"/>
      <c r="Q354" s="3777"/>
      <c r="R354" s="3777"/>
      <c r="S354" s="3777"/>
      <c r="T354" s="3777"/>
      <c r="U354" s="3777"/>
      <c r="V354" s="3777"/>
      <c r="W354" s="3777"/>
      <c r="X354" s="3777"/>
      <c r="Y354" s="3777"/>
      <c r="Z354" s="3777"/>
      <c r="AA354" s="3777"/>
      <c r="AB354" s="3777"/>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6">
        <f t="shared" si="181"/>
        <v>0</v>
      </c>
      <c r="H355" s="1256">
        <f t="shared" si="182"/>
        <v>0</v>
      </c>
      <c r="I355" s="3777"/>
      <c r="J355" s="3777"/>
      <c r="K355" s="3777"/>
      <c r="L355" s="3777"/>
      <c r="M355" s="3777"/>
      <c r="N355" s="3777"/>
      <c r="O355" s="3777"/>
      <c r="P355" s="3777"/>
      <c r="Q355" s="3777"/>
      <c r="R355" s="3777"/>
      <c r="S355" s="3777"/>
      <c r="T355" s="3777"/>
      <c r="U355" s="3777"/>
      <c r="V355" s="3777"/>
      <c r="W355" s="3777"/>
      <c r="X355" s="3777"/>
      <c r="Y355" s="3777"/>
      <c r="Z355" s="3777"/>
      <c r="AA355" s="3777"/>
      <c r="AB355" s="3777"/>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6">
        <f t="shared" si="181"/>
        <v>0</v>
      </c>
      <c r="H356" s="1256">
        <f t="shared" si="182"/>
        <v>0</v>
      </c>
      <c r="I356" s="3777"/>
      <c r="J356" s="3777"/>
      <c r="K356" s="3777"/>
      <c r="L356" s="3777"/>
      <c r="M356" s="3777"/>
      <c r="N356" s="3777"/>
      <c r="O356" s="3777"/>
      <c r="P356" s="3777"/>
      <c r="Q356" s="3777"/>
      <c r="R356" s="3777"/>
      <c r="S356" s="3777"/>
      <c r="T356" s="3777"/>
      <c r="U356" s="3777"/>
      <c r="V356" s="3777"/>
      <c r="W356" s="3777"/>
      <c r="X356" s="3777"/>
      <c r="Y356" s="3777"/>
      <c r="Z356" s="3777"/>
      <c r="AA356" s="3777"/>
      <c r="AB356" s="3777"/>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6">
        <f t="shared" si="181"/>
        <v>0</v>
      </c>
      <c r="H357" s="1256">
        <f t="shared" si="182"/>
        <v>0</v>
      </c>
      <c r="I357" s="3777"/>
      <c r="J357" s="3777"/>
      <c r="K357" s="3777"/>
      <c r="L357" s="3777"/>
      <c r="M357" s="3777"/>
      <c r="N357" s="3777"/>
      <c r="O357" s="3777"/>
      <c r="P357" s="3777"/>
      <c r="Q357" s="3777"/>
      <c r="R357" s="3777"/>
      <c r="S357" s="3777"/>
      <c r="T357" s="3777"/>
      <c r="U357" s="3777"/>
      <c r="V357" s="3777"/>
      <c r="W357" s="3777"/>
      <c r="X357" s="3777"/>
      <c r="Y357" s="3777"/>
      <c r="Z357" s="3777"/>
      <c r="AA357" s="3777"/>
      <c r="AB357" s="3777"/>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6">
        <f t="shared" si="181"/>
        <v>0</v>
      </c>
      <c r="H358" s="1256">
        <f t="shared" si="182"/>
        <v>0</v>
      </c>
      <c r="I358" s="3777"/>
      <c r="J358" s="3777"/>
      <c r="K358" s="3777"/>
      <c r="L358" s="3777"/>
      <c r="M358" s="3777"/>
      <c r="N358" s="3777"/>
      <c r="O358" s="3777"/>
      <c r="P358" s="3777"/>
      <c r="Q358" s="3777"/>
      <c r="R358" s="3777"/>
      <c r="S358" s="3777"/>
      <c r="T358" s="3777"/>
      <c r="U358" s="3777"/>
      <c r="V358" s="3777"/>
      <c r="W358" s="3777"/>
      <c r="X358" s="3777"/>
      <c r="Y358" s="3777"/>
      <c r="Z358" s="3777"/>
      <c r="AA358" s="3777"/>
      <c r="AB358" s="3777"/>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6">
        <f t="shared" si="181"/>
        <v>0</v>
      </c>
      <c r="H359" s="1256">
        <f t="shared" si="182"/>
        <v>0</v>
      </c>
      <c r="I359" s="3777"/>
      <c r="J359" s="3777"/>
      <c r="K359" s="3777"/>
      <c r="L359" s="3777"/>
      <c r="M359" s="3777"/>
      <c r="N359" s="3777"/>
      <c r="O359" s="3777"/>
      <c r="P359" s="3777"/>
      <c r="Q359" s="3777"/>
      <c r="R359" s="3777"/>
      <c r="S359" s="3777"/>
      <c r="T359" s="3777"/>
      <c r="U359" s="3777"/>
      <c r="V359" s="3777"/>
      <c r="W359" s="3777"/>
      <c r="X359" s="3777"/>
      <c r="Y359" s="3777"/>
      <c r="Z359" s="3777"/>
      <c r="AA359" s="3777"/>
      <c r="AB359" s="3777"/>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6">
        <f t="shared" si="181"/>
        <v>0</v>
      </c>
      <c r="H360" s="1256">
        <f t="shared" si="182"/>
        <v>0</v>
      </c>
      <c r="I360" s="3777"/>
      <c r="J360" s="3777"/>
      <c r="K360" s="3777"/>
      <c r="L360" s="3777"/>
      <c r="M360" s="3777"/>
      <c r="N360" s="3777"/>
      <c r="O360" s="3777"/>
      <c r="P360" s="3777"/>
      <c r="Q360" s="3777"/>
      <c r="R360" s="3777"/>
      <c r="S360" s="3777"/>
      <c r="T360" s="3777"/>
      <c r="U360" s="3777"/>
      <c r="V360" s="3777"/>
      <c r="W360" s="3777"/>
      <c r="X360" s="3777"/>
      <c r="Y360" s="3777"/>
      <c r="Z360" s="3777"/>
      <c r="AA360" s="3777"/>
      <c r="AB360" s="3777"/>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6">
        <f t="shared" si="181"/>
        <v>0</v>
      </c>
      <c r="H361" s="1256">
        <f t="shared" si="182"/>
        <v>0</v>
      </c>
      <c r="I361" s="3777"/>
      <c r="J361" s="3777"/>
      <c r="K361" s="3777"/>
      <c r="L361" s="3777"/>
      <c r="M361" s="3777"/>
      <c r="N361" s="3777"/>
      <c r="O361" s="3777"/>
      <c r="P361" s="3777"/>
      <c r="Q361" s="3777"/>
      <c r="R361" s="3777"/>
      <c r="S361" s="3777"/>
      <c r="T361" s="3777"/>
      <c r="U361" s="3777"/>
      <c r="V361" s="3777"/>
      <c r="W361" s="3777"/>
      <c r="X361" s="3777"/>
      <c r="Y361" s="3777"/>
      <c r="Z361" s="3777"/>
      <c r="AA361" s="3777"/>
      <c r="AB361" s="3777"/>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6">
        <f t="shared" si="181"/>
        <v>0</v>
      </c>
      <c r="H362" s="1256">
        <f t="shared" si="182"/>
        <v>0</v>
      </c>
      <c r="I362" s="3777"/>
      <c r="J362" s="3777"/>
      <c r="K362" s="3777"/>
      <c r="L362" s="3777"/>
      <c r="M362" s="3777"/>
      <c r="N362" s="3777"/>
      <c r="O362" s="3777"/>
      <c r="P362" s="3777"/>
      <c r="Q362" s="3777"/>
      <c r="R362" s="3777"/>
      <c r="S362" s="3777"/>
      <c r="T362" s="3777"/>
      <c r="U362" s="3777"/>
      <c r="V362" s="3777"/>
      <c r="W362" s="3777"/>
      <c r="X362" s="3777"/>
      <c r="Y362" s="3777"/>
      <c r="Z362" s="3777"/>
      <c r="AA362" s="3777"/>
      <c r="AB362" s="3777"/>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6">
        <f t="shared" si="181"/>
        <v>0</v>
      </c>
      <c r="H363" s="1256">
        <f t="shared" si="182"/>
        <v>0</v>
      </c>
      <c r="I363" s="3777"/>
      <c r="J363" s="3777"/>
      <c r="K363" s="3777"/>
      <c r="L363" s="3777"/>
      <c r="M363" s="3777"/>
      <c r="N363" s="3777"/>
      <c r="O363" s="3777"/>
      <c r="P363" s="3777"/>
      <c r="Q363" s="3777"/>
      <c r="R363" s="3777"/>
      <c r="S363" s="3777"/>
      <c r="T363" s="3777"/>
      <c r="U363" s="3777"/>
      <c r="V363" s="3777"/>
      <c r="W363" s="3777"/>
      <c r="X363" s="3777"/>
      <c r="Y363" s="3777"/>
      <c r="Z363" s="3777"/>
      <c r="AA363" s="3777"/>
      <c r="AB363" s="3777"/>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6">
        <f t="shared" ref="G364:G395" si="210">H364+AC364+AT364</f>
        <v>0</v>
      </c>
      <c r="H364" s="1256">
        <f t="shared" ref="H364:H395" si="211">SUMIF(I$12:AB$12,"总值",I364:AB364)</f>
        <v>0</v>
      </c>
      <c r="I364" s="3777"/>
      <c r="J364" s="3777"/>
      <c r="K364" s="3777"/>
      <c r="L364" s="3777"/>
      <c r="M364" s="3777"/>
      <c r="N364" s="3777"/>
      <c r="O364" s="3777"/>
      <c r="P364" s="3777"/>
      <c r="Q364" s="3777"/>
      <c r="R364" s="3777"/>
      <c r="S364" s="3777"/>
      <c r="T364" s="3777"/>
      <c r="U364" s="3777"/>
      <c r="V364" s="3777"/>
      <c r="W364" s="3777"/>
      <c r="X364" s="3777"/>
      <c r="Y364" s="3777"/>
      <c r="Z364" s="3777"/>
      <c r="AA364" s="3777"/>
      <c r="AB364" s="3777"/>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6">
        <f t="shared" si="210"/>
        <v>0</v>
      </c>
      <c r="H365" s="1256">
        <f t="shared" si="211"/>
        <v>0</v>
      </c>
      <c r="I365" s="3777"/>
      <c r="J365" s="3777"/>
      <c r="K365" s="3777"/>
      <c r="L365" s="3777"/>
      <c r="M365" s="3777"/>
      <c r="N365" s="3777"/>
      <c r="O365" s="3777"/>
      <c r="P365" s="3777"/>
      <c r="Q365" s="3777"/>
      <c r="R365" s="3777"/>
      <c r="S365" s="3777"/>
      <c r="T365" s="3777"/>
      <c r="U365" s="3777"/>
      <c r="V365" s="3777"/>
      <c r="W365" s="3777"/>
      <c r="X365" s="3777"/>
      <c r="Y365" s="3777"/>
      <c r="Z365" s="3777"/>
      <c r="AA365" s="3777"/>
      <c r="AB365" s="3777"/>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6">
        <f t="shared" si="210"/>
        <v>0</v>
      </c>
      <c r="H366" s="1256">
        <f t="shared" si="211"/>
        <v>0</v>
      </c>
      <c r="I366" s="3777"/>
      <c r="J366" s="3777"/>
      <c r="K366" s="3777"/>
      <c r="L366" s="3777"/>
      <c r="M366" s="3777"/>
      <c r="N366" s="3777"/>
      <c r="O366" s="3777"/>
      <c r="P366" s="3777"/>
      <c r="Q366" s="3777"/>
      <c r="R366" s="3777"/>
      <c r="S366" s="3777"/>
      <c r="T366" s="3777"/>
      <c r="U366" s="3777"/>
      <c r="V366" s="3777"/>
      <c r="W366" s="3777"/>
      <c r="X366" s="3777"/>
      <c r="Y366" s="3777"/>
      <c r="Z366" s="3777"/>
      <c r="AA366" s="3777"/>
      <c r="AB366" s="3777"/>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6">
        <f t="shared" si="210"/>
        <v>0</v>
      </c>
      <c r="H367" s="1256">
        <f t="shared" si="211"/>
        <v>0</v>
      </c>
      <c r="I367" s="3777"/>
      <c r="J367" s="3777"/>
      <c r="K367" s="3777"/>
      <c r="L367" s="3777"/>
      <c r="M367" s="3777"/>
      <c r="N367" s="3777"/>
      <c r="O367" s="3777"/>
      <c r="P367" s="3777"/>
      <c r="Q367" s="3777"/>
      <c r="R367" s="3777"/>
      <c r="S367" s="3777"/>
      <c r="T367" s="3777"/>
      <c r="U367" s="3777"/>
      <c r="V367" s="3777"/>
      <c r="W367" s="3777"/>
      <c r="X367" s="3777"/>
      <c r="Y367" s="3777"/>
      <c r="Z367" s="3777"/>
      <c r="AA367" s="3777"/>
      <c r="AB367" s="3777"/>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6">
        <f t="shared" si="210"/>
        <v>0</v>
      </c>
      <c r="H368" s="1256">
        <f t="shared" si="211"/>
        <v>0</v>
      </c>
      <c r="I368" s="3777"/>
      <c r="J368" s="3777"/>
      <c r="K368" s="3777"/>
      <c r="L368" s="3777"/>
      <c r="M368" s="3777"/>
      <c r="N368" s="3777"/>
      <c r="O368" s="3777"/>
      <c r="P368" s="3777"/>
      <c r="Q368" s="3777"/>
      <c r="R368" s="3777"/>
      <c r="S368" s="3777"/>
      <c r="T368" s="3777"/>
      <c r="U368" s="3777"/>
      <c r="V368" s="3777"/>
      <c r="W368" s="3777"/>
      <c r="X368" s="3777"/>
      <c r="Y368" s="3777"/>
      <c r="Z368" s="3777"/>
      <c r="AA368" s="3777"/>
      <c r="AB368" s="3777"/>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6">
        <f t="shared" si="210"/>
        <v>0</v>
      </c>
      <c r="H369" s="1256">
        <f t="shared" si="211"/>
        <v>0</v>
      </c>
      <c r="I369" s="3777"/>
      <c r="J369" s="3777"/>
      <c r="K369" s="3777"/>
      <c r="L369" s="3777"/>
      <c r="M369" s="3777"/>
      <c r="N369" s="3777"/>
      <c r="O369" s="3777"/>
      <c r="P369" s="3777"/>
      <c r="Q369" s="3777"/>
      <c r="R369" s="3777"/>
      <c r="S369" s="3777"/>
      <c r="T369" s="3777"/>
      <c r="U369" s="3777"/>
      <c r="V369" s="3777"/>
      <c r="W369" s="3777"/>
      <c r="X369" s="3777"/>
      <c r="Y369" s="3777"/>
      <c r="Z369" s="3777"/>
      <c r="AA369" s="3777"/>
      <c r="AB369" s="3777"/>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6">
        <f t="shared" si="210"/>
        <v>0</v>
      </c>
      <c r="H370" s="1256">
        <f t="shared" si="211"/>
        <v>0</v>
      </c>
      <c r="I370" s="3777"/>
      <c r="J370" s="3777"/>
      <c r="K370" s="3777"/>
      <c r="L370" s="3777"/>
      <c r="M370" s="3777"/>
      <c r="N370" s="3777"/>
      <c r="O370" s="3777"/>
      <c r="P370" s="3777"/>
      <c r="Q370" s="3777"/>
      <c r="R370" s="3777"/>
      <c r="S370" s="3777"/>
      <c r="T370" s="3777"/>
      <c r="U370" s="3777"/>
      <c r="V370" s="3777"/>
      <c r="W370" s="3777"/>
      <c r="X370" s="3777"/>
      <c r="Y370" s="3777"/>
      <c r="Z370" s="3777"/>
      <c r="AA370" s="3777"/>
      <c r="AB370" s="3777"/>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6">
        <f t="shared" si="210"/>
        <v>0</v>
      </c>
      <c r="H371" s="1256">
        <f t="shared" si="211"/>
        <v>0</v>
      </c>
      <c r="I371" s="3777"/>
      <c r="J371" s="3777"/>
      <c r="K371" s="3777"/>
      <c r="L371" s="3777"/>
      <c r="M371" s="3777"/>
      <c r="N371" s="3777"/>
      <c r="O371" s="3777"/>
      <c r="P371" s="3777"/>
      <c r="Q371" s="3777"/>
      <c r="R371" s="3777"/>
      <c r="S371" s="3777"/>
      <c r="T371" s="3777"/>
      <c r="U371" s="3777"/>
      <c r="V371" s="3777"/>
      <c r="W371" s="3777"/>
      <c r="X371" s="3777"/>
      <c r="Y371" s="3777"/>
      <c r="Z371" s="3777"/>
      <c r="AA371" s="3777"/>
      <c r="AB371" s="3777"/>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6">
        <f t="shared" si="210"/>
        <v>0</v>
      </c>
      <c r="H372" s="1256">
        <f t="shared" si="211"/>
        <v>0</v>
      </c>
      <c r="I372" s="3777"/>
      <c r="J372" s="3777"/>
      <c r="K372" s="3777"/>
      <c r="L372" s="3777"/>
      <c r="M372" s="3777"/>
      <c r="N372" s="3777"/>
      <c r="O372" s="3777"/>
      <c r="P372" s="3777"/>
      <c r="Q372" s="3777"/>
      <c r="R372" s="3777"/>
      <c r="S372" s="3777"/>
      <c r="T372" s="3777"/>
      <c r="U372" s="3777"/>
      <c r="V372" s="3777"/>
      <c r="W372" s="3777"/>
      <c r="X372" s="3777"/>
      <c r="Y372" s="3777"/>
      <c r="Z372" s="3777"/>
      <c r="AA372" s="3777"/>
      <c r="AB372" s="3777"/>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6">
        <f t="shared" si="210"/>
        <v>0</v>
      </c>
      <c r="H373" s="1256">
        <f t="shared" si="211"/>
        <v>0</v>
      </c>
      <c r="I373" s="3777"/>
      <c r="J373" s="3777"/>
      <c r="K373" s="3777"/>
      <c r="L373" s="3777"/>
      <c r="M373" s="3777"/>
      <c r="N373" s="3777"/>
      <c r="O373" s="3777"/>
      <c r="P373" s="3777"/>
      <c r="Q373" s="3777"/>
      <c r="R373" s="3777"/>
      <c r="S373" s="3777"/>
      <c r="T373" s="3777"/>
      <c r="U373" s="3777"/>
      <c r="V373" s="3777"/>
      <c r="W373" s="3777"/>
      <c r="X373" s="3777"/>
      <c r="Y373" s="3777"/>
      <c r="Z373" s="3777"/>
      <c r="AA373" s="3777"/>
      <c r="AB373" s="3777"/>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6">
        <f t="shared" si="210"/>
        <v>0</v>
      </c>
      <c r="H374" s="1256">
        <f t="shared" si="211"/>
        <v>0</v>
      </c>
      <c r="I374" s="3777"/>
      <c r="J374" s="3777"/>
      <c r="K374" s="3777"/>
      <c r="L374" s="3777"/>
      <c r="M374" s="3777"/>
      <c r="N374" s="3777"/>
      <c r="O374" s="3777"/>
      <c r="P374" s="3777"/>
      <c r="Q374" s="3777"/>
      <c r="R374" s="3777"/>
      <c r="S374" s="3777"/>
      <c r="T374" s="3777"/>
      <c r="U374" s="3777"/>
      <c r="V374" s="3777"/>
      <c r="W374" s="3777"/>
      <c r="X374" s="3777"/>
      <c r="Y374" s="3777"/>
      <c r="Z374" s="3777"/>
      <c r="AA374" s="3777"/>
      <c r="AB374" s="3777"/>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6">
        <f t="shared" si="210"/>
        <v>0</v>
      </c>
      <c r="H375" s="1256">
        <f t="shared" si="211"/>
        <v>0</v>
      </c>
      <c r="I375" s="3777"/>
      <c r="J375" s="3777"/>
      <c r="K375" s="3777"/>
      <c r="L375" s="3777"/>
      <c r="M375" s="3777"/>
      <c r="N375" s="3777"/>
      <c r="O375" s="3777"/>
      <c r="P375" s="3777"/>
      <c r="Q375" s="3777"/>
      <c r="R375" s="3777"/>
      <c r="S375" s="3777"/>
      <c r="T375" s="3777"/>
      <c r="U375" s="3777"/>
      <c r="V375" s="3777"/>
      <c r="W375" s="3777"/>
      <c r="X375" s="3777"/>
      <c r="Y375" s="3777"/>
      <c r="Z375" s="3777"/>
      <c r="AA375" s="3777"/>
      <c r="AB375" s="3777"/>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6">
        <f t="shared" si="210"/>
        <v>0</v>
      </c>
      <c r="H376" s="1256">
        <f t="shared" si="211"/>
        <v>0</v>
      </c>
      <c r="I376" s="3777"/>
      <c r="J376" s="3777"/>
      <c r="K376" s="3777"/>
      <c r="L376" s="3777"/>
      <c r="M376" s="3777"/>
      <c r="N376" s="3777"/>
      <c r="O376" s="3777"/>
      <c r="P376" s="3777"/>
      <c r="Q376" s="3777"/>
      <c r="R376" s="3777"/>
      <c r="S376" s="3777"/>
      <c r="T376" s="3777"/>
      <c r="U376" s="3777"/>
      <c r="V376" s="3777"/>
      <c r="W376" s="3777"/>
      <c r="X376" s="3777"/>
      <c r="Y376" s="3777"/>
      <c r="Z376" s="3777"/>
      <c r="AA376" s="3777"/>
      <c r="AB376" s="3777"/>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6">
        <f t="shared" si="210"/>
        <v>0</v>
      </c>
      <c r="H377" s="1256">
        <f t="shared" si="211"/>
        <v>0</v>
      </c>
      <c r="I377" s="3777"/>
      <c r="J377" s="3777"/>
      <c r="K377" s="3777"/>
      <c r="L377" s="3777"/>
      <c r="M377" s="3777"/>
      <c r="N377" s="3777"/>
      <c r="O377" s="3777"/>
      <c r="P377" s="3777"/>
      <c r="Q377" s="3777"/>
      <c r="R377" s="3777"/>
      <c r="S377" s="3777"/>
      <c r="T377" s="3777"/>
      <c r="U377" s="3777"/>
      <c r="V377" s="3777"/>
      <c r="W377" s="3777"/>
      <c r="X377" s="3777"/>
      <c r="Y377" s="3777"/>
      <c r="Z377" s="3777"/>
      <c r="AA377" s="3777"/>
      <c r="AB377" s="3777"/>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6">
        <f t="shared" si="210"/>
        <v>0</v>
      </c>
      <c r="H378" s="1256">
        <f t="shared" si="211"/>
        <v>0</v>
      </c>
      <c r="I378" s="3777"/>
      <c r="J378" s="3777"/>
      <c r="K378" s="3777"/>
      <c r="L378" s="3777"/>
      <c r="M378" s="3777"/>
      <c r="N378" s="3777"/>
      <c r="O378" s="3777"/>
      <c r="P378" s="3777"/>
      <c r="Q378" s="3777"/>
      <c r="R378" s="3777"/>
      <c r="S378" s="3777"/>
      <c r="T378" s="3777"/>
      <c r="U378" s="3777"/>
      <c r="V378" s="3777"/>
      <c r="W378" s="3777"/>
      <c r="X378" s="3777"/>
      <c r="Y378" s="3777"/>
      <c r="Z378" s="3777"/>
      <c r="AA378" s="3777"/>
      <c r="AB378" s="3777"/>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6">
        <f t="shared" si="210"/>
        <v>0</v>
      </c>
      <c r="H379" s="1256">
        <f t="shared" si="211"/>
        <v>0</v>
      </c>
      <c r="I379" s="3777"/>
      <c r="J379" s="3777"/>
      <c r="K379" s="3777"/>
      <c r="L379" s="3777"/>
      <c r="M379" s="3777"/>
      <c r="N379" s="3777"/>
      <c r="O379" s="3777"/>
      <c r="P379" s="3777"/>
      <c r="Q379" s="3777"/>
      <c r="R379" s="3777"/>
      <c r="S379" s="3777"/>
      <c r="T379" s="3777"/>
      <c r="U379" s="3777"/>
      <c r="V379" s="3777"/>
      <c r="W379" s="3777"/>
      <c r="X379" s="3777"/>
      <c r="Y379" s="3777"/>
      <c r="Z379" s="3777"/>
      <c r="AA379" s="3777"/>
      <c r="AB379" s="3777"/>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6">
        <f t="shared" si="210"/>
        <v>0</v>
      </c>
      <c r="H380" s="1256">
        <f t="shared" si="211"/>
        <v>0</v>
      </c>
      <c r="I380" s="3777"/>
      <c r="J380" s="3777"/>
      <c r="K380" s="3777"/>
      <c r="L380" s="3777"/>
      <c r="M380" s="3777"/>
      <c r="N380" s="3777"/>
      <c r="O380" s="3777"/>
      <c r="P380" s="3777"/>
      <c r="Q380" s="3777"/>
      <c r="R380" s="3777"/>
      <c r="S380" s="3777"/>
      <c r="T380" s="3777"/>
      <c r="U380" s="3777"/>
      <c r="V380" s="3777"/>
      <c r="W380" s="3777"/>
      <c r="X380" s="3777"/>
      <c r="Y380" s="3777"/>
      <c r="Z380" s="3777"/>
      <c r="AA380" s="3777"/>
      <c r="AB380" s="3777"/>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6">
        <f t="shared" si="210"/>
        <v>0</v>
      </c>
      <c r="H381" s="1256">
        <f t="shared" si="211"/>
        <v>0</v>
      </c>
      <c r="I381" s="3777"/>
      <c r="J381" s="3777"/>
      <c r="K381" s="3777"/>
      <c r="L381" s="3777"/>
      <c r="M381" s="3777"/>
      <c r="N381" s="3777"/>
      <c r="O381" s="3777"/>
      <c r="P381" s="3777"/>
      <c r="Q381" s="3777"/>
      <c r="R381" s="3777"/>
      <c r="S381" s="3777"/>
      <c r="T381" s="3777"/>
      <c r="U381" s="3777"/>
      <c r="V381" s="3777"/>
      <c r="W381" s="3777"/>
      <c r="X381" s="3777"/>
      <c r="Y381" s="3777"/>
      <c r="Z381" s="3777"/>
      <c r="AA381" s="3777"/>
      <c r="AB381" s="3777"/>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6">
        <f t="shared" si="210"/>
        <v>0</v>
      </c>
      <c r="H382" s="1256">
        <f t="shared" si="211"/>
        <v>0</v>
      </c>
      <c r="I382" s="3777"/>
      <c r="J382" s="3777"/>
      <c r="K382" s="3777"/>
      <c r="L382" s="3777"/>
      <c r="M382" s="3777"/>
      <c r="N382" s="3777"/>
      <c r="O382" s="3777"/>
      <c r="P382" s="3777"/>
      <c r="Q382" s="3777"/>
      <c r="R382" s="3777"/>
      <c r="S382" s="3777"/>
      <c r="T382" s="3777"/>
      <c r="U382" s="3777"/>
      <c r="V382" s="3777"/>
      <c r="W382" s="3777"/>
      <c r="X382" s="3777"/>
      <c r="Y382" s="3777"/>
      <c r="Z382" s="3777"/>
      <c r="AA382" s="3777"/>
      <c r="AB382" s="3777"/>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6">
        <f t="shared" si="210"/>
        <v>0</v>
      </c>
      <c r="H383" s="1256">
        <f t="shared" si="211"/>
        <v>0</v>
      </c>
      <c r="I383" s="3777"/>
      <c r="J383" s="3777"/>
      <c r="K383" s="3777"/>
      <c r="L383" s="3777"/>
      <c r="M383" s="3777"/>
      <c r="N383" s="3777"/>
      <c r="O383" s="3777"/>
      <c r="P383" s="3777"/>
      <c r="Q383" s="3777"/>
      <c r="R383" s="3777"/>
      <c r="S383" s="3777"/>
      <c r="T383" s="3777"/>
      <c r="U383" s="3777"/>
      <c r="V383" s="3777"/>
      <c r="W383" s="3777"/>
      <c r="X383" s="3777"/>
      <c r="Y383" s="3777"/>
      <c r="Z383" s="3777"/>
      <c r="AA383" s="3777"/>
      <c r="AB383" s="3777"/>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6">
        <f t="shared" si="210"/>
        <v>0</v>
      </c>
      <c r="H384" s="1256">
        <f t="shared" si="211"/>
        <v>0</v>
      </c>
      <c r="I384" s="3777"/>
      <c r="J384" s="3777"/>
      <c r="K384" s="3777"/>
      <c r="L384" s="3777"/>
      <c r="M384" s="3777"/>
      <c r="N384" s="3777"/>
      <c r="O384" s="3777"/>
      <c r="P384" s="3777"/>
      <c r="Q384" s="3777"/>
      <c r="R384" s="3777"/>
      <c r="S384" s="3777"/>
      <c r="T384" s="3777"/>
      <c r="U384" s="3777"/>
      <c r="V384" s="3777"/>
      <c r="W384" s="3777"/>
      <c r="X384" s="3777"/>
      <c r="Y384" s="3777"/>
      <c r="Z384" s="3777"/>
      <c r="AA384" s="3777"/>
      <c r="AB384" s="3777"/>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6">
        <f t="shared" si="210"/>
        <v>0</v>
      </c>
      <c r="H385" s="1256">
        <f t="shared" si="211"/>
        <v>0</v>
      </c>
      <c r="I385" s="3777"/>
      <c r="J385" s="3777"/>
      <c r="K385" s="3777"/>
      <c r="L385" s="3777"/>
      <c r="M385" s="3777"/>
      <c r="N385" s="3777"/>
      <c r="O385" s="3777"/>
      <c r="P385" s="3777"/>
      <c r="Q385" s="3777"/>
      <c r="R385" s="3777"/>
      <c r="S385" s="3777"/>
      <c r="T385" s="3777"/>
      <c r="U385" s="3777"/>
      <c r="V385" s="3777"/>
      <c r="W385" s="3777"/>
      <c r="X385" s="3777"/>
      <c r="Y385" s="3777"/>
      <c r="Z385" s="3777"/>
      <c r="AA385" s="3777"/>
      <c r="AB385" s="3777"/>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6">
        <f t="shared" si="210"/>
        <v>0</v>
      </c>
      <c r="H386" s="1256">
        <f t="shared" si="211"/>
        <v>0</v>
      </c>
      <c r="I386" s="3777"/>
      <c r="J386" s="3777"/>
      <c r="K386" s="3777"/>
      <c r="L386" s="3777"/>
      <c r="M386" s="3777"/>
      <c r="N386" s="3777"/>
      <c r="O386" s="3777"/>
      <c r="P386" s="3777"/>
      <c r="Q386" s="3777"/>
      <c r="R386" s="3777"/>
      <c r="S386" s="3777"/>
      <c r="T386" s="3777"/>
      <c r="U386" s="3777"/>
      <c r="V386" s="3777"/>
      <c r="W386" s="3777"/>
      <c r="X386" s="3777"/>
      <c r="Y386" s="3777"/>
      <c r="Z386" s="3777"/>
      <c r="AA386" s="3777"/>
      <c r="AB386" s="3777"/>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6">
        <f t="shared" si="210"/>
        <v>0</v>
      </c>
      <c r="H387" s="1256">
        <f t="shared" si="211"/>
        <v>0</v>
      </c>
      <c r="I387" s="3777"/>
      <c r="J387" s="3777"/>
      <c r="K387" s="3777"/>
      <c r="L387" s="3777"/>
      <c r="M387" s="3777"/>
      <c r="N387" s="3777"/>
      <c r="O387" s="3777"/>
      <c r="P387" s="3777"/>
      <c r="Q387" s="3777"/>
      <c r="R387" s="3777"/>
      <c r="S387" s="3777"/>
      <c r="T387" s="3777"/>
      <c r="U387" s="3777"/>
      <c r="V387" s="3777"/>
      <c r="W387" s="3777"/>
      <c r="X387" s="3777"/>
      <c r="Y387" s="3777"/>
      <c r="Z387" s="3777"/>
      <c r="AA387" s="3777"/>
      <c r="AB387" s="3777"/>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6">
        <f t="shared" si="210"/>
        <v>0</v>
      </c>
      <c r="H388" s="1256">
        <f t="shared" si="211"/>
        <v>0</v>
      </c>
      <c r="I388" s="3777"/>
      <c r="J388" s="3777"/>
      <c r="K388" s="3777"/>
      <c r="L388" s="3777"/>
      <c r="M388" s="3777"/>
      <c r="N388" s="3777"/>
      <c r="O388" s="3777"/>
      <c r="P388" s="3777"/>
      <c r="Q388" s="3777"/>
      <c r="R388" s="3777"/>
      <c r="S388" s="3777"/>
      <c r="T388" s="3777"/>
      <c r="U388" s="3777"/>
      <c r="V388" s="3777"/>
      <c r="W388" s="3777"/>
      <c r="X388" s="3777"/>
      <c r="Y388" s="3777"/>
      <c r="Z388" s="3777"/>
      <c r="AA388" s="3777"/>
      <c r="AB388" s="3777"/>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6">
        <f t="shared" si="210"/>
        <v>0</v>
      </c>
      <c r="H389" s="1256">
        <f t="shared" si="211"/>
        <v>0</v>
      </c>
      <c r="I389" s="3777"/>
      <c r="J389" s="3777"/>
      <c r="K389" s="3777"/>
      <c r="L389" s="3777"/>
      <c r="M389" s="3777"/>
      <c r="N389" s="3777"/>
      <c r="O389" s="3777"/>
      <c r="P389" s="3777"/>
      <c r="Q389" s="3777"/>
      <c r="R389" s="3777"/>
      <c r="S389" s="3777"/>
      <c r="T389" s="3777"/>
      <c r="U389" s="3777"/>
      <c r="V389" s="3777"/>
      <c r="W389" s="3777"/>
      <c r="X389" s="3777"/>
      <c r="Y389" s="3777"/>
      <c r="Z389" s="3777"/>
      <c r="AA389" s="3777"/>
      <c r="AB389" s="3777"/>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6">
        <f t="shared" si="210"/>
        <v>0</v>
      </c>
      <c r="H390" s="1256">
        <f t="shared" si="211"/>
        <v>0</v>
      </c>
      <c r="I390" s="3777"/>
      <c r="J390" s="3777"/>
      <c r="K390" s="3777"/>
      <c r="L390" s="3777"/>
      <c r="M390" s="3777"/>
      <c r="N390" s="3777"/>
      <c r="O390" s="3777"/>
      <c r="P390" s="3777"/>
      <c r="Q390" s="3777"/>
      <c r="R390" s="3777"/>
      <c r="S390" s="3777"/>
      <c r="T390" s="3777"/>
      <c r="U390" s="3777"/>
      <c r="V390" s="3777"/>
      <c r="W390" s="3777"/>
      <c r="X390" s="3777"/>
      <c r="Y390" s="3777"/>
      <c r="Z390" s="3777"/>
      <c r="AA390" s="3777"/>
      <c r="AB390" s="3777"/>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6">
        <f t="shared" si="210"/>
        <v>0</v>
      </c>
      <c r="H391" s="1256">
        <f t="shared" si="211"/>
        <v>0</v>
      </c>
      <c r="I391" s="3777"/>
      <c r="J391" s="3777"/>
      <c r="K391" s="3777"/>
      <c r="L391" s="3777"/>
      <c r="M391" s="3777"/>
      <c r="N391" s="3777"/>
      <c r="O391" s="3777"/>
      <c r="P391" s="3777"/>
      <c r="Q391" s="3777"/>
      <c r="R391" s="3777"/>
      <c r="S391" s="3777"/>
      <c r="T391" s="3777"/>
      <c r="U391" s="3777"/>
      <c r="V391" s="3777"/>
      <c r="W391" s="3777"/>
      <c r="X391" s="3777"/>
      <c r="Y391" s="3777"/>
      <c r="Z391" s="3777"/>
      <c r="AA391" s="3777"/>
      <c r="AB391" s="3777"/>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6">
        <f t="shared" si="210"/>
        <v>0</v>
      </c>
      <c r="H392" s="1256">
        <f t="shared" si="211"/>
        <v>0</v>
      </c>
      <c r="I392" s="3777"/>
      <c r="J392" s="3777"/>
      <c r="K392" s="3777"/>
      <c r="L392" s="3777"/>
      <c r="M392" s="3777"/>
      <c r="N392" s="3777"/>
      <c r="O392" s="3777"/>
      <c r="P392" s="3777"/>
      <c r="Q392" s="3777"/>
      <c r="R392" s="3777"/>
      <c r="S392" s="3777"/>
      <c r="T392" s="3777"/>
      <c r="U392" s="3777"/>
      <c r="V392" s="3777"/>
      <c r="W392" s="3777"/>
      <c r="X392" s="3777"/>
      <c r="Y392" s="3777"/>
      <c r="Z392" s="3777"/>
      <c r="AA392" s="3777"/>
      <c r="AB392" s="3777"/>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6">
        <f t="shared" si="210"/>
        <v>0</v>
      </c>
      <c r="H393" s="1256">
        <f t="shared" si="211"/>
        <v>0</v>
      </c>
      <c r="I393" s="3777"/>
      <c r="J393" s="3777"/>
      <c r="K393" s="3777"/>
      <c r="L393" s="3777"/>
      <c r="M393" s="3777"/>
      <c r="N393" s="3777"/>
      <c r="O393" s="3777"/>
      <c r="P393" s="3777"/>
      <c r="Q393" s="3777"/>
      <c r="R393" s="3777"/>
      <c r="S393" s="3777"/>
      <c r="T393" s="3777"/>
      <c r="U393" s="3777"/>
      <c r="V393" s="3777"/>
      <c r="W393" s="3777"/>
      <c r="X393" s="3777"/>
      <c r="Y393" s="3777"/>
      <c r="Z393" s="3777"/>
      <c r="AA393" s="3777"/>
      <c r="AB393" s="3777"/>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6">
        <f t="shared" si="210"/>
        <v>0</v>
      </c>
      <c r="H394" s="1256">
        <f t="shared" si="211"/>
        <v>0</v>
      </c>
      <c r="I394" s="3777"/>
      <c r="J394" s="3777"/>
      <c r="K394" s="3777"/>
      <c r="L394" s="3777"/>
      <c r="M394" s="3777"/>
      <c r="N394" s="3777"/>
      <c r="O394" s="3777"/>
      <c r="P394" s="3777"/>
      <c r="Q394" s="3777"/>
      <c r="R394" s="3777"/>
      <c r="S394" s="3777"/>
      <c r="T394" s="3777"/>
      <c r="U394" s="3777"/>
      <c r="V394" s="3777"/>
      <c r="W394" s="3777"/>
      <c r="X394" s="3777"/>
      <c r="Y394" s="3777"/>
      <c r="Z394" s="3777"/>
      <c r="AA394" s="3777"/>
      <c r="AB394" s="3777"/>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6">
        <f t="shared" si="210"/>
        <v>0</v>
      </c>
      <c r="H395" s="1256">
        <f t="shared" si="211"/>
        <v>0</v>
      </c>
      <c r="I395" s="3777"/>
      <c r="J395" s="3777"/>
      <c r="K395" s="3777"/>
      <c r="L395" s="3777"/>
      <c r="M395" s="3777"/>
      <c r="N395" s="3777"/>
      <c r="O395" s="3777"/>
      <c r="P395" s="3777"/>
      <c r="Q395" s="3777"/>
      <c r="R395" s="3777"/>
      <c r="S395" s="3777"/>
      <c r="T395" s="3777"/>
      <c r="U395" s="3777"/>
      <c r="V395" s="3777"/>
      <c r="W395" s="3777"/>
      <c r="X395" s="3777"/>
      <c r="Y395" s="3777"/>
      <c r="Z395" s="3777"/>
      <c r="AA395" s="3777"/>
      <c r="AB395" s="3777"/>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6">
        <f>H396+AC396+AT396</f>
        <v>0</v>
      </c>
      <c r="H396" s="1256">
        <f>SUMIF(I$12:AB$12,"总值",I396:AB396)</f>
        <v>0</v>
      </c>
      <c r="I396" s="3777"/>
      <c r="J396" s="3777"/>
      <c r="K396" s="3777"/>
      <c r="L396" s="3777"/>
      <c r="M396" s="3777"/>
      <c r="N396" s="3777"/>
      <c r="O396" s="3777"/>
      <c r="P396" s="3777"/>
      <c r="Q396" s="3777"/>
      <c r="R396" s="3777"/>
      <c r="S396" s="3777"/>
      <c r="T396" s="3777"/>
      <c r="U396" s="3777"/>
      <c r="V396" s="3777"/>
      <c r="W396" s="3777"/>
      <c r="X396" s="3777"/>
      <c r="Y396" s="3777"/>
      <c r="Z396" s="3777"/>
      <c r="AA396" s="3777"/>
      <c r="AB396" s="3777"/>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6">
        <f>H397+AC397+AT397</f>
        <v>0</v>
      </c>
      <c r="H397" s="1256">
        <f>SUMIF(I$12:AB$12,"总值",I397:AB397)</f>
        <v>0</v>
      </c>
      <c r="I397" s="3777"/>
      <c r="J397" s="3777"/>
      <c r="K397" s="3777"/>
      <c r="L397" s="3777"/>
      <c r="M397" s="3777"/>
      <c r="N397" s="3777"/>
      <c r="O397" s="3777"/>
      <c r="P397" s="3777"/>
      <c r="Q397" s="3777"/>
      <c r="R397" s="3777"/>
      <c r="S397" s="3777"/>
      <c r="T397" s="3777"/>
      <c r="U397" s="3777"/>
      <c r="V397" s="3777"/>
      <c r="W397" s="3777"/>
      <c r="X397" s="3777"/>
      <c r="Y397" s="3777"/>
      <c r="Z397" s="3777"/>
      <c r="AA397" s="3777"/>
      <c r="AB397" s="3777"/>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6">
        <f t="shared" ref="G398:G489" si="240">H398+AC398+AT398</f>
        <v>0</v>
      </c>
      <c r="H398" s="1256">
        <f t="shared" ref="H398:H489" si="241">SUMIF(I$12:AB$12,"总值",I398:AB398)</f>
        <v>0</v>
      </c>
      <c r="I398" s="3777"/>
      <c r="J398" s="3777"/>
      <c r="K398" s="3777"/>
      <c r="L398" s="3777"/>
      <c r="M398" s="3777"/>
      <c r="N398" s="3777"/>
      <c r="O398" s="3777"/>
      <c r="P398" s="3777"/>
      <c r="Q398" s="3777"/>
      <c r="R398" s="3777"/>
      <c r="S398" s="3777"/>
      <c r="T398" s="3777"/>
      <c r="U398" s="3777"/>
      <c r="V398" s="3777"/>
      <c r="W398" s="3777"/>
      <c r="X398" s="3777"/>
      <c r="Y398" s="3777"/>
      <c r="Z398" s="3777"/>
      <c r="AA398" s="3777"/>
      <c r="AB398" s="3777"/>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6">
        <f t="shared" si="240"/>
        <v>0</v>
      </c>
      <c r="H399" s="1256">
        <f t="shared" si="241"/>
        <v>0</v>
      </c>
      <c r="I399" s="3777"/>
      <c r="J399" s="3777"/>
      <c r="K399" s="3777"/>
      <c r="L399" s="3777"/>
      <c r="M399" s="3777"/>
      <c r="N399" s="3777"/>
      <c r="O399" s="3777"/>
      <c r="P399" s="3777"/>
      <c r="Q399" s="3777"/>
      <c r="R399" s="3777"/>
      <c r="S399" s="3777"/>
      <c r="T399" s="3777"/>
      <c r="U399" s="3777"/>
      <c r="V399" s="3777"/>
      <c r="W399" s="3777"/>
      <c r="X399" s="3777"/>
      <c r="Y399" s="3777"/>
      <c r="Z399" s="3777"/>
      <c r="AA399" s="3777"/>
      <c r="AB399" s="3777"/>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6">
        <f t="shared" si="240"/>
        <v>0</v>
      </c>
      <c r="H400" s="1256">
        <f t="shared" si="241"/>
        <v>0</v>
      </c>
      <c r="I400" s="3777"/>
      <c r="J400" s="3777"/>
      <c r="K400" s="3777"/>
      <c r="L400" s="3777"/>
      <c r="M400" s="3777"/>
      <c r="N400" s="3777"/>
      <c r="O400" s="3777"/>
      <c r="P400" s="3777"/>
      <c r="Q400" s="3777"/>
      <c r="R400" s="3777"/>
      <c r="S400" s="3777"/>
      <c r="T400" s="3777"/>
      <c r="U400" s="3777"/>
      <c r="V400" s="3777"/>
      <c r="W400" s="3777"/>
      <c r="X400" s="3777"/>
      <c r="Y400" s="3777"/>
      <c r="Z400" s="3777"/>
      <c r="AA400" s="3777"/>
      <c r="AB400" s="3777"/>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6">
        <f t="shared" si="240"/>
        <v>0</v>
      </c>
      <c r="H401" s="1256">
        <f t="shared" si="241"/>
        <v>0</v>
      </c>
      <c r="I401" s="3777"/>
      <c r="J401" s="3777"/>
      <c r="K401" s="3777"/>
      <c r="L401" s="3777"/>
      <c r="M401" s="3777"/>
      <c r="N401" s="3777"/>
      <c r="O401" s="3777"/>
      <c r="P401" s="3777"/>
      <c r="Q401" s="3777"/>
      <c r="R401" s="3777"/>
      <c r="S401" s="3777"/>
      <c r="T401" s="3777"/>
      <c r="U401" s="3777"/>
      <c r="V401" s="3777"/>
      <c r="W401" s="3777"/>
      <c r="X401" s="3777"/>
      <c r="Y401" s="3777"/>
      <c r="Z401" s="3777"/>
      <c r="AA401" s="3777"/>
      <c r="AB401" s="3777"/>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6">
        <f t="shared" si="240"/>
        <v>0</v>
      </c>
      <c r="H402" s="1256">
        <f t="shared" si="241"/>
        <v>0</v>
      </c>
      <c r="I402" s="3777"/>
      <c r="J402" s="3777"/>
      <c r="K402" s="3777"/>
      <c r="L402" s="3777"/>
      <c r="M402" s="3777"/>
      <c r="N402" s="3777"/>
      <c r="O402" s="3777"/>
      <c r="P402" s="3777"/>
      <c r="Q402" s="3777"/>
      <c r="R402" s="3777"/>
      <c r="S402" s="3777"/>
      <c r="T402" s="3777"/>
      <c r="U402" s="3777"/>
      <c r="V402" s="3777"/>
      <c r="W402" s="3777"/>
      <c r="X402" s="3777"/>
      <c r="Y402" s="3777"/>
      <c r="Z402" s="3777"/>
      <c r="AA402" s="3777"/>
      <c r="AB402" s="3777"/>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6">
        <f t="shared" si="240"/>
        <v>0</v>
      </c>
      <c r="H403" s="1256">
        <f t="shared" si="241"/>
        <v>0</v>
      </c>
      <c r="I403" s="3777"/>
      <c r="J403" s="3777"/>
      <c r="K403" s="3777"/>
      <c r="L403" s="3777"/>
      <c r="M403" s="3777"/>
      <c r="N403" s="3777"/>
      <c r="O403" s="3777"/>
      <c r="P403" s="3777"/>
      <c r="Q403" s="3777"/>
      <c r="R403" s="3777"/>
      <c r="S403" s="3777"/>
      <c r="T403" s="3777"/>
      <c r="U403" s="3777"/>
      <c r="V403" s="3777"/>
      <c r="W403" s="3777"/>
      <c r="X403" s="3777"/>
      <c r="Y403" s="3777"/>
      <c r="Z403" s="3777"/>
      <c r="AA403" s="3777"/>
      <c r="AB403" s="3777"/>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6">
        <f t="shared" si="240"/>
        <v>0</v>
      </c>
      <c r="H404" s="1256">
        <f t="shared" si="241"/>
        <v>0</v>
      </c>
      <c r="I404" s="3777"/>
      <c r="J404" s="3777"/>
      <c r="K404" s="3777"/>
      <c r="L404" s="3777"/>
      <c r="M404" s="3777"/>
      <c r="N404" s="3777"/>
      <c r="O404" s="3777"/>
      <c r="P404" s="3777"/>
      <c r="Q404" s="3777"/>
      <c r="R404" s="3777"/>
      <c r="S404" s="3777"/>
      <c r="T404" s="3777"/>
      <c r="U404" s="3777"/>
      <c r="V404" s="3777"/>
      <c r="W404" s="3777"/>
      <c r="X404" s="3777"/>
      <c r="Y404" s="3777"/>
      <c r="Z404" s="3777"/>
      <c r="AA404" s="3777"/>
      <c r="AB404" s="3777"/>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6">
        <f t="shared" si="240"/>
        <v>0</v>
      </c>
      <c r="H405" s="1256">
        <f t="shared" si="241"/>
        <v>0</v>
      </c>
      <c r="I405" s="3777"/>
      <c r="J405" s="3777"/>
      <c r="K405" s="3777"/>
      <c r="L405" s="3777"/>
      <c r="M405" s="3777"/>
      <c r="N405" s="3777"/>
      <c r="O405" s="3777"/>
      <c r="P405" s="3777"/>
      <c r="Q405" s="3777"/>
      <c r="R405" s="3777"/>
      <c r="S405" s="3777"/>
      <c r="T405" s="3777"/>
      <c r="U405" s="3777"/>
      <c r="V405" s="3777"/>
      <c r="W405" s="3777"/>
      <c r="X405" s="3777"/>
      <c r="Y405" s="3777"/>
      <c r="Z405" s="3777"/>
      <c r="AA405" s="3777"/>
      <c r="AB405" s="3777"/>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6">
        <f t="shared" si="240"/>
        <v>0</v>
      </c>
      <c r="H406" s="1256">
        <f t="shared" si="241"/>
        <v>0</v>
      </c>
      <c r="I406" s="3777"/>
      <c r="J406" s="3777"/>
      <c r="K406" s="3777"/>
      <c r="L406" s="3777"/>
      <c r="M406" s="3777"/>
      <c r="N406" s="3777"/>
      <c r="O406" s="3777"/>
      <c r="P406" s="3777"/>
      <c r="Q406" s="3777"/>
      <c r="R406" s="3777"/>
      <c r="S406" s="3777"/>
      <c r="T406" s="3777"/>
      <c r="U406" s="3777"/>
      <c r="V406" s="3777"/>
      <c r="W406" s="3777"/>
      <c r="X406" s="3777"/>
      <c r="Y406" s="3777"/>
      <c r="Z406" s="3777"/>
      <c r="AA406" s="3777"/>
      <c r="AB406" s="3777"/>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6">
        <f t="shared" si="240"/>
        <v>0</v>
      </c>
      <c r="H407" s="1256">
        <f t="shared" si="241"/>
        <v>0</v>
      </c>
      <c r="I407" s="3777"/>
      <c r="J407" s="3777"/>
      <c r="K407" s="3777"/>
      <c r="L407" s="3777"/>
      <c r="M407" s="3777"/>
      <c r="N407" s="3777"/>
      <c r="O407" s="3777"/>
      <c r="P407" s="3777"/>
      <c r="Q407" s="3777"/>
      <c r="R407" s="3777"/>
      <c r="S407" s="3777"/>
      <c r="T407" s="3777"/>
      <c r="U407" s="3777"/>
      <c r="V407" s="3777"/>
      <c r="W407" s="3777"/>
      <c r="X407" s="3777"/>
      <c r="Y407" s="3777"/>
      <c r="Z407" s="3777"/>
      <c r="AA407" s="3777"/>
      <c r="AB407" s="3777"/>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6">
        <f t="shared" si="240"/>
        <v>0</v>
      </c>
      <c r="H408" s="1256">
        <f t="shared" si="241"/>
        <v>0</v>
      </c>
      <c r="I408" s="3777"/>
      <c r="J408" s="3777"/>
      <c r="K408" s="3777"/>
      <c r="L408" s="3777"/>
      <c r="M408" s="3777"/>
      <c r="N408" s="3777"/>
      <c r="O408" s="3777"/>
      <c r="P408" s="3777"/>
      <c r="Q408" s="3777"/>
      <c r="R408" s="3777"/>
      <c r="S408" s="3777"/>
      <c r="T408" s="3777"/>
      <c r="U408" s="3777"/>
      <c r="V408" s="3777"/>
      <c r="W408" s="3777"/>
      <c r="X408" s="3777"/>
      <c r="Y408" s="3777"/>
      <c r="Z408" s="3777"/>
      <c r="AA408" s="3777"/>
      <c r="AB408" s="3777"/>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6">
        <f t="shared" si="240"/>
        <v>0</v>
      </c>
      <c r="H409" s="1256">
        <f t="shared" si="241"/>
        <v>0</v>
      </c>
      <c r="I409" s="3777"/>
      <c r="J409" s="3777"/>
      <c r="K409" s="3777"/>
      <c r="L409" s="3777"/>
      <c r="M409" s="3777"/>
      <c r="N409" s="3777"/>
      <c r="O409" s="3777"/>
      <c r="P409" s="3777"/>
      <c r="Q409" s="3777"/>
      <c r="R409" s="3777"/>
      <c r="S409" s="3777"/>
      <c r="T409" s="3777"/>
      <c r="U409" s="3777"/>
      <c r="V409" s="3777"/>
      <c r="W409" s="3777"/>
      <c r="X409" s="3777"/>
      <c r="Y409" s="3777"/>
      <c r="Z409" s="3777"/>
      <c r="AA409" s="3777"/>
      <c r="AB409" s="3777"/>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6">
        <f t="shared" si="240"/>
        <v>0</v>
      </c>
      <c r="H410" s="1256">
        <f t="shared" si="241"/>
        <v>0</v>
      </c>
      <c r="I410" s="3777"/>
      <c r="J410" s="3777"/>
      <c r="K410" s="3777"/>
      <c r="L410" s="3777"/>
      <c r="M410" s="3777"/>
      <c r="N410" s="3777"/>
      <c r="O410" s="3777"/>
      <c r="P410" s="3777"/>
      <c r="Q410" s="3777"/>
      <c r="R410" s="3777"/>
      <c r="S410" s="3777"/>
      <c r="T410" s="3777"/>
      <c r="U410" s="3777"/>
      <c r="V410" s="3777"/>
      <c r="W410" s="3777"/>
      <c r="X410" s="3777"/>
      <c r="Y410" s="3777"/>
      <c r="Z410" s="3777"/>
      <c r="AA410" s="3777"/>
      <c r="AB410" s="3777"/>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6">
        <f t="shared" si="240"/>
        <v>0</v>
      </c>
      <c r="H411" s="1256">
        <f t="shared" si="241"/>
        <v>0</v>
      </c>
      <c r="I411" s="3777"/>
      <c r="J411" s="3777"/>
      <c r="K411" s="3777"/>
      <c r="L411" s="3777"/>
      <c r="M411" s="3777"/>
      <c r="N411" s="3777"/>
      <c r="O411" s="3777"/>
      <c r="P411" s="3777"/>
      <c r="Q411" s="3777"/>
      <c r="R411" s="3777"/>
      <c r="S411" s="3777"/>
      <c r="T411" s="3777"/>
      <c r="U411" s="3777"/>
      <c r="V411" s="3777"/>
      <c r="W411" s="3777"/>
      <c r="X411" s="3777"/>
      <c r="Y411" s="3777"/>
      <c r="Z411" s="3777"/>
      <c r="AA411" s="3777"/>
      <c r="AB411" s="3777"/>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6">
        <f t="shared" si="240"/>
        <v>0</v>
      </c>
      <c r="H412" s="1256">
        <f t="shared" si="241"/>
        <v>0</v>
      </c>
      <c r="I412" s="3777"/>
      <c r="J412" s="3777"/>
      <c r="K412" s="3777"/>
      <c r="L412" s="3777"/>
      <c r="M412" s="3777"/>
      <c r="N412" s="3777"/>
      <c r="O412" s="3777"/>
      <c r="P412" s="3777"/>
      <c r="Q412" s="3777"/>
      <c r="R412" s="3777"/>
      <c r="S412" s="3777"/>
      <c r="T412" s="3777"/>
      <c r="U412" s="3777"/>
      <c r="V412" s="3777"/>
      <c r="W412" s="3777"/>
      <c r="X412" s="3777"/>
      <c r="Y412" s="3777"/>
      <c r="Z412" s="3777"/>
      <c r="AA412" s="3777"/>
      <c r="AB412" s="3777"/>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6">
        <f t="shared" si="240"/>
        <v>0</v>
      </c>
      <c r="H413" s="1256">
        <f t="shared" si="241"/>
        <v>0</v>
      </c>
      <c r="I413" s="3777"/>
      <c r="J413" s="3777"/>
      <c r="K413" s="3777"/>
      <c r="L413" s="3777"/>
      <c r="M413" s="3777"/>
      <c r="N413" s="3777"/>
      <c r="O413" s="3777"/>
      <c r="P413" s="3777"/>
      <c r="Q413" s="3777"/>
      <c r="R413" s="3777"/>
      <c r="S413" s="3777"/>
      <c r="T413" s="3777"/>
      <c r="U413" s="3777"/>
      <c r="V413" s="3777"/>
      <c r="W413" s="3777"/>
      <c r="X413" s="3777"/>
      <c r="Y413" s="3777"/>
      <c r="Z413" s="3777"/>
      <c r="AA413" s="3777"/>
      <c r="AB413" s="3777"/>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6">
        <f t="shared" si="240"/>
        <v>0</v>
      </c>
      <c r="H414" s="1256">
        <f t="shared" si="241"/>
        <v>0</v>
      </c>
      <c r="I414" s="3777"/>
      <c r="J414" s="3777"/>
      <c r="K414" s="3777"/>
      <c r="L414" s="3777"/>
      <c r="M414" s="3777"/>
      <c r="N414" s="3777"/>
      <c r="O414" s="3777"/>
      <c r="P414" s="3777"/>
      <c r="Q414" s="3777"/>
      <c r="R414" s="3777"/>
      <c r="S414" s="3777"/>
      <c r="T414" s="3777"/>
      <c r="U414" s="3777"/>
      <c r="V414" s="3777"/>
      <c r="W414" s="3777"/>
      <c r="X414" s="3777"/>
      <c r="Y414" s="3777"/>
      <c r="Z414" s="3777"/>
      <c r="AA414" s="3777"/>
      <c r="AB414" s="3777"/>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6">
        <f t="shared" si="240"/>
        <v>0</v>
      </c>
      <c r="H415" s="1256">
        <f t="shared" si="241"/>
        <v>0</v>
      </c>
      <c r="I415" s="3777"/>
      <c r="J415" s="3777"/>
      <c r="K415" s="3777"/>
      <c r="L415" s="3777"/>
      <c r="M415" s="3777"/>
      <c r="N415" s="3777"/>
      <c r="O415" s="3777"/>
      <c r="P415" s="3777"/>
      <c r="Q415" s="3777"/>
      <c r="R415" s="3777"/>
      <c r="S415" s="3777"/>
      <c r="T415" s="3777"/>
      <c r="U415" s="3777"/>
      <c r="V415" s="3777"/>
      <c r="W415" s="3777"/>
      <c r="X415" s="3777"/>
      <c r="Y415" s="3777"/>
      <c r="Z415" s="3777"/>
      <c r="AA415" s="3777"/>
      <c r="AB415" s="3777"/>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6">
        <f t="shared" si="240"/>
        <v>0</v>
      </c>
      <c r="H416" s="1256">
        <f t="shared" si="241"/>
        <v>0</v>
      </c>
      <c r="I416" s="3777"/>
      <c r="J416" s="3777"/>
      <c r="K416" s="3777"/>
      <c r="L416" s="3777"/>
      <c r="M416" s="3777"/>
      <c r="N416" s="3777"/>
      <c r="O416" s="3777"/>
      <c r="P416" s="3777"/>
      <c r="Q416" s="3777"/>
      <c r="R416" s="3777"/>
      <c r="S416" s="3777"/>
      <c r="T416" s="3777"/>
      <c r="U416" s="3777"/>
      <c r="V416" s="3777"/>
      <c r="W416" s="3777"/>
      <c r="X416" s="3777"/>
      <c r="Y416" s="3777"/>
      <c r="Z416" s="3777"/>
      <c r="AA416" s="3777"/>
      <c r="AB416" s="3777"/>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6">
        <f t="shared" si="240"/>
        <v>0</v>
      </c>
      <c r="H417" s="1256">
        <f t="shared" si="241"/>
        <v>0</v>
      </c>
      <c r="I417" s="3777"/>
      <c r="J417" s="3777"/>
      <c r="K417" s="3777"/>
      <c r="L417" s="3777"/>
      <c r="M417" s="3777"/>
      <c r="N417" s="3777"/>
      <c r="O417" s="3777"/>
      <c r="P417" s="3777"/>
      <c r="Q417" s="3777"/>
      <c r="R417" s="3777"/>
      <c r="S417" s="3777"/>
      <c r="T417" s="3777"/>
      <c r="U417" s="3777"/>
      <c r="V417" s="3777"/>
      <c r="W417" s="3777"/>
      <c r="X417" s="3777"/>
      <c r="Y417" s="3777"/>
      <c r="Z417" s="3777"/>
      <c r="AA417" s="3777"/>
      <c r="AB417" s="3777"/>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6">
        <f t="shared" si="240"/>
        <v>0</v>
      </c>
      <c r="H418" s="1256">
        <f t="shared" si="241"/>
        <v>0</v>
      </c>
      <c r="I418" s="3777"/>
      <c r="J418" s="3777"/>
      <c r="K418" s="3777"/>
      <c r="L418" s="3777"/>
      <c r="M418" s="3777"/>
      <c r="N418" s="3777"/>
      <c r="O418" s="3777"/>
      <c r="P418" s="3777"/>
      <c r="Q418" s="3777"/>
      <c r="R418" s="3777"/>
      <c r="S418" s="3777"/>
      <c r="T418" s="3777"/>
      <c r="U418" s="3777"/>
      <c r="V418" s="3777"/>
      <c r="W418" s="3777"/>
      <c r="X418" s="3777"/>
      <c r="Y418" s="3777"/>
      <c r="Z418" s="3777"/>
      <c r="AA418" s="3777"/>
      <c r="AB418" s="3777"/>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6">
        <f t="shared" si="240"/>
        <v>0</v>
      </c>
      <c r="H419" s="1256">
        <f t="shared" si="241"/>
        <v>0</v>
      </c>
      <c r="I419" s="3777"/>
      <c r="J419" s="3777"/>
      <c r="K419" s="3777"/>
      <c r="L419" s="3777"/>
      <c r="M419" s="3777"/>
      <c r="N419" s="3777"/>
      <c r="O419" s="3777"/>
      <c r="P419" s="3777"/>
      <c r="Q419" s="3777"/>
      <c r="R419" s="3777"/>
      <c r="S419" s="3777"/>
      <c r="T419" s="3777"/>
      <c r="U419" s="3777"/>
      <c r="V419" s="3777"/>
      <c r="W419" s="3777"/>
      <c r="X419" s="3777"/>
      <c r="Y419" s="3777"/>
      <c r="Z419" s="3777"/>
      <c r="AA419" s="3777"/>
      <c r="AB419" s="3777"/>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6">
        <f t="shared" si="240"/>
        <v>0</v>
      </c>
      <c r="H420" s="1256">
        <f t="shared" si="241"/>
        <v>0</v>
      </c>
      <c r="I420" s="3777"/>
      <c r="J420" s="3777"/>
      <c r="K420" s="3777"/>
      <c r="L420" s="3777"/>
      <c r="M420" s="3777"/>
      <c r="N420" s="3777"/>
      <c r="O420" s="3777"/>
      <c r="P420" s="3777"/>
      <c r="Q420" s="3777"/>
      <c r="R420" s="3777"/>
      <c r="S420" s="3777"/>
      <c r="T420" s="3777"/>
      <c r="U420" s="3777"/>
      <c r="V420" s="3777"/>
      <c r="W420" s="3777"/>
      <c r="X420" s="3777"/>
      <c r="Y420" s="3777"/>
      <c r="Z420" s="3777"/>
      <c r="AA420" s="3777"/>
      <c r="AB420" s="3777"/>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6">
        <f t="shared" si="240"/>
        <v>0</v>
      </c>
      <c r="H421" s="1256">
        <f t="shared" si="241"/>
        <v>0</v>
      </c>
      <c r="I421" s="3777"/>
      <c r="J421" s="3777"/>
      <c r="K421" s="3777"/>
      <c r="L421" s="3777"/>
      <c r="M421" s="3777"/>
      <c r="N421" s="3777"/>
      <c r="O421" s="3777"/>
      <c r="P421" s="3777"/>
      <c r="Q421" s="3777"/>
      <c r="R421" s="3777"/>
      <c r="S421" s="3777"/>
      <c r="T421" s="3777"/>
      <c r="U421" s="3777"/>
      <c r="V421" s="3777"/>
      <c r="W421" s="3777"/>
      <c r="X421" s="3777"/>
      <c r="Y421" s="3777"/>
      <c r="Z421" s="3777"/>
      <c r="AA421" s="3777"/>
      <c r="AB421" s="3777"/>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6">
        <f t="shared" si="240"/>
        <v>0</v>
      </c>
      <c r="H422" s="1256">
        <f t="shared" si="241"/>
        <v>0</v>
      </c>
      <c r="I422" s="3777"/>
      <c r="J422" s="3777"/>
      <c r="K422" s="3777"/>
      <c r="L422" s="3777"/>
      <c r="M422" s="3777"/>
      <c r="N422" s="3777"/>
      <c r="O422" s="3777"/>
      <c r="P422" s="3777"/>
      <c r="Q422" s="3777"/>
      <c r="R422" s="3777"/>
      <c r="S422" s="3777"/>
      <c r="T422" s="3777"/>
      <c r="U422" s="3777"/>
      <c r="V422" s="3777"/>
      <c r="W422" s="3777"/>
      <c r="X422" s="3777"/>
      <c r="Y422" s="3777"/>
      <c r="Z422" s="3777"/>
      <c r="AA422" s="3777"/>
      <c r="AB422" s="3777"/>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6">
        <f t="shared" si="240"/>
        <v>0</v>
      </c>
      <c r="H423" s="1256">
        <f t="shared" si="241"/>
        <v>0</v>
      </c>
      <c r="I423" s="3777"/>
      <c r="J423" s="3777"/>
      <c r="K423" s="3777"/>
      <c r="L423" s="3777"/>
      <c r="M423" s="3777"/>
      <c r="N423" s="3777"/>
      <c r="O423" s="3777"/>
      <c r="P423" s="3777"/>
      <c r="Q423" s="3777"/>
      <c r="R423" s="3777"/>
      <c r="S423" s="3777"/>
      <c r="T423" s="3777"/>
      <c r="U423" s="3777"/>
      <c r="V423" s="3777"/>
      <c r="W423" s="3777"/>
      <c r="X423" s="3777"/>
      <c r="Y423" s="3777"/>
      <c r="Z423" s="3777"/>
      <c r="AA423" s="3777"/>
      <c r="AB423" s="3777"/>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6">
        <f t="shared" si="240"/>
        <v>0</v>
      </c>
      <c r="H424" s="1256">
        <f t="shared" si="241"/>
        <v>0</v>
      </c>
      <c r="I424" s="3777"/>
      <c r="J424" s="3777"/>
      <c r="K424" s="3777"/>
      <c r="L424" s="3777"/>
      <c r="M424" s="3777"/>
      <c r="N424" s="3777"/>
      <c r="O424" s="3777"/>
      <c r="P424" s="3777"/>
      <c r="Q424" s="3777"/>
      <c r="R424" s="3777"/>
      <c r="S424" s="3777"/>
      <c r="T424" s="3777"/>
      <c r="U424" s="3777"/>
      <c r="V424" s="3777"/>
      <c r="W424" s="3777"/>
      <c r="X424" s="3777"/>
      <c r="Y424" s="3777"/>
      <c r="Z424" s="3777"/>
      <c r="AA424" s="3777"/>
      <c r="AB424" s="3777"/>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6">
        <f t="shared" si="240"/>
        <v>0</v>
      </c>
      <c r="H425" s="1256">
        <f t="shared" si="241"/>
        <v>0</v>
      </c>
      <c r="I425" s="3777"/>
      <c r="J425" s="3777"/>
      <c r="K425" s="3777"/>
      <c r="L425" s="3777"/>
      <c r="M425" s="3777"/>
      <c r="N425" s="3777"/>
      <c r="O425" s="3777"/>
      <c r="P425" s="3777"/>
      <c r="Q425" s="3777"/>
      <c r="R425" s="3777"/>
      <c r="S425" s="3777"/>
      <c r="T425" s="3777"/>
      <c r="U425" s="3777"/>
      <c r="V425" s="3777"/>
      <c r="W425" s="3777"/>
      <c r="X425" s="3777"/>
      <c r="Y425" s="3777"/>
      <c r="Z425" s="3777"/>
      <c r="AA425" s="3777"/>
      <c r="AB425" s="3777"/>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6">
        <f t="shared" si="240"/>
        <v>0</v>
      </c>
      <c r="H426" s="1256">
        <f t="shared" si="241"/>
        <v>0</v>
      </c>
      <c r="I426" s="3777"/>
      <c r="J426" s="3777"/>
      <c r="K426" s="3777"/>
      <c r="L426" s="3777"/>
      <c r="M426" s="3777"/>
      <c r="N426" s="3777"/>
      <c r="O426" s="3777"/>
      <c r="P426" s="3777"/>
      <c r="Q426" s="3777"/>
      <c r="R426" s="3777"/>
      <c r="S426" s="3777"/>
      <c r="T426" s="3777"/>
      <c r="U426" s="3777"/>
      <c r="V426" s="3777"/>
      <c r="W426" s="3777"/>
      <c r="X426" s="3777"/>
      <c r="Y426" s="3777"/>
      <c r="Z426" s="3777"/>
      <c r="AA426" s="3777"/>
      <c r="AB426" s="3777"/>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6">
        <f t="shared" si="240"/>
        <v>0</v>
      </c>
      <c r="H427" s="1256">
        <f t="shared" si="241"/>
        <v>0</v>
      </c>
      <c r="I427" s="3777"/>
      <c r="J427" s="3777"/>
      <c r="K427" s="3777"/>
      <c r="L427" s="3777"/>
      <c r="M427" s="3777"/>
      <c r="N427" s="3777"/>
      <c r="O427" s="3777"/>
      <c r="P427" s="3777"/>
      <c r="Q427" s="3777"/>
      <c r="R427" s="3777"/>
      <c r="S427" s="3777"/>
      <c r="T427" s="3777"/>
      <c r="U427" s="3777"/>
      <c r="V427" s="3777"/>
      <c r="W427" s="3777"/>
      <c r="X427" s="3777"/>
      <c r="Y427" s="3777"/>
      <c r="Z427" s="3777"/>
      <c r="AA427" s="3777"/>
      <c r="AB427" s="3777"/>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6">
        <f t="shared" si="240"/>
        <v>0</v>
      </c>
      <c r="H428" s="1256">
        <f t="shared" si="241"/>
        <v>0</v>
      </c>
      <c r="I428" s="3777"/>
      <c r="J428" s="3777"/>
      <c r="K428" s="3777"/>
      <c r="L428" s="3777"/>
      <c r="M428" s="3777"/>
      <c r="N428" s="3777"/>
      <c r="O428" s="3777"/>
      <c r="P428" s="3777"/>
      <c r="Q428" s="3777"/>
      <c r="R428" s="3777"/>
      <c r="S428" s="3777"/>
      <c r="T428" s="3777"/>
      <c r="U428" s="3777"/>
      <c r="V428" s="3777"/>
      <c r="W428" s="3777"/>
      <c r="X428" s="3777"/>
      <c r="Y428" s="3777"/>
      <c r="Z428" s="3777"/>
      <c r="AA428" s="3777"/>
      <c r="AB428" s="3777"/>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6">
        <f t="shared" si="240"/>
        <v>0</v>
      </c>
      <c r="H429" s="1256">
        <f t="shared" si="241"/>
        <v>0</v>
      </c>
      <c r="I429" s="3777"/>
      <c r="J429" s="3777"/>
      <c r="K429" s="3777"/>
      <c r="L429" s="3777"/>
      <c r="M429" s="3777"/>
      <c r="N429" s="3777"/>
      <c r="O429" s="3777"/>
      <c r="P429" s="3777"/>
      <c r="Q429" s="3777"/>
      <c r="R429" s="3777"/>
      <c r="S429" s="3777"/>
      <c r="T429" s="3777"/>
      <c r="U429" s="3777"/>
      <c r="V429" s="3777"/>
      <c r="W429" s="3777"/>
      <c r="X429" s="3777"/>
      <c r="Y429" s="3777"/>
      <c r="Z429" s="3777"/>
      <c r="AA429" s="3777"/>
      <c r="AB429" s="3777"/>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6">
        <f t="shared" si="240"/>
        <v>0</v>
      </c>
      <c r="H430" s="1256">
        <f t="shared" si="241"/>
        <v>0</v>
      </c>
      <c r="I430" s="3777"/>
      <c r="J430" s="3777"/>
      <c r="K430" s="3777"/>
      <c r="L430" s="3777"/>
      <c r="M430" s="3777"/>
      <c r="N430" s="3777"/>
      <c r="O430" s="3777"/>
      <c r="P430" s="3777"/>
      <c r="Q430" s="3777"/>
      <c r="R430" s="3777"/>
      <c r="S430" s="3777"/>
      <c r="T430" s="3777"/>
      <c r="U430" s="3777"/>
      <c r="V430" s="3777"/>
      <c r="W430" s="3777"/>
      <c r="X430" s="3777"/>
      <c r="Y430" s="3777"/>
      <c r="Z430" s="3777"/>
      <c r="AA430" s="3777"/>
      <c r="AB430" s="3777"/>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6">
        <f t="shared" si="240"/>
        <v>0</v>
      </c>
      <c r="H431" s="1256">
        <f t="shared" si="241"/>
        <v>0</v>
      </c>
      <c r="I431" s="3777"/>
      <c r="J431" s="3777"/>
      <c r="K431" s="3777"/>
      <c r="L431" s="3777"/>
      <c r="M431" s="3777"/>
      <c r="N431" s="3777"/>
      <c r="O431" s="3777"/>
      <c r="P431" s="3777"/>
      <c r="Q431" s="3777"/>
      <c r="R431" s="3777"/>
      <c r="S431" s="3777"/>
      <c r="T431" s="3777"/>
      <c r="U431" s="3777"/>
      <c r="V431" s="3777"/>
      <c r="W431" s="3777"/>
      <c r="X431" s="3777"/>
      <c r="Y431" s="3777"/>
      <c r="Z431" s="3777"/>
      <c r="AA431" s="3777"/>
      <c r="AB431" s="3777"/>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6">
        <f t="shared" si="240"/>
        <v>0</v>
      </c>
      <c r="H432" s="1256">
        <f t="shared" si="241"/>
        <v>0</v>
      </c>
      <c r="I432" s="3777"/>
      <c r="J432" s="3777"/>
      <c r="K432" s="3777"/>
      <c r="L432" s="3777"/>
      <c r="M432" s="3777"/>
      <c r="N432" s="3777"/>
      <c r="O432" s="3777"/>
      <c r="P432" s="3777"/>
      <c r="Q432" s="3777"/>
      <c r="R432" s="3777"/>
      <c r="S432" s="3777"/>
      <c r="T432" s="3777"/>
      <c r="U432" s="3777"/>
      <c r="V432" s="3777"/>
      <c r="W432" s="3777"/>
      <c r="X432" s="3777"/>
      <c r="Y432" s="3777"/>
      <c r="Z432" s="3777"/>
      <c r="AA432" s="3777"/>
      <c r="AB432" s="3777"/>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6">
        <f t="shared" si="240"/>
        <v>0</v>
      </c>
      <c r="H433" s="1256">
        <f t="shared" si="241"/>
        <v>0</v>
      </c>
      <c r="I433" s="3777"/>
      <c r="J433" s="3777"/>
      <c r="K433" s="3777"/>
      <c r="L433" s="3777"/>
      <c r="M433" s="3777"/>
      <c r="N433" s="3777"/>
      <c r="O433" s="3777"/>
      <c r="P433" s="3777"/>
      <c r="Q433" s="3777"/>
      <c r="R433" s="3777"/>
      <c r="S433" s="3777"/>
      <c r="T433" s="3777"/>
      <c r="U433" s="3777"/>
      <c r="V433" s="3777"/>
      <c r="W433" s="3777"/>
      <c r="X433" s="3777"/>
      <c r="Y433" s="3777"/>
      <c r="Z433" s="3777"/>
      <c r="AA433" s="3777"/>
      <c r="AB433" s="3777"/>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6">
        <f t="shared" si="240"/>
        <v>0</v>
      </c>
      <c r="H434" s="1256">
        <f t="shared" si="241"/>
        <v>0</v>
      </c>
      <c r="I434" s="3777"/>
      <c r="J434" s="3777"/>
      <c r="K434" s="3777"/>
      <c r="L434" s="3777"/>
      <c r="M434" s="3777"/>
      <c r="N434" s="3777"/>
      <c r="O434" s="3777"/>
      <c r="P434" s="3777"/>
      <c r="Q434" s="3777"/>
      <c r="R434" s="3777"/>
      <c r="S434" s="3777"/>
      <c r="T434" s="3777"/>
      <c r="U434" s="3777"/>
      <c r="V434" s="3777"/>
      <c r="W434" s="3777"/>
      <c r="X434" s="3777"/>
      <c r="Y434" s="3777"/>
      <c r="Z434" s="3777"/>
      <c r="AA434" s="3777"/>
      <c r="AB434" s="3777"/>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6">
        <f t="shared" si="240"/>
        <v>0</v>
      </c>
      <c r="H435" s="1256">
        <f t="shared" si="241"/>
        <v>0</v>
      </c>
      <c r="I435" s="3777"/>
      <c r="J435" s="3777"/>
      <c r="K435" s="3777"/>
      <c r="L435" s="3777"/>
      <c r="M435" s="3777"/>
      <c r="N435" s="3777"/>
      <c r="O435" s="3777"/>
      <c r="P435" s="3777"/>
      <c r="Q435" s="3777"/>
      <c r="R435" s="3777"/>
      <c r="S435" s="3777"/>
      <c r="T435" s="3777"/>
      <c r="U435" s="3777"/>
      <c r="V435" s="3777"/>
      <c r="W435" s="3777"/>
      <c r="X435" s="3777"/>
      <c r="Y435" s="3777"/>
      <c r="Z435" s="3777"/>
      <c r="AA435" s="3777"/>
      <c r="AB435" s="3777"/>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6">
        <f t="shared" si="240"/>
        <v>0</v>
      </c>
      <c r="H436" s="1256">
        <f t="shared" si="241"/>
        <v>0</v>
      </c>
      <c r="I436" s="3777"/>
      <c r="J436" s="3777"/>
      <c r="K436" s="3777"/>
      <c r="L436" s="3777"/>
      <c r="M436" s="3777"/>
      <c r="N436" s="3777"/>
      <c r="O436" s="3777"/>
      <c r="P436" s="3777"/>
      <c r="Q436" s="3777"/>
      <c r="R436" s="3777"/>
      <c r="S436" s="3777"/>
      <c r="T436" s="3777"/>
      <c r="U436" s="3777"/>
      <c r="V436" s="3777"/>
      <c r="W436" s="3777"/>
      <c r="X436" s="3777"/>
      <c r="Y436" s="3777"/>
      <c r="Z436" s="3777"/>
      <c r="AA436" s="3777"/>
      <c r="AB436" s="3777"/>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6">
        <f t="shared" si="240"/>
        <v>0</v>
      </c>
      <c r="H437" s="1256">
        <f t="shared" si="241"/>
        <v>0</v>
      </c>
      <c r="I437" s="3777"/>
      <c r="J437" s="3777"/>
      <c r="K437" s="3777"/>
      <c r="L437" s="3777"/>
      <c r="M437" s="3777"/>
      <c r="N437" s="3777"/>
      <c r="O437" s="3777"/>
      <c r="P437" s="3777"/>
      <c r="Q437" s="3777"/>
      <c r="R437" s="3777"/>
      <c r="S437" s="3777"/>
      <c r="T437" s="3777"/>
      <c r="U437" s="3777"/>
      <c r="V437" s="3777"/>
      <c r="W437" s="3777"/>
      <c r="X437" s="3777"/>
      <c r="Y437" s="3777"/>
      <c r="Z437" s="3777"/>
      <c r="AA437" s="3777"/>
      <c r="AB437" s="3777"/>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6">
        <f t="shared" si="240"/>
        <v>0</v>
      </c>
      <c r="H438" s="1256">
        <f t="shared" si="241"/>
        <v>0</v>
      </c>
      <c r="I438" s="3777"/>
      <c r="J438" s="3777"/>
      <c r="K438" s="3777"/>
      <c r="L438" s="3777"/>
      <c r="M438" s="3777"/>
      <c r="N438" s="3777"/>
      <c r="O438" s="3777"/>
      <c r="P438" s="3777"/>
      <c r="Q438" s="3777"/>
      <c r="R438" s="3777"/>
      <c r="S438" s="3777"/>
      <c r="T438" s="3777"/>
      <c r="U438" s="3777"/>
      <c r="V438" s="3777"/>
      <c r="W438" s="3777"/>
      <c r="X438" s="3777"/>
      <c r="Y438" s="3777"/>
      <c r="Z438" s="3777"/>
      <c r="AA438" s="3777"/>
      <c r="AB438" s="3777"/>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6">
        <f t="shared" si="240"/>
        <v>0</v>
      </c>
      <c r="H439" s="1256">
        <f t="shared" si="241"/>
        <v>0</v>
      </c>
      <c r="I439" s="3777"/>
      <c r="J439" s="3777"/>
      <c r="K439" s="3777"/>
      <c r="L439" s="3777"/>
      <c r="M439" s="3777"/>
      <c r="N439" s="3777"/>
      <c r="O439" s="3777"/>
      <c r="P439" s="3777"/>
      <c r="Q439" s="3777"/>
      <c r="R439" s="3777"/>
      <c r="S439" s="3777"/>
      <c r="T439" s="3777"/>
      <c r="U439" s="3777"/>
      <c r="V439" s="3777"/>
      <c r="W439" s="3777"/>
      <c r="X439" s="3777"/>
      <c r="Y439" s="3777"/>
      <c r="Z439" s="3777"/>
      <c r="AA439" s="3777"/>
      <c r="AB439" s="3777"/>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6">
        <f t="shared" si="240"/>
        <v>0</v>
      </c>
      <c r="H440" s="1256">
        <f t="shared" si="241"/>
        <v>0</v>
      </c>
      <c r="I440" s="3777"/>
      <c r="J440" s="3777"/>
      <c r="K440" s="3777"/>
      <c r="L440" s="3777"/>
      <c r="M440" s="3777"/>
      <c r="N440" s="3777"/>
      <c r="O440" s="3777"/>
      <c r="P440" s="3777"/>
      <c r="Q440" s="3777"/>
      <c r="R440" s="3777"/>
      <c r="S440" s="3777"/>
      <c r="T440" s="3777"/>
      <c r="U440" s="3777"/>
      <c r="V440" s="3777"/>
      <c r="W440" s="3777"/>
      <c r="X440" s="3777"/>
      <c r="Y440" s="3777"/>
      <c r="Z440" s="3777"/>
      <c r="AA440" s="3777"/>
      <c r="AB440" s="3777"/>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6">
        <f t="shared" si="240"/>
        <v>0</v>
      </c>
      <c r="H441" s="1256">
        <f t="shared" si="241"/>
        <v>0</v>
      </c>
      <c r="I441" s="3777"/>
      <c r="J441" s="3777"/>
      <c r="K441" s="3777"/>
      <c r="L441" s="3777"/>
      <c r="M441" s="3777"/>
      <c r="N441" s="3777"/>
      <c r="O441" s="3777"/>
      <c r="P441" s="3777"/>
      <c r="Q441" s="3777"/>
      <c r="R441" s="3777"/>
      <c r="S441" s="3777"/>
      <c r="T441" s="3777"/>
      <c r="U441" s="3777"/>
      <c r="V441" s="3777"/>
      <c r="W441" s="3777"/>
      <c r="X441" s="3777"/>
      <c r="Y441" s="3777"/>
      <c r="Z441" s="3777"/>
      <c r="AA441" s="3777"/>
      <c r="AB441" s="3777"/>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6">
        <f t="shared" si="240"/>
        <v>0</v>
      </c>
      <c r="H442" s="1256">
        <f t="shared" si="241"/>
        <v>0</v>
      </c>
      <c r="I442" s="3777"/>
      <c r="J442" s="3777"/>
      <c r="K442" s="3777"/>
      <c r="L442" s="3777"/>
      <c r="M442" s="3777"/>
      <c r="N442" s="3777"/>
      <c r="O442" s="3777"/>
      <c r="P442" s="3777"/>
      <c r="Q442" s="3777"/>
      <c r="R442" s="3777"/>
      <c r="S442" s="3777"/>
      <c r="T442" s="3777"/>
      <c r="U442" s="3777"/>
      <c r="V442" s="3777"/>
      <c r="W442" s="3777"/>
      <c r="X442" s="3777"/>
      <c r="Y442" s="3777"/>
      <c r="Z442" s="3777"/>
      <c r="AA442" s="3777"/>
      <c r="AB442" s="3777"/>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6">
        <f t="shared" si="240"/>
        <v>0</v>
      </c>
      <c r="H443" s="1256">
        <f t="shared" si="241"/>
        <v>0</v>
      </c>
      <c r="I443" s="3777"/>
      <c r="J443" s="3777"/>
      <c r="K443" s="3777"/>
      <c r="L443" s="3777"/>
      <c r="M443" s="3777"/>
      <c r="N443" s="3777"/>
      <c r="O443" s="3777"/>
      <c r="P443" s="3777"/>
      <c r="Q443" s="3777"/>
      <c r="R443" s="3777"/>
      <c r="S443" s="3777"/>
      <c r="T443" s="3777"/>
      <c r="U443" s="3777"/>
      <c r="V443" s="3777"/>
      <c r="W443" s="3777"/>
      <c r="X443" s="3777"/>
      <c r="Y443" s="3777"/>
      <c r="Z443" s="3777"/>
      <c r="AA443" s="3777"/>
      <c r="AB443" s="3777"/>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6">
        <f t="shared" si="240"/>
        <v>0</v>
      </c>
      <c r="H444" s="1256">
        <f t="shared" si="241"/>
        <v>0</v>
      </c>
      <c r="I444" s="3777"/>
      <c r="J444" s="3777"/>
      <c r="K444" s="3777"/>
      <c r="L444" s="3777"/>
      <c r="M444" s="3777"/>
      <c r="N444" s="3777"/>
      <c r="O444" s="3777"/>
      <c r="P444" s="3777"/>
      <c r="Q444" s="3777"/>
      <c r="R444" s="3777"/>
      <c r="S444" s="3777"/>
      <c r="T444" s="3777"/>
      <c r="U444" s="3777"/>
      <c r="V444" s="3777"/>
      <c r="W444" s="3777"/>
      <c r="X444" s="3777"/>
      <c r="Y444" s="3777"/>
      <c r="Z444" s="3777"/>
      <c r="AA444" s="3777"/>
      <c r="AB444" s="3777"/>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6">
        <f t="shared" si="240"/>
        <v>0</v>
      </c>
      <c r="H445" s="1256">
        <f t="shared" si="241"/>
        <v>0</v>
      </c>
      <c r="I445" s="3777"/>
      <c r="J445" s="3777"/>
      <c r="K445" s="3777"/>
      <c r="L445" s="3777"/>
      <c r="M445" s="3777"/>
      <c r="N445" s="3777"/>
      <c r="O445" s="3777"/>
      <c r="P445" s="3777"/>
      <c r="Q445" s="3777"/>
      <c r="R445" s="3777"/>
      <c r="S445" s="3777"/>
      <c r="T445" s="3777"/>
      <c r="U445" s="3777"/>
      <c r="V445" s="3777"/>
      <c r="W445" s="3777"/>
      <c r="X445" s="3777"/>
      <c r="Y445" s="3777"/>
      <c r="Z445" s="3777"/>
      <c r="AA445" s="3777"/>
      <c r="AB445" s="3777"/>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6">
        <f t="shared" si="240"/>
        <v>0</v>
      </c>
      <c r="H446" s="1256">
        <f t="shared" si="241"/>
        <v>0</v>
      </c>
      <c r="I446" s="3777"/>
      <c r="J446" s="3777"/>
      <c r="K446" s="3777"/>
      <c r="L446" s="3777"/>
      <c r="M446" s="3777"/>
      <c r="N446" s="3777"/>
      <c r="O446" s="3777"/>
      <c r="P446" s="3777"/>
      <c r="Q446" s="3777"/>
      <c r="R446" s="3777"/>
      <c r="S446" s="3777"/>
      <c r="T446" s="3777"/>
      <c r="U446" s="3777"/>
      <c r="V446" s="3777"/>
      <c r="W446" s="3777"/>
      <c r="X446" s="3777"/>
      <c r="Y446" s="3777"/>
      <c r="Z446" s="3777"/>
      <c r="AA446" s="3777"/>
      <c r="AB446" s="3777"/>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6">
        <f t="shared" si="240"/>
        <v>0</v>
      </c>
      <c r="H447" s="1256">
        <f t="shared" si="241"/>
        <v>0</v>
      </c>
      <c r="I447" s="3777"/>
      <c r="J447" s="3777"/>
      <c r="K447" s="3777"/>
      <c r="L447" s="3777"/>
      <c r="M447" s="3777"/>
      <c r="N447" s="3777"/>
      <c r="O447" s="3777"/>
      <c r="P447" s="3777"/>
      <c r="Q447" s="3777"/>
      <c r="R447" s="3777"/>
      <c r="S447" s="3777"/>
      <c r="T447" s="3777"/>
      <c r="U447" s="3777"/>
      <c r="V447" s="3777"/>
      <c r="W447" s="3777"/>
      <c r="X447" s="3777"/>
      <c r="Y447" s="3777"/>
      <c r="Z447" s="3777"/>
      <c r="AA447" s="3777"/>
      <c r="AB447" s="3777"/>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6">
        <f t="shared" si="240"/>
        <v>0</v>
      </c>
      <c r="H448" s="1256">
        <f t="shared" si="241"/>
        <v>0</v>
      </c>
      <c r="I448" s="3777"/>
      <c r="J448" s="3777"/>
      <c r="K448" s="3777"/>
      <c r="L448" s="3777"/>
      <c r="M448" s="3777"/>
      <c r="N448" s="3777"/>
      <c r="O448" s="3777"/>
      <c r="P448" s="3777"/>
      <c r="Q448" s="3777"/>
      <c r="R448" s="3777"/>
      <c r="S448" s="3777"/>
      <c r="T448" s="3777"/>
      <c r="U448" s="3777"/>
      <c r="V448" s="3777"/>
      <c r="W448" s="3777"/>
      <c r="X448" s="3777"/>
      <c r="Y448" s="3777"/>
      <c r="Z448" s="3777"/>
      <c r="AA448" s="3777"/>
      <c r="AB448" s="3777"/>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6">
        <f t="shared" si="240"/>
        <v>0</v>
      </c>
      <c r="H449" s="1256">
        <f t="shared" si="241"/>
        <v>0</v>
      </c>
      <c r="I449" s="3777"/>
      <c r="J449" s="3777"/>
      <c r="K449" s="3777"/>
      <c r="L449" s="3777"/>
      <c r="M449" s="3777"/>
      <c r="N449" s="3777"/>
      <c r="O449" s="3777"/>
      <c r="P449" s="3777"/>
      <c r="Q449" s="3777"/>
      <c r="R449" s="3777"/>
      <c r="S449" s="3777"/>
      <c r="T449" s="3777"/>
      <c r="U449" s="3777"/>
      <c r="V449" s="3777"/>
      <c r="W449" s="3777"/>
      <c r="X449" s="3777"/>
      <c r="Y449" s="3777"/>
      <c r="Z449" s="3777"/>
      <c r="AA449" s="3777"/>
      <c r="AB449" s="3777"/>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6">
        <f t="shared" si="240"/>
        <v>0</v>
      </c>
      <c r="H450" s="1256">
        <f t="shared" si="241"/>
        <v>0</v>
      </c>
      <c r="I450" s="3777"/>
      <c r="J450" s="3777"/>
      <c r="K450" s="3777"/>
      <c r="L450" s="3777"/>
      <c r="M450" s="3777"/>
      <c r="N450" s="3777"/>
      <c r="O450" s="3777"/>
      <c r="P450" s="3777"/>
      <c r="Q450" s="3777"/>
      <c r="R450" s="3777"/>
      <c r="S450" s="3777"/>
      <c r="T450" s="3777"/>
      <c r="U450" s="3777"/>
      <c r="V450" s="3777"/>
      <c r="W450" s="3777"/>
      <c r="X450" s="3777"/>
      <c r="Y450" s="3777"/>
      <c r="Z450" s="3777"/>
      <c r="AA450" s="3777"/>
      <c r="AB450" s="3777"/>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6">
        <f t="shared" si="240"/>
        <v>0</v>
      </c>
      <c r="H451" s="1256">
        <f t="shared" si="241"/>
        <v>0</v>
      </c>
      <c r="I451" s="3777"/>
      <c r="J451" s="3777"/>
      <c r="K451" s="3777"/>
      <c r="L451" s="3777"/>
      <c r="M451" s="3777"/>
      <c r="N451" s="3777"/>
      <c r="O451" s="3777"/>
      <c r="P451" s="3777"/>
      <c r="Q451" s="3777"/>
      <c r="R451" s="3777"/>
      <c r="S451" s="3777"/>
      <c r="T451" s="3777"/>
      <c r="U451" s="3777"/>
      <c r="V451" s="3777"/>
      <c r="W451" s="3777"/>
      <c r="X451" s="3777"/>
      <c r="Y451" s="3777"/>
      <c r="Z451" s="3777"/>
      <c r="AA451" s="3777"/>
      <c r="AB451" s="3777"/>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6">
        <f t="shared" si="240"/>
        <v>0</v>
      </c>
      <c r="H452" s="1256">
        <f t="shared" si="241"/>
        <v>0</v>
      </c>
      <c r="I452" s="3777"/>
      <c r="J452" s="3777"/>
      <c r="K452" s="3777"/>
      <c r="L452" s="3777"/>
      <c r="M452" s="3777"/>
      <c r="N452" s="3777"/>
      <c r="O452" s="3777"/>
      <c r="P452" s="3777"/>
      <c r="Q452" s="3777"/>
      <c r="R452" s="3777"/>
      <c r="S452" s="3777"/>
      <c r="T452" s="3777"/>
      <c r="U452" s="3777"/>
      <c r="V452" s="3777"/>
      <c r="W452" s="3777"/>
      <c r="X452" s="3777"/>
      <c r="Y452" s="3777"/>
      <c r="Z452" s="3777"/>
      <c r="AA452" s="3777"/>
      <c r="AB452" s="3777"/>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6">
        <f t="shared" si="240"/>
        <v>0</v>
      </c>
      <c r="H453" s="1256">
        <f t="shared" si="241"/>
        <v>0</v>
      </c>
      <c r="I453" s="3777"/>
      <c r="J453" s="3777"/>
      <c r="K453" s="3777"/>
      <c r="L453" s="3777"/>
      <c r="M453" s="3777"/>
      <c r="N453" s="3777"/>
      <c r="O453" s="3777"/>
      <c r="P453" s="3777"/>
      <c r="Q453" s="3777"/>
      <c r="R453" s="3777"/>
      <c r="S453" s="3777"/>
      <c r="T453" s="3777"/>
      <c r="U453" s="3777"/>
      <c r="V453" s="3777"/>
      <c r="W453" s="3777"/>
      <c r="X453" s="3777"/>
      <c r="Y453" s="3777"/>
      <c r="Z453" s="3777"/>
      <c r="AA453" s="3777"/>
      <c r="AB453" s="3777"/>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6">
        <f t="shared" si="240"/>
        <v>0</v>
      </c>
      <c r="H454" s="1256">
        <f t="shared" si="241"/>
        <v>0</v>
      </c>
      <c r="I454" s="3777"/>
      <c r="J454" s="3777"/>
      <c r="K454" s="3777"/>
      <c r="L454" s="3777"/>
      <c r="M454" s="3777"/>
      <c r="N454" s="3777"/>
      <c r="O454" s="3777"/>
      <c r="P454" s="3777"/>
      <c r="Q454" s="3777"/>
      <c r="R454" s="3777"/>
      <c r="S454" s="3777"/>
      <c r="T454" s="3777"/>
      <c r="U454" s="3777"/>
      <c r="V454" s="3777"/>
      <c r="W454" s="3777"/>
      <c r="X454" s="3777"/>
      <c r="Y454" s="3777"/>
      <c r="Z454" s="3777"/>
      <c r="AA454" s="3777"/>
      <c r="AB454" s="3777"/>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6">
        <f t="shared" si="240"/>
        <v>0</v>
      </c>
      <c r="H455" s="1256">
        <f t="shared" si="241"/>
        <v>0</v>
      </c>
      <c r="I455" s="3777"/>
      <c r="J455" s="3777"/>
      <c r="K455" s="3777"/>
      <c r="L455" s="3777"/>
      <c r="M455" s="3777"/>
      <c r="N455" s="3777"/>
      <c r="O455" s="3777"/>
      <c r="P455" s="3777"/>
      <c r="Q455" s="3777"/>
      <c r="R455" s="3777"/>
      <c r="S455" s="3777"/>
      <c r="T455" s="3777"/>
      <c r="U455" s="3777"/>
      <c r="V455" s="3777"/>
      <c r="W455" s="3777"/>
      <c r="X455" s="3777"/>
      <c r="Y455" s="3777"/>
      <c r="Z455" s="3777"/>
      <c r="AA455" s="3777"/>
      <c r="AB455" s="3777"/>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6">
        <f t="shared" si="240"/>
        <v>0</v>
      </c>
      <c r="H456" s="1256">
        <f t="shared" si="241"/>
        <v>0</v>
      </c>
      <c r="I456" s="3777"/>
      <c r="J456" s="3777"/>
      <c r="K456" s="3777"/>
      <c r="L456" s="3777"/>
      <c r="M456" s="3777"/>
      <c r="N456" s="3777"/>
      <c r="O456" s="3777"/>
      <c r="P456" s="3777"/>
      <c r="Q456" s="3777"/>
      <c r="R456" s="3777"/>
      <c r="S456" s="3777"/>
      <c r="T456" s="3777"/>
      <c r="U456" s="3777"/>
      <c r="V456" s="3777"/>
      <c r="W456" s="3777"/>
      <c r="X456" s="3777"/>
      <c r="Y456" s="3777"/>
      <c r="Z456" s="3777"/>
      <c r="AA456" s="3777"/>
      <c r="AB456" s="3777"/>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6">
        <f t="shared" si="240"/>
        <v>0</v>
      </c>
      <c r="H457" s="1256">
        <f t="shared" si="241"/>
        <v>0</v>
      </c>
      <c r="I457" s="3777"/>
      <c r="J457" s="3777"/>
      <c r="K457" s="3777"/>
      <c r="L457" s="3777"/>
      <c r="M457" s="3777"/>
      <c r="N457" s="3777"/>
      <c r="O457" s="3777"/>
      <c r="P457" s="3777"/>
      <c r="Q457" s="3777"/>
      <c r="R457" s="3777"/>
      <c r="S457" s="3777"/>
      <c r="T457" s="3777"/>
      <c r="U457" s="3777"/>
      <c r="V457" s="3777"/>
      <c r="W457" s="3777"/>
      <c r="X457" s="3777"/>
      <c r="Y457" s="3777"/>
      <c r="Z457" s="3777"/>
      <c r="AA457" s="3777"/>
      <c r="AB457" s="3777"/>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6">
        <f t="shared" si="240"/>
        <v>0</v>
      </c>
      <c r="H458" s="1256">
        <f t="shared" si="241"/>
        <v>0</v>
      </c>
      <c r="I458" s="3777"/>
      <c r="J458" s="3777"/>
      <c r="K458" s="3777"/>
      <c r="L458" s="3777"/>
      <c r="M458" s="3777"/>
      <c r="N458" s="3777"/>
      <c r="O458" s="3777"/>
      <c r="P458" s="3777"/>
      <c r="Q458" s="3777"/>
      <c r="R458" s="3777"/>
      <c r="S458" s="3777"/>
      <c r="T458" s="3777"/>
      <c r="U458" s="3777"/>
      <c r="V458" s="3777"/>
      <c r="W458" s="3777"/>
      <c r="X458" s="3777"/>
      <c r="Y458" s="3777"/>
      <c r="Z458" s="3777"/>
      <c r="AA458" s="3777"/>
      <c r="AB458" s="3777"/>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6">
        <f t="shared" si="240"/>
        <v>0</v>
      </c>
      <c r="H459" s="1256">
        <f t="shared" si="241"/>
        <v>0</v>
      </c>
      <c r="I459" s="3777"/>
      <c r="J459" s="3777"/>
      <c r="K459" s="3777"/>
      <c r="L459" s="3777"/>
      <c r="M459" s="3777"/>
      <c r="N459" s="3777"/>
      <c r="O459" s="3777"/>
      <c r="P459" s="3777"/>
      <c r="Q459" s="3777"/>
      <c r="R459" s="3777"/>
      <c r="S459" s="3777"/>
      <c r="T459" s="3777"/>
      <c r="U459" s="3777"/>
      <c r="V459" s="3777"/>
      <c r="W459" s="3777"/>
      <c r="X459" s="3777"/>
      <c r="Y459" s="3777"/>
      <c r="Z459" s="3777"/>
      <c r="AA459" s="3777"/>
      <c r="AB459" s="3777"/>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6">
        <f t="shared" si="240"/>
        <v>0</v>
      </c>
      <c r="H460" s="1256">
        <f t="shared" si="241"/>
        <v>0</v>
      </c>
      <c r="I460" s="3777"/>
      <c r="J460" s="3777"/>
      <c r="K460" s="3777"/>
      <c r="L460" s="3777"/>
      <c r="M460" s="3777"/>
      <c r="N460" s="3777"/>
      <c r="O460" s="3777"/>
      <c r="P460" s="3777"/>
      <c r="Q460" s="3777"/>
      <c r="R460" s="3777"/>
      <c r="S460" s="3777"/>
      <c r="T460" s="3777"/>
      <c r="U460" s="3777"/>
      <c r="V460" s="3777"/>
      <c r="W460" s="3777"/>
      <c r="X460" s="3777"/>
      <c r="Y460" s="3777"/>
      <c r="Z460" s="3777"/>
      <c r="AA460" s="3777"/>
      <c r="AB460" s="3777"/>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6">
        <f t="shared" si="240"/>
        <v>0</v>
      </c>
      <c r="H461" s="1256">
        <f t="shared" si="241"/>
        <v>0</v>
      </c>
      <c r="I461" s="3777"/>
      <c r="J461" s="3777"/>
      <c r="K461" s="3777"/>
      <c r="L461" s="3777"/>
      <c r="M461" s="3777"/>
      <c r="N461" s="3777"/>
      <c r="O461" s="3777"/>
      <c r="P461" s="3777"/>
      <c r="Q461" s="3777"/>
      <c r="R461" s="3777"/>
      <c r="S461" s="3777"/>
      <c r="T461" s="3777"/>
      <c r="U461" s="3777"/>
      <c r="V461" s="3777"/>
      <c r="W461" s="3777"/>
      <c r="X461" s="3777"/>
      <c r="Y461" s="3777"/>
      <c r="Z461" s="3777"/>
      <c r="AA461" s="3777"/>
      <c r="AB461" s="3777"/>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6">
        <f t="shared" si="240"/>
        <v>0</v>
      </c>
      <c r="H462" s="1256">
        <f t="shared" si="241"/>
        <v>0</v>
      </c>
      <c r="I462" s="3777"/>
      <c r="J462" s="3777"/>
      <c r="K462" s="3777"/>
      <c r="L462" s="3777"/>
      <c r="M462" s="3777"/>
      <c r="N462" s="3777"/>
      <c r="O462" s="3777"/>
      <c r="P462" s="3777"/>
      <c r="Q462" s="3777"/>
      <c r="R462" s="3777"/>
      <c r="S462" s="3777"/>
      <c r="T462" s="3777"/>
      <c r="U462" s="3777"/>
      <c r="V462" s="3777"/>
      <c r="W462" s="3777"/>
      <c r="X462" s="3777"/>
      <c r="Y462" s="3777"/>
      <c r="Z462" s="3777"/>
      <c r="AA462" s="3777"/>
      <c r="AB462" s="3777"/>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6">
        <f t="shared" si="240"/>
        <v>0</v>
      </c>
      <c r="H463" s="1256">
        <f t="shared" si="241"/>
        <v>0</v>
      </c>
      <c r="I463" s="3777"/>
      <c r="J463" s="3777"/>
      <c r="K463" s="3777"/>
      <c r="L463" s="3777"/>
      <c r="M463" s="3777"/>
      <c r="N463" s="3777"/>
      <c r="O463" s="3777"/>
      <c r="P463" s="3777"/>
      <c r="Q463" s="3777"/>
      <c r="R463" s="3777"/>
      <c r="S463" s="3777"/>
      <c r="T463" s="3777"/>
      <c r="U463" s="3777"/>
      <c r="V463" s="3777"/>
      <c r="W463" s="3777"/>
      <c r="X463" s="3777"/>
      <c r="Y463" s="3777"/>
      <c r="Z463" s="3777"/>
      <c r="AA463" s="3777"/>
      <c r="AB463" s="3777"/>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6">
        <f t="shared" si="240"/>
        <v>0</v>
      </c>
      <c r="H464" s="1256">
        <f t="shared" si="241"/>
        <v>0</v>
      </c>
      <c r="I464" s="3777"/>
      <c r="J464" s="3777"/>
      <c r="K464" s="3777"/>
      <c r="L464" s="3777"/>
      <c r="M464" s="3777"/>
      <c r="N464" s="3777"/>
      <c r="O464" s="3777"/>
      <c r="P464" s="3777"/>
      <c r="Q464" s="3777"/>
      <c r="R464" s="3777"/>
      <c r="S464" s="3777"/>
      <c r="T464" s="3777"/>
      <c r="U464" s="3777"/>
      <c r="V464" s="3777"/>
      <c r="W464" s="3777"/>
      <c r="X464" s="3777"/>
      <c r="Y464" s="3777"/>
      <c r="Z464" s="3777"/>
      <c r="AA464" s="3777"/>
      <c r="AB464" s="3777"/>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6">
        <f t="shared" si="240"/>
        <v>0</v>
      </c>
      <c r="H465" s="1256">
        <f t="shared" si="241"/>
        <v>0</v>
      </c>
      <c r="I465" s="3777"/>
      <c r="J465" s="3777"/>
      <c r="K465" s="3777"/>
      <c r="L465" s="3777"/>
      <c r="M465" s="3777"/>
      <c r="N465" s="3777"/>
      <c r="O465" s="3777"/>
      <c r="P465" s="3777"/>
      <c r="Q465" s="3777"/>
      <c r="R465" s="3777"/>
      <c r="S465" s="3777"/>
      <c r="T465" s="3777"/>
      <c r="U465" s="3777"/>
      <c r="V465" s="3777"/>
      <c r="W465" s="3777"/>
      <c r="X465" s="3777"/>
      <c r="Y465" s="3777"/>
      <c r="Z465" s="3777"/>
      <c r="AA465" s="3777"/>
      <c r="AB465" s="3777"/>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6">
        <f t="shared" si="240"/>
        <v>0</v>
      </c>
      <c r="H466" s="1256">
        <f t="shared" si="241"/>
        <v>0</v>
      </c>
      <c r="I466" s="3777"/>
      <c r="J466" s="3777"/>
      <c r="K466" s="3777"/>
      <c r="L466" s="3777"/>
      <c r="M466" s="3777"/>
      <c r="N466" s="3777"/>
      <c r="O466" s="3777"/>
      <c r="P466" s="3777"/>
      <c r="Q466" s="3777"/>
      <c r="R466" s="3777"/>
      <c r="S466" s="3777"/>
      <c r="T466" s="3777"/>
      <c r="U466" s="3777"/>
      <c r="V466" s="3777"/>
      <c r="W466" s="3777"/>
      <c r="X466" s="3777"/>
      <c r="Y466" s="3777"/>
      <c r="Z466" s="3777"/>
      <c r="AA466" s="3777"/>
      <c r="AB466" s="3777"/>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6">
        <f t="shared" si="240"/>
        <v>0</v>
      </c>
      <c r="H467" s="1256">
        <f t="shared" si="241"/>
        <v>0</v>
      </c>
      <c r="I467" s="3777"/>
      <c r="J467" s="3777"/>
      <c r="K467" s="3777"/>
      <c r="L467" s="3777"/>
      <c r="M467" s="3777"/>
      <c r="N467" s="3777"/>
      <c r="O467" s="3777"/>
      <c r="P467" s="3777"/>
      <c r="Q467" s="3777"/>
      <c r="R467" s="3777"/>
      <c r="S467" s="3777"/>
      <c r="T467" s="3777"/>
      <c r="U467" s="3777"/>
      <c r="V467" s="3777"/>
      <c r="W467" s="3777"/>
      <c r="X467" s="3777"/>
      <c r="Y467" s="3777"/>
      <c r="Z467" s="3777"/>
      <c r="AA467" s="3777"/>
      <c r="AB467" s="3777"/>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6">
        <f t="shared" si="240"/>
        <v>0</v>
      </c>
      <c r="H468" s="1256">
        <f t="shared" si="241"/>
        <v>0</v>
      </c>
      <c r="I468" s="3777"/>
      <c r="J468" s="3777"/>
      <c r="K468" s="3777"/>
      <c r="L468" s="3777"/>
      <c r="M468" s="3777"/>
      <c r="N468" s="3777"/>
      <c r="O468" s="3777"/>
      <c r="P468" s="3777"/>
      <c r="Q468" s="3777"/>
      <c r="R468" s="3777"/>
      <c r="S468" s="3777"/>
      <c r="T468" s="3777"/>
      <c r="U468" s="3777"/>
      <c r="V468" s="3777"/>
      <c r="W468" s="3777"/>
      <c r="X468" s="3777"/>
      <c r="Y468" s="3777"/>
      <c r="Z468" s="3777"/>
      <c r="AA468" s="3777"/>
      <c r="AB468" s="3777"/>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6">
        <f t="shared" si="240"/>
        <v>0</v>
      </c>
      <c r="H469" s="1256">
        <f t="shared" si="241"/>
        <v>0</v>
      </c>
      <c r="I469" s="3777"/>
      <c r="J469" s="3777"/>
      <c r="K469" s="3777"/>
      <c r="L469" s="3777"/>
      <c r="M469" s="3777"/>
      <c r="N469" s="3777"/>
      <c r="O469" s="3777"/>
      <c r="P469" s="3777"/>
      <c r="Q469" s="3777"/>
      <c r="R469" s="3777"/>
      <c r="S469" s="3777"/>
      <c r="T469" s="3777"/>
      <c r="U469" s="3777"/>
      <c r="V469" s="3777"/>
      <c r="W469" s="3777"/>
      <c r="X469" s="3777"/>
      <c r="Y469" s="3777"/>
      <c r="Z469" s="3777"/>
      <c r="AA469" s="3777"/>
      <c r="AB469" s="3777"/>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6">
        <f t="shared" si="240"/>
        <v>0</v>
      </c>
      <c r="H470" s="1256">
        <f t="shared" si="241"/>
        <v>0</v>
      </c>
      <c r="I470" s="3777"/>
      <c r="J470" s="3777"/>
      <c r="K470" s="3777"/>
      <c r="L470" s="3777"/>
      <c r="M470" s="3777"/>
      <c r="N470" s="3777"/>
      <c r="O470" s="3777"/>
      <c r="P470" s="3777"/>
      <c r="Q470" s="3777"/>
      <c r="R470" s="3777"/>
      <c r="S470" s="3777"/>
      <c r="T470" s="3777"/>
      <c r="U470" s="3777"/>
      <c r="V470" s="3777"/>
      <c r="W470" s="3777"/>
      <c r="X470" s="3777"/>
      <c r="Y470" s="3777"/>
      <c r="Z470" s="3777"/>
      <c r="AA470" s="3777"/>
      <c r="AB470" s="3777"/>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6">
        <f t="shared" si="240"/>
        <v>0</v>
      </c>
      <c r="H471" s="1256">
        <f t="shared" si="241"/>
        <v>0</v>
      </c>
      <c r="I471" s="3777"/>
      <c r="J471" s="3777"/>
      <c r="K471" s="3777"/>
      <c r="L471" s="3777"/>
      <c r="M471" s="3777"/>
      <c r="N471" s="3777"/>
      <c r="O471" s="3777"/>
      <c r="P471" s="3777"/>
      <c r="Q471" s="3777"/>
      <c r="R471" s="3777"/>
      <c r="S471" s="3777"/>
      <c r="T471" s="3777"/>
      <c r="U471" s="3777"/>
      <c r="V471" s="3777"/>
      <c r="W471" s="3777"/>
      <c r="X471" s="3777"/>
      <c r="Y471" s="3777"/>
      <c r="Z471" s="3777"/>
      <c r="AA471" s="3777"/>
      <c r="AB471" s="3777"/>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6">
        <f t="shared" si="240"/>
        <v>0</v>
      </c>
      <c r="H472" s="1256">
        <f t="shared" si="241"/>
        <v>0</v>
      </c>
      <c r="I472" s="3777"/>
      <c r="J472" s="3777"/>
      <c r="K472" s="3777"/>
      <c r="L472" s="3777"/>
      <c r="M472" s="3777"/>
      <c r="N472" s="3777"/>
      <c r="O472" s="3777"/>
      <c r="P472" s="3777"/>
      <c r="Q472" s="3777"/>
      <c r="R472" s="3777"/>
      <c r="S472" s="3777"/>
      <c r="T472" s="3777"/>
      <c r="U472" s="3777"/>
      <c r="V472" s="3777"/>
      <c r="W472" s="3777"/>
      <c r="X472" s="3777"/>
      <c r="Y472" s="3777"/>
      <c r="Z472" s="3777"/>
      <c r="AA472" s="3777"/>
      <c r="AB472" s="3777"/>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6">
        <f t="shared" si="240"/>
        <v>0</v>
      </c>
      <c r="H473" s="1256">
        <f t="shared" si="241"/>
        <v>0</v>
      </c>
      <c r="I473" s="3777"/>
      <c r="J473" s="3777"/>
      <c r="K473" s="3777"/>
      <c r="L473" s="3777"/>
      <c r="M473" s="3777"/>
      <c r="N473" s="3777"/>
      <c r="O473" s="3777"/>
      <c r="P473" s="3777"/>
      <c r="Q473" s="3777"/>
      <c r="R473" s="3777"/>
      <c r="S473" s="3777"/>
      <c r="T473" s="3777"/>
      <c r="U473" s="3777"/>
      <c r="V473" s="3777"/>
      <c r="W473" s="3777"/>
      <c r="X473" s="3777"/>
      <c r="Y473" s="3777"/>
      <c r="Z473" s="3777"/>
      <c r="AA473" s="3777"/>
      <c r="AB473" s="3777"/>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6">
        <f t="shared" si="240"/>
        <v>0</v>
      </c>
      <c r="H474" s="1256">
        <f t="shared" si="241"/>
        <v>0</v>
      </c>
      <c r="I474" s="3777"/>
      <c r="J474" s="3777"/>
      <c r="K474" s="3777"/>
      <c r="L474" s="3777"/>
      <c r="M474" s="3777"/>
      <c r="N474" s="3777"/>
      <c r="O474" s="3777"/>
      <c r="P474" s="3777"/>
      <c r="Q474" s="3777"/>
      <c r="R474" s="3777"/>
      <c r="S474" s="3777"/>
      <c r="T474" s="3777"/>
      <c r="U474" s="3777"/>
      <c r="V474" s="3777"/>
      <c r="W474" s="3777"/>
      <c r="X474" s="3777"/>
      <c r="Y474" s="3777"/>
      <c r="Z474" s="3777"/>
      <c r="AA474" s="3777"/>
      <c r="AB474" s="3777"/>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6">
        <f t="shared" si="240"/>
        <v>0</v>
      </c>
      <c r="H475" s="1256">
        <f t="shared" si="241"/>
        <v>0</v>
      </c>
      <c r="I475" s="3777"/>
      <c r="J475" s="3777"/>
      <c r="K475" s="3777"/>
      <c r="L475" s="3777"/>
      <c r="M475" s="3777"/>
      <c r="N475" s="3777"/>
      <c r="O475" s="3777"/>
      <c r="P475" s="3777"/>
      <c r="Q475" s="3777"/>
      <c r="R475" s="3777"/>
      <c r="S475" s="3777"/>
      <c r="T475" s="3777"/>
      <c r="U475" s="3777"/>
      <c r="V475" s="3777"/>
      <c r="W475" s="3777"/>
      <c r="X475" s="3777"/>
      <c r="Y475" s="3777"/>
      <c r="Z475" s="3777"/>
      <c r="AA475" s="3777"/>
      <c r="AB475" s="3777"/>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6">
        <f t="shared" si="240"/>
        <v>0</v>
      </c>
      <c r="H476" s="1256">
        <f t="shared" si="241"/>
        <v>0</v>
      </c>
      <c r="I476" s="3777"/>
      <c r="J476" s="3777"/>
      <c r="K476" s="3777"/>
      <c r="L476" s="3777"/>
      <c r="M476" s="3777"/>
      <c r="N476" s="3777"/>
      <c r="O476" s="3777"/>
      <c r="P476" s="3777"/>
      <c r="Q476" s="3777"/>
      <c r="R476" s="3777"/>
      <c r="S476" s="3777"/>
      <c r="T476" s="3777"/>
      <c r="U476" s="3777"/>
      <c r="V476" s="3777"/>
      <c r="W476" s="3777"/>
      <c r="X476" s="3777"/>
      <c r="Y476" s="3777"/>
      <c r="Z476" s="3777"/>
      <c r="AA476" s="3777"/>
      <c r="AB476" s="3777"/>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6">
        <f t="shared" si="240"/>
        <v>0</v>
      </c>
      <c r="H477" s="1256">
        <f t="shared" si="241"/>
        <v>0</v>
      </c>
      <c r="I477" s="3777"/>
      <c r="J477" s="3777"/>
      <c r="K477" s="3777"/>
      <c r="L477" s="3777"/>
      <c r="M477" s="3777"/>
      <c r="N477" s="3777"/>
      <c r="O477" s="3777"/>
      <c r="P477" s="3777"/>
      <c r="Q477" s="3777"/>
      <c r="R477" s="3777"/>
      <c r="S477" s="3777"/>
      <c r="T477" s="3777"/>
      <c r="U477" s="3777"/>
      <c r="V477" s="3777"/>
      <c r="W477" s="3777"/>
      <c r="X477" s="3777"/>
      <c r="Y477" s="3777"/>
      <c r="Z477" s="3777"/>
      <c r="AA477" s="3777"/>
      <c r="AB477" s="3777"/>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6">
        <f t="shared" si="240"/>
        <v>0</v>
      </c>
      <c r="H478" s="1256">
        <f t="shared" si="241"/>
        <v>0</v>
      </c>
      <c r="I478" s="3777"/>
      <c r="J478" s="3777"/>
      <c r="K478" s="3777"/>
      <c r="L478" s="3777"/>
      <c r="M478" s="3777"/>
      <c r="N478" s="3777"/>
      <c r="O478" s="3777"/>
      <c r="P478" s="3777"/>
      <c r="Q478" s="3777"/>
      <c r="R478" s="3777"/>
      <c r="S478" s="3777"/>
      <c r="T478" s="3777"/>
      <c r="U478" s="3777"/>
      <c r="V478" s="3777"/>
      <c r="W478" s="3777"/>
      <c r="X478" s="3777"/>
      <c r="Y478" s="3777"/>
      <c r="Z478" s="3777"/>
      <c r="AA478" s="3777"/>
      <c r="AB478" s="3777"/>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6">
        <f t="shared" si="240"/>
        <v>0</v>
      </c>
      <c r="H479" s="1256">
        <f t="shared" si="241"/>
        <v>0</v>
      </c>
      <c r="I479" s="3777"/>
      <c r="J479" s="3777"/>
      <c r="K479" s="3777"/>
      <c r="L479" s="3777"/>
      <c r="M479" s="3777"/>
      <c r="N479" s="3777"/>
      <c r="O479" s="3777"/>
      <c r="P479" s="3777"/>
      <c r="Q479" s="3777"/>
      <c r="R479" s="3777"/>
      <c r="S479" s="3777"/>
      <c r="T479" s="3777"/>
      <c r="U479" s="3777"/>
      <c r="V479" s="3777"/>
      <c r="W479" s="3777"/>
      <c r="X479" s="3777"/>
      <c r="Y479" s="3777"/>
      <c r="Z479" s="3777"/>
      <c r="AA479" s="3777"/>
      <c r="AB479" s="3777"/>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6">
        <f t="shared" si="240"/>
        <v>0</v>
      </c>
      <c r="H480" s="1256">
        <f t="shared" si="241"/>
        <v>0</v>
      </c>
      <c r="I480" s="3777"/>
      <c r="J480" s="3777"/>
      <c r="K480" s="3777"/>
      <c r="L480" s="3777"/>
      <c r="M480" s="3777"/>
      <c r="N480" s="3777"/>
      <c r="O480" s="3777"/>
      <c r="P480" s="3777"/>
      <c r="Q480" s="3777"/>
      <c r="R480" s="3777"/>
      <c r="S480" s="3777"/>
      <c r="T480" s="3777"/>
      <c r="U480" s="3777"/>
      <c r="V480" s="3777"/>
      <c r="W480" s="3777"/>
      <c r="X480" s="3777"/>
      <c r="Y480" s="3777"/>
      <c r="Z480" s="3777"/>
      <c r="AA480" s="3777"/>
      <c r="AB480" s="3777"/>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6">
        <f t="shared" si="240"/>
        <v>0</v>
      </c>
      <c r="H481" s="1256">
        <f t="shared" si="241"/>
        <v>0</v>
      </c>
      <c r="I481" s="3777"/>
      <c r="J481" s="3777"/>
      <c r="K481" s="3777"/>
      <c r="L481" s="3777"/>
      <c r="M481" s="3777"/>
      <c r="N481" s="3777"/>
      <c r="O481" s="3777"/>
      <c r="P481" s="3777"/>
      <c r="Q481" s="3777"/>
      <c r="R481" s="3777"/>
      <c r="S481" s="3777"/>
      <c r="T481" s="3777"/>
      <c r="U481" s="3777"/>
      <c r="V481" s="3777"/>
      <c r="W481" s="3777"/>
      <c r="X481" s="3777"/>
      <c r="Y481" s="3777"/>
      <c r="Z481" s="3777"/>
      <c r="AA481" s="3777"/>
      <c r="AB481" s="3777"/>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6">
        <f t="shared" si="240"/>
        <v>0</v>
      </c>
      <c r="H482" s="1256">
        <f t="shared" si="241"/>
        <v>0</v>
      </c>
      <c r="I482" s="3777"/>
      <c r="J482" s="3777"/>
      <c r="K482" s="3777"/>
      <c r="L482" s="3777"/>
      <c r="M482" s="3777"/>
      <c r="N482" s="3777"/>
      <c r="O482" s="3777"/>
      <c r="P482" s="3777"/>
      <c r="Q482" s="3777"/>
      <c r="R482" s="3777"/>
      <c r="S482" s="3777"/>
      <c r="T482" s="3777"/>
      <c r="U482" s="3777"/>
      <c r="V482" s="3777"/>
      <c r="W482" s="3777"/>
      <c r="X482" s="3777"/>
      <c r="Y482" s="3777"/>
      <c r="Z482" s="3777"/>
      <c r="AA482" s="3777"/>
      <c r="AB482" s="3777"/>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6">
        <f t="shared" si="240"/>
        <v>0</v>
      </c>
      <c r="H483" s="1256">
        <f t="shared" si="241"/>
        <v>0</v>
      </c>
      <c r="I483" s="3777"/>
      <c r="J483" s="3777"/>
      <c r="K483" s="3777"/>
      <c r="L483" s="3777"/>
      <c r="M483" s="3777"/>
      <c r="N483" s="3777"/>
      <c r="O483" s="3777"/>
      <c r="P483" s="3777"/>
      <c r="Q483" s="3777"/>
      <c r="R483" s="3777"/>
      <c r="S483" s="3777"/>
      <c r="T483" s="3777"/>
      <c r="U483" s="3777"/>
      <c r="V483" s="3777"/>
      <c r="W483" s="3777"/>
      <c r="X483" s="3777"/>
      <c r="Y483" s="3777"/>
      <c r="Z483" s="3777"/>
      <c r="AA483" s="3777"/>
      <c r="AB483" s="3777"/>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6">
        <f t="shared" si="240"/>
        <v>0</v>
      </c>
      <c r="H484" s="1256">
        <f t="shared" si="241"/>
        <v>0</v>
      </c>
      <c r="I484" s="3777"/>
      <c r="J484" s="3777"/>
      <c r="K484" s="3777"/>
      <c r="L484" s="3777"/>
      <c r="M484" s="3777"/>
      <c r="N484" s="3777"/>
      <c r="O484" s="3777"/>
      <c r="P484" s="3777"/>
      <c r="Q484" s="3777"/>
      <c r="R484" s="3777"/>
      <c r="S484" s="3777"/>
      <c r="T484" s="3777"/>
      <c r="U484" s="3777"/>
      <c r="V484" s="3777"/>
      <c r="W484" s="3777"/>
      <c r="X484" s="3777"/>
      <c r="Y484" s="3777"/>
      <c r="Z484" s="3777"/>
      <c r="AA484" s="3777"/>
      <c r="AB484" s="3777"/>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6">
        <f t="shared" si="240"/>
        <v>0</v>
      </c>
      <c r="H485" s="1256">
        <f t="shared" si="241"/>
        <v>0</v>
      </c>
      <c r="I485" s="3777"/>
      <c r="J485" s="3777"/>
      <c r="K485" s="3777"/>
      <c r="L485" s="3777"/>
      <c r="M485" s="3777"/>
      <c r="N485" s="3777"/>
      <c r="O485" s="3777"/>
      <c r="P485" s="3777"/>
      <c r="Q485" s="3777"/>
      <c r="R485" s="3777"/>
      <c r="S485" s="3777"/>
      <c r="T485" s="3777"/>
      <c r="U485" s="3777"/>
      <c r="V485" s="3777"/>
      <c r="W485" s="3777"/>
      <c r="X485" s="3777"/>
      <c r="Y485" s="3777"/>
      <c r="Z485" s="3777"/>
      <c r="AA485" s="3777"/>
      <c r="AB485" s="3777"/>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6">
        <f t="shared" si="240"/>
        <v>0</v>
      </c>
      <c r="H486" s="1256">
        <f t="shared" si="241"/>
        <v>0</v>
      </c>
      <c r="I486" s="3777"/>
      <c r="J486" s="3777"/>
      <c r="K486" s="3777"/>
      <c r="L486" s="3777"/>
      <c r="M486" s="3777"/>
      <c r="N486" s="3777"/>
      <c r="O486" s="3777"/>
      <c r="P486" s="3777"/>
      <c r="Q486" s="3777"/>
      <c r="R486" s="3777"/>
      <c r="S486" s="3777"/>
      <c r="T486" s="3777"/>
      <c r="U486" s="3777"/>
      <c r="V486" s="3777"/>
      <c r="W486" s="3777"/>
      <c r="X486" s="3777"/>
      <c r="Y486" s="3777"/>
      <c r="Z486" s="3777"/>
      <c r="AA486" s="3777"/>
      <c r="AB486" s="3777"/>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6">
        <f t="shared" si="240"/>
        <v>0</v>
      </c>
      <c r="H487" s="1256">
        <f t="shared" si="241"/>
        <v>0</v>
      </c>
      <c r="I487" s="3777"/>
      <c r="J487" s="3777"/>
      <c r="K487" s="3777"/>
      <c r="L487" s="3777"/>
      <c r="M487" s="3777"/>
      <c r="N487" s="3777"/>
      <c r="O487" s="3777"/>
      <c r="P487" s="3777"/>
      <c r="Q487" s="3777"/>
      <c r="R487" s="3777"/>
      <c r="S487" s="3777"/>
      <c r="T487" s="3777"/>
      <c r="U487" s="3777"/>
      <c r="V487" s="3777"/>
      <c r="W487" s="3777"/>
      <c r="X487" s="3777"/>
      <c r="Y487" s="3777"/>
      <c r="Z487" s="3777"/>
      <c r="AA487" s="3777"/>
      <c r="AB487" s="3777"/>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6">
        <f t="shared" si="240"/>
        <v>0</v>
      </c>
      <c r="H488" s="1256">
        <f t="shared" si="241"/>
        <v>0</v>
      </c>
      <c r="I488" s="3777"/>
      <c r="J488" s="3777"/>
      <c r="K488" s="3777"/>
      <c r="L488" s="3777"/>
      <c r="M488" s="3777"/>
      <c r="N488" s="3777"/>
      <c r="O488" s="3777"/>
      <c r="P488" s="3777"/>
      <c r="Q488" s="3777"/>
      <c r="R488" s="3777"/>
      <c r="S488" s="3777"/>
      <c r="T488" s="3777"/>
      <c r="U488" s="3777"/>
      <c r="V488" s="3777"/>
      <c r="W488" s="3777"/>
      <c r="X488" s="3777"/>
      <c r="Y488" s="3777"/>
      <c r="Z488" s="3777"/>
      <c r="AA488" s="3777"/>
      <c r="AB488" s="3777"/>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6">
        <f t="shared" si="240"/>
        <v>0</v>
      </c>
      <c r="H489" s="1256">
        <f t="shared" si="241"/>
        <v>0</v>
      </c>
      <c r="I489" s="3777"/>
      <c r="J489" s="3777"/>
      <c r="K489" s="3777"/>
      <c r="L489" s="3777"/>
      <c r="M489" s="3777"/>
      <c r="N489" s="3777"/>
      <c r="O489" s="3777"/>
      <c r="P489" s="3777"/>
      <c r="Q489" s="3777"/>
      <c r="R489" s="3777"/>
      <c r="S489" s="3777"/>
      <c r="T489" s="3777"/>
      <c r="U489" s="3777"/>
      <c r="V489" s="3777"/>
      <c r="W489" s="3777"/>
      <c r="X489" s="3777"/>
      <c r="Y489" s="3777"/>
      <c r="Z489" s="3777"/>
      <c r="AA489" s="3777"/>
      <c r="AB489" s="3777"/>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6">
        <f t="shared" ref="G490:G521" si="268">H490+AC490+AT490</f>
        <v>0</v>
      </c>
      <c r="H490" s="1256">
        <f t="shared" ref="H490:H521" si="269">SUMIF(I$12:AB$12,"总值",I490:AB490)</f>
        <v>0</v>
      </c>
      <c r="I490" s="3777"/>
      <c r="J490" s="3777"/>
      <c r="K490" s="3777"/>
      <c r="L490" s="3777"/>
      <c r="M490" s="3777"/>
      <c r="N490" s="3777"/>
      <c r="O490" s="3777"/>
      <c r="P490" s="3777"/>
      <c r="Q490" s="3777"/>
      <c r="R490" s="3777"/>
      <c r="S490" s="3777"/>
      <c r="T490" s="3777"/>
      <c r="U490" s="3777"/>
      <c r="V490" s="3777"/>
      <c r="W490" s="3777"/>
      <c r="X490" s="3777"/>
      <c r="Y490" s="3777"/>
      <c r="Z490" s="3777"/>
      <c r="AA490" s="3777"/>
      <c r="AB490" s="3777"/>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6">
        <f t="shared" si="268"/>
        <v>0</v>
      </c>
      <c r="H491" s="1256">
        <f t="shared" si="269"/>
        <v>0</v>
      </c>
      <c r="I491" s="3777"/>
      <c r="J491" s="3777"/>
      <c r="K491" s="3777"/>
      <c r="L491" s="3777"/>
      <c r="M491" s="3777"/>
      <c r="N491" s="3777"/>
      <c r="O491" s="3777"/>
      <c r="P491" s="3777"/>
      <c r="Q491" s="3777"/>
      <c r="R491" s="3777"/>
      <c r="S491" s="3777"/>
      <c r="T491" s="3777"/>
      <c r="U491" s="3777"/>
      <c r="V491" s="3777"/>
      <c r="W491" s="3777"/>
      <c r="X491" s="3777"/>
      <c r="Y491" s="3777"/>
      <c r="Z491" s="3777"/>
      <c r="AA491" s="3777"/>
      <c r="AB491" s="3777"/>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6">
        <f t="shared" si="268"/>
        <v>0</v>
      </c>
      <c r="H492" s="1256">
        <f t="shared" si="269"/>
        <v>0</v>
      </c>
      <c r="I492" s="3777"/>
      <c r="J492" s="3777"/>
      <c r="K492" s="3777"/>
      <c r="L492" s="3777"/>
      <c r="M492" s="3777"/>
      <c r="N492" s="3777"/>
      <c r="O492" s="3777"/>
      <c r="P492" s="3777"/>
      <c r="Q492" s="3777"/>
      <c r="R492" s="3777"/>
      <c r="S492" s="3777"/>
      <c r="T492" s="3777"/>
      <c r="U492" s="3777"/>
      <c r="V492" s="3777"/>
      <c r="W492" s="3777"/>
      <c r="X492" s="3777"/>
      <c r="Y492" s="3777"/>
      <c r="Z492" s="3777"/>
      <c r="AA492" s="3777"/>
      <c r="AB492" s="3777"/>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6">
        <f t="shared" si="268"/>
        <v>0</v>
      </c>
      <c r="H493" s="1256">
        <f t="shared" si="269"/>
        <v>0</v>
      </c>
      <c r="I493" s="3777"/>
      <c r="J493" s="3777"/>
      <c r="K493" s="3777"/>
      <c r="L493" s="3777"/>
      <c r="M493" s="3777"/>
      <c r="N493" s="3777"/>
      <c r="O493" s="3777"/>
      <c r="P493" s="3777"/>
      <c r="Q493" s="3777"/>
      <c r="R493" s="3777"/>
      <c r="S493" s="3777"/>
      <c r="T493" s="3777"/>
      <c r="U493" s="3777"/>
      <c r="V493" s="3777"/>
      <c r="W493" s="3777"/>
      <c r="X493" s="3777"/>
      <c r="Y493" s="3777"/>
      <c r="Z493" s="3777"/>
      <c r="AA493" s="3777"/>
      <c r="AB493" s="3777"/>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6">
        <f t="shared" si="268"/>
        <v>0</v>
      </c>
      <c r="H494" s="1256">
        <f t="shared" si="269"/>
        <v>0</v>
      </c>
      <c r="I494" s="3777"/>
      <c r="J494" s="3777"/>
      <c r="K494" s="3777"/>
      <c r="L494" s="3777"/>
      <c r="M494" s="3777"/>
      <c r="N494" s="3777"/>
      <c r="O494" s="3777"/>
      <c r="P494" s="3777"/>
      <c r="Q494" s="3777"/>
      <c r="R494" s="3777"/>
      <c r="S494" s="3777"/>
      <c r="T494" s="3777"/>
      <c r="U494" s="3777"/>
      <c r="V494" s="3777"/>
      <c r="W494" s="3777"/>
      <c r="X494" s="3777"/>
      <c r="Y494" s="3777"/>
      <c r="Z494" s="3777"/>
      <c r="AA494" s="3777"/>
      <c r="AB494" s="3777"/>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6">
        <f t="shared" si="268"/>
        <v>0</v>
      </c>
      <c r="H495" s="1256">
        <f t="shared" si="269"/>
        <v>0</v>
      </c>
      <c r="I495" s="3777"/>
      <c r="J495" s="3777"/>
      <c r="K495" s="3777"/>
      <c r="L495" s="3777"/>
      <c r="M495" s="3777"/>
      <c r="N495" s="3777"/>
      <c r="O495" s="3777"/>
      <c r="P495" s="3777"/>
      <c r="Q495" s="3777"/>
      <c r="R495" s="3777"/>
      <c r="S495" s="3777"/>
      <c r="T495" s="3777"/>
      <c r="U495" s="3777"/>
      <c r="V495" s="3777"/>
      <c r="W495" s="3777"/>
      <c r="X495" s="3777"/>
      <c r="Y495" s="3777"/>
      <c r="Z495" s="3777"/>
      <c r="AA495" s="3777"/>
      <c r="AB495" s="3777"/>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6">
        <f t="shared" si="268"/>
        <v>0</v>
      </c>
      <c r="H496" s="1256">
        <f t="shared" si="269"/>
        <v>0</v>
      </c>
      <c r="I496" s="3777"/>
      <c r="J496" s="3777"/>
      <c r="K496" s="3777"/>
      <c r="L496" s="3777"/>
      <c r="M496" s="3777"/>
      <c r="N496" s="3777"/>
      <c r="O496" s="3777"/>
      <c r="P496" s="3777"/>
      <c r="Q496" s="3777"/>
      <c r="R496" s="3777"/>
      <c r="S496" s="3777"/>
      <c r="T496" s="3777"/>
      <c r="U496" s="3777"/>
      <c r="V496" s="3777"/>
      <c r="W496" s="3777"/>
      <c r="X496" s="3777"/>
      <c r="Y496" s="3777"/>
      <c r="Z496" s="3777"/>
      <c r="AA496" s="3777"/>
      <c r="AB496" s="3777"/>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6">
        <f t="shared" si="268"/>
        <v>0</v>
      </c>
      <c r="H497" s="1256">
        <f t="shared" si="269"/>
        <v>0</v>
      </c>
      <c r="I497" s="3777"/>
      <c r="J497" s="3777"/>
      <c r="K497" s="3777"/>
      <c r="L497" s="3777"/>
      <c r="M497" s="3777"/>
      <c r="N497" s="3777"/>
      <c r="O497" s="3777"/>
      <c r="P497" s="3777"/>
      <c r="Q497" s="3777"/>
      <c r="R497" s="3777"/>
      <c r="S497" s="3777"/>
      <c r="T497" s="3777"/>
      <c r="U497" s="3777"/>
      <c r="V497" s="3777"/>
      <c r="W497" s="3777"/>
      <c r="X497" s="3777"/>
      <c r="Y497" s="3777"/>
      <c r="Z497" s="3777"/>
      <c r="AA497" s="3777"/>
      <c r="AB497" s="3777"/>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6">
        <f t="shared" si="268"/>
        <v>0</v>
      </c>
      <c r="H498" s="1256">
        <f t="shared" si="269"/>
        <v>0</v>
      </c>
      <c r="I498" s="3777"/>
      <c r="J498" s="3777"/>
      <c r="K498" s="3777"/>
      <c r="L498" s="3777"/>
      <c r="M498" s="3777"/>
      <c r="N498" s="3777"/>
      <c r="O498" s="3777"/>
      <c r="P498" s="3777"/>
      <c r="Q498" s="3777"/>
      <c r="R498" s="3777"/>
      <c r="S498" s="3777"/>
      <c r="T498" s="3777"/>
      <c r="U498" s="3777"/>
      <c r="V498" s="3777"/>
      <c r="W498" s="3777"/>
      <c r="X498" s="3777"/>
      <c r="Y498" s="3777"/>
      <c r="Z498" s="3777"/>
      <c r="AA498" s="3777"/>
      <c r="AB498" s="3777"/>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6">
        <f t="shared" si="268"/>
        <v>0</v>
      </c>
      <c r="H499" s="1256">
        <f t="shared" si="269"/>
        <v>0</v>
      </c>
      <c r="I499" s="3777"/>
      <c r="J499" s="3777"/>
      <c r="K499" s="3777"/>
      <c r="L499" s="3777"/>
      <c r="M499" s="3777"/>
      <c r="N499" s="3777"/>
      <c r="O499" s="3777"/>
      <c r="P499" s="3777"/>
      <c r="Q499" s="3777"/>
      <c r="R499" s="3777"/>
      <c r="S499" s="3777"/>
      <c r="T499" s="3777"/>
      <c r="U499" s="3777"/>
      <c r="V499" s="3777"/>
      <c r="W499" s="3777"/>
      <c r="X499" s="3777"/>
      <c r="Y499" s="3777"/>
      <c r="Z499" s="3777"/>
      <c r="AA499" s="3777"/>
      <c r="AB499" s="3777"/>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6">
        <f t="shared" si="268"/>
        <v>0</v>
      </c>
      <c r="H500" s="1256">
        <f t="shared" si="269"/>
        <v>0</v>
      </c>
      <c r="I500" s="3777"/>
      <c r="J500" s="3777"/>
      <c r="K500" s="3777"/>
      <c r="L500" s="3777"/>
      <c r="M500" s="3777"/>
      <c r="N500" s="3777"/>
      <c r="O500" s="3777"/>
      <c r="P500" s="3777"/>
      <c r="Q500" s="3777"/>
      <c r="R500" s="3777"/>
      <c r="S500" s="3777"/>
      <c r="T500" s="3777"/>
      <c r="U500" s="3777"/>
      <c r="V500" s="3777"/>
      <c r="W500" s="3777"/>
      <c r="X500" s="3777"/>
      <c r="Y500" s="3777"/>
      <c r="Z500" s="3777"/>
      <c r="AA500" s="3777"/>
      <c r="AB500" s="3777"/>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6">
        <f t="shared" si="268"/>
        <v>0</v>
      </c>
      <c r="H501" s="1256">
        <f t="shared" si="269"/>
        <v>0</v>
      </c>
      <c r="I501" s="3777"/>
      <c r="J501" s="3777"/>
      <c r="K501" s="3777"/>
      <c r="L501" s="3777"/>
      <c r="M501" s="3777"/>
      <c r="N501" s="3777"/>
      <c r="O501" s="3777"/>
      <c r="P501" s="3777"/>
      <c r="Q501" s="3777"/>
      <c r="R501" s="3777"/>
      <c r="S501" s="3777"/>
      <c r="T501" s="3777"/>
      <c r="U501" s="3777"/>
      <c r="V501" s="3777"/>
      <c r="W501" s="3777"/>
      <c r="X501" s="3777"/>
      <c r="Y501" s="3777"/>
      <c r="Z501" s="3777"/>
      <c r="AA501" s="3777"/>
      <c r="AB501" s="3777"/>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6">
        <f t="shared" si="268"/>
        <v>0</v>
      </c>
      <c r="H502" s="1256">
        <f t="shared" si="269"/>
        <v>0</v>
      </c>
      <c r="I502" s="3777"/>
      <c r="J502" s="3777"/>
      <c r="K502" s="3777"/>
      <c r="L502" s="3777"/>
      <c r="M502" s="3777"/>
      <c r="N502" s="3777"/>
      <c r="O502" s="3777"/>
      <c r="P502" s="3777"/>
      <c r="Q502" s="3777"/>
      <c r="R502" s="3777"/>
      <c r="S502" s="3777"/>
      <c r="T502" s="3777"/>
      <c r="U502" s="3777"/>
      <c r="V502" s="3777"/>
      <c r="W502" s="3777"/>
      <c r="X502" s="3777"/>
      <c r="Y502" s="3777"/>
      <c r="Z502" s="3777"/>
      <c r="AA502" s="3777"/>
      <c r="AB502" s="3777"/>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6">
        <f t="shared" si="268"/>
        <v>0</v>
      </c>
      <c r="H503" s="1256">
        <f t="shared" si="269"/>
        <v>0</v>
      </c>
      <c r="I503" s="3777"/>
      <c r="J503" s="3777"/>
      <c r="K503" s="3777"/>
      <c r="L503" s="3777"/>
      <c r="M503" s="3777"/>
      <c r="N503" s="3777"/>
      <c r="O503" s="3777"/>
      <c r="P503" s="3777"/>
      <c r="Q503" s="3777"/>
      <c r="R503" s="3777"/>
      <c r="S503" s="3777"/>
      <c r="T503" s="3777"/>
      <c r="U503" s="3777"/>
      <c r="V503" s="3777"/>
      <c r="W503" s="3777"/>
      <c r="X503" s="3777"/>
      <c r="Y503" s="3777"/>
      <c r="Z503" s="3777"/>
      <c r="AA503" s="3777"/>
      <c r="AB503" s="3777"/>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6">
        <f t="shared" si="268"/>
        <v>0</v>
      </c>
      <c r="H504" s="1256">
        <f t="shared" si="269"/>
        <v>0</v>
      </c>
      <c r="I504" s="3777"/>
      <c r="J504" s="3777"/>
      <c r="K504" s="3777"/>
      <c r="L504" s="3777"/>
      <c r="M504" s="3777"/>
      <c r="N504" s="3777"/>
      <c r="O504" s="3777"/>
      <c r="P504" s="3777"/>
      <c r="Q504" s="3777"/>
      <c r="R504" s="3777"/>
      <c r="S504" s="3777"/>
      <c r="T504" s="3777"/>
      <c r="U504" s="3777"/>
      <c r="V504" s="3777"/>
      <c r="W504" s="3777"/>
      <c r="X504" s="3777"/>
      <c r="Y504" s="3777"/>
      <c r="Z504" s="3777"/>
      <c r="AA504" s="3777"/>
      <c r="AB504" s="3777"/>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6">
        <f t="shared" si="268"/>
        <v>0</v>
      </c>
      <c r="H505" s="1256">
        <f t="shared" si="269"/>
        <v>0</v>
      </c>
      <c r="I505" s="3777"/>
      <c r="J505" s="3777"/>
      <c r="K505" s="3777"/>
      <c r="L505" s="3777"/>
      <c r="M505" s="3777"/>
      <c r="N505" s="3777"/>
      <c r="O505" s="3777"/>
      <c r="P505" s="3777"/>
      <c r="Q505" s="3777"/>
      <c r="R505" s="3777"/>
      <c r="S505" s="3777"/>
      <c r="T505" s="3777"/>
      <c r="U505" s="3777"/>
      <c r="V505" s="3777"/>
      <c r="W505" s="3777"/>
      <c r="X505" s="3777"/>
      <c r="Y505" s="3777"/>
      <c r="Z505" s="3777"/>
      <c r="AA505" s="3777"/>
      <c r="AB505" s="3777"/>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6">
        <f t="shared" si="268"/>
        <v>0</v>
      </c>
      <c r="H506" s="1256">
        <f t="shared" si="269"/>
        <v>0</v>
      </c>
      <c r="I506" s="3777"/>
      <c r="J506" s="3777"/>
      <c r="K506" s="3777"/>
      <c r="L506" s="3777"/>
      <c r="M506" s="3777"/>
      <c r="N506" s="3777"/>
      <c r="O506" s="3777"/>
      <c r="P506" s="3777"/>
      <c r="Q506" s="3777"/>
      <c r="R506" s="3777"/>
      <c r="S506" s="3777"/>
      <c r="T506" s="3777"/>
      <c r="U506" s="3777"/>
      <c r="V506" s="3777"/>
      <c r="W506" s="3777"/>
      <c r="X506" s="3777"/>
      <c r="Y506" s="3777"/>
      <c r="Z506" s="3777"/>
      <c r="AA506" s="3777"/>
      <c r="AB506" s="3777"/>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6">
        <f t="shared" si="268"/>
        <v>0</v>
      </c>
      <c r="H507" s="1256">
        <f t="shared" si="269"/>
        <v>0</v>
      </c>
      <c r="I507" s="3777"/>
      <c r="J507" s="3777"/>
      <c r="K507" s="3777"/>
      <c r="L507" s="3777"/>
      <c r="M507" s="3777"/>
      <c r="N507" s="3777"/>
      <c r="O507" s="3777"/>
      <c r="P507" s="3777"/>
      <c r="Q507" s="3777"/>
      <c r="R507" s="3777"/>
      <c r="S507" s="3777"/>
      <c r="T507" s="3777"/>
      <c r="U507" s="3777"/>
      <c r="V507" s="3777"/>
      <c r="W507" s="3777"/>
      <c r="X507" s="3777"/>
      <c r="Y507" s="3777"/>
      <c r="Z507" s="3777"/>
      <c r="AA507" s="3777"/>
      <c r="AB507" s="3777"/>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6">
        <f t="shared" si="268"/>
        <v>0</v>
      </c>
      <c r="H508" s="1256">
        <f t="shared" si="269"/>
        <v>0</v>
      </c>
      <c r="I508" s="3777"/>
      <c r="J508" s="3777"/>
      <c r="K508" s="3777"/>
      <c r="L508" s="3777"/>
      <c r="M508" s="3777"/>
      <c r="N508" s="3777"/>
      <c r="O508" s="3777"/>
      <c r="P508" s="3777"/>
      <c r="Q508" s="3777"/>
      <c r="R508" s="3777"/>
      <c r="S508" s="3777"/>
      <c r="T508" s="3777"/>
      <c r="U508" s="3777"/>
      <c r="V508" s="3777"/>
      <c r="W508" s="3777"/>
      <c r="X508" s="3777"/>
      <c r="Y508" s="3777"/>
      <c r="Z508" s="3777"/>
      <c r="AA508" s="3777"/>
      <c r="AB508" s="3777"/>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6">
        <f t="shared" si="268"/>
        <v>0</v>
      </c>
      <c r="H509" s="1256">
        <f t="shared" si="269"/>
        <v>0</v>
      </c>
      <c r="I509" s="3777"/>
      <c r="J509" s="3777"/>
      <c r="K509" s="3777"/>
      <c r="L509" s="3777"/>
      <c r="M509" s="3777"/>
      <c r="N509" s="3777"/>
      <c r="O509" s="3777"/>
      <c r="P509" s="3777"/>
      <c r="Q509" s="3777"/>
      <c r="R509" s="3777"/>
      <c r="S509" s="3777"/>
      <c r="T509" s="3777"/>
      <c r="U509" s="3777"/>
      <c r="V509" s="3777"/>
      <c r="W509" s="3777"/>
      <c r="X509" s="3777"/>
      <c r="Y509" s="3777"/>
      <c r="Z509" s="3777"/>
      <c r="AA509" s="3777"/>
      <c r="AB509" s="3777"/>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6">
        <f t="shared" si="268"/>
        <v>0</v>
      </c>
      <c r="H510" s="1256">
        <f t="shared" si="269"/>
        <v>0</v>
      </c>
      <c r="I510" s="3777"/>
      <c r="J510" s="3777"/>
      <c r="K510" s="3777"/>
      <c r="L510" s="3777"/>
      <c r="M510" s="3777"/>
      <c r="N510" s="3777"/>
      <c r="O510" s="3777"/>
      <c r="P510" s="3777"/>
      <c r="Q510" s="3777"/>
      <c r="R510" s="3777"/>
      <c r="S510" s="3777"/>
      <c r="T510" s="3777"/>
      <c r="U510" s="3777"/>
      <c r="V510" s="3777"/>
      <c r="W510" s="3777"/>
      <c r="X510" s="3777"/>
      <c r="Y510" s="3777"/>
      <c r="Z510" s="3777"/>
      <c r="AA510" s="3777"/>
      <c r="AB510" s="3777"/>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6">
        <f t="shared" si="268"/>
        <v>0</v>
      </c>
      <c r="H511" s="1256">
        <f t="shared" si="269"/>
        <v>0</v>
      </c>
      <c r="I511" s="3777"/>
      <c r="J511" s="3777"/>
      <c r="K511" s="3777"/>
      <c r="L511" s="3777"/>
      <c r="M511" s="3777"/>
      <c r="N511" s="3777"/>
      <c r="O511" s="3777"/>
      <c r="P511" s="3777"/>
      <c r="Q511" s="3777"/>
      <c r="R511" s="3777"/>
      <c r="S511" s="3777"/>
      <c r="T511" s="3777"/>
      <c r="U511" s="3777"/>
      <c r="V511" s="3777"/>
      <c r="W511" s="3777"/>
      <c r="X511" s="3777"/>
      <c r="Y511" s="3777"/>
      <c r="Z511" s="3777"/>
      <c r="AA511" s="3777"/>
      <c r="AB511" s="3777"/>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6">
        <f t="shared" si="268"/>
        <v>0</v>
      </c>
      <c r="H512" s="1256">
        <f t="shared" si="269"/>
        <v>0</v>
      </c>
      <c r="I512" s="3777"/>
      <c r="J512" s="3777"/>
      <c r="K512" s="3777"/>
      <c r="L512" s="3777"/>
      <c r="M512" s="3777"/>
      <c r="N512" s="3777"/>
      <c r="O512" s="3777"/>
      <c r="P512" s="3777"/>
      <c r="Q512" s="3777"/>
      <c r="R512" s="3777"/>
      <c r="S512" s="3777"/>
      <c r="T512" s="3777"/>
      <c r="U512" s="3777"/>
      <c r="V512" s="3777"/>
      <c r="W512" s="3777"/>
      <c r="X512" s="3777"/>
      <c r="Y512" s="3777"/>
      <c r="Z512" s="3777"/>
      <c r="AA512" s="3777"/>
      <c r="AB512" s="3777"/>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6">
        <f t="shared" si="268"/>
        <v>0</v>
      </c>
      <c r="H513" s="1256">
        <f t="shared" si="269"/>
        <v>0</v>
      </c>
      <c r="I513" s="3777"/>
      <c r="J513" s="3777"/>
      <c r="K513" s="3777"/>
      <c r="L513" s="3777"/>
      <c r="M513" s="3777"/>
      <c r="N513" s="3777"/>
      <c r="O513" s="3777"/>
      <c r="P513" s="3777"/>
      <c r="Q513" s="3777"/>
      <c r="R513" s="3777"/>
      <c r="S513" s="3777"/>
      <c r="T513" s="3777"/>
      <c r="U513" s="3777"/>
      <c r="V513" s="3777"/>
      <c r="W513" s="3777"/>
      <c r="X513" s="3777"/>
      <c r="Y513" s="3777"/>
      <c r="Z513" s="3777"/>
      <c r="AA513" s="3777"/>
      <c r="AB513" s="3777"/>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6">
        <f t="shared" si="268"/>
        <v>0</v>
      </c>
      <c r="H514" s="1256">
        <f t="shared" si="269"/>
        <v>0</v>
      </c>
      <c r="I514" s="3777"/>
      <c r="J514" s="3777"/>
      <c r="K514" s="3777"/>
      <c r="L514" s="3777"/>
      <c r="M514" s="3777"/>
      <c r="N514" s="3777"/>
      <c r="O514" s="3777"/>
      <c r="P514" s="3777"/>
      <c r="Q514" s="3777"/>
      <c r="R514" s="3777"/>
      <c r="S514" s="3777"/>
      <c r="T514" s="3777"/>
      <c r="U514" s="3777"/>
      <c r="V514" s="3777"/>
      <c r="W514" s="3777"/>
      <c r="X514" s="3777"/>
      <c r="Y514" s="3777"/>
      <c r="Z514" s="3777"/>
      <c r="AA514" s="3777"/>
      <c r="AB514" s="3777"/>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6">
        <f t="shared" si="268"/>
        <v>0</v>
      </c>
      <c r="H515" s="1256">
        <f t="shared" si="269"/>
        <v>0</v>
      </c>
      <c r="I515" s="3777"/>
      <c r="J515" s="3777"/>
      <c r="K515" s="3777"/>
      <c r="L515" s="3777"/>
      <c r="M515" s="3777"/>
      <c r="N515" s="3777"/>
      <c r="O515" s="3777"/>
      <c r="P515" s="3777"/>
      <c r="Q515" s="3777"/>
      <c r="R515" s="3777"/>
      <c r="S515" s="3777"/>
      <c r="T515" s="3777"/>
      <c r="U515" s="3777"/>
      <c r="V515" s="3777"/>
      <c r="W515" s="3777"/>
      <c r="X515" s="3777"/>
      <c r="Y515" s="3777"/>
      <c r="Z515" s="3777"/>
      <c r="AA515" s="3777"/>
      <c r="AB515" s="3777"/>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6">
        <f t="shared" si="268"/>
        <v>0</v>
      </c>
      <c r="H516" s="1256">
        <f t="shared" si="269"/>
        <v>0</v>
      </c>
      <c r="I516" s="3777"/>
      <c r="J516" s="3777"/>
      <c r="K516" s="3777"/>
      <c r="L516" s="3777"/>
      <c r="M516" s="3777"/>
      <c r="N516" s="3777"/>
      <c r="O516" s="3777"/>
      <c r="P516" s="3777"/>
      <c r="Q516" s="3777"/>
      <c r="R516" s="3777"/>
      <c r="S516" s="3777"/>
      <c r="T516" s="3777"/>
      <c r="U516" s="3777"/>
      <c r="V516" s="3777"/>
      <c r="W516" s="3777"/>
      <c r="X516" s="3777"/>
      <c r="Y516" s="3777"/>
      <c r="Z516" s="3777"/>
      <c r="AA516" s="3777"/>
      <c r="AB516" s="3777"/>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6">
        <f t="shared" si="268"/>
        <v>0</v>
      </c>
      <c r="H517" s="1256">
        <f t="shared" si="269"/>
        <v>0</v>
      </c>
      <c r="I517" s="3777"/>
      <c r="J517" s="3777"/>
      <c r="K517" s="3777"/>
      <c r="L517" s="3777"/>
      <c r="M517" s="3777"/>
      <c r="N517" s="3777"/>
      <c r="O517" s="3777"/>
      <c r="P517" s="3777"/>
      <c r="Q517" s="3777"/>
      <c r="R517" s="3777"/>
      <c r="S517" s="3777"/>
      <c r="T517" s="3777"/>
      <c r="U517" s="3777"/>
      <c r="V517" s="3777"/>
      <c r="W517" s="3777"/>
      <c r="X517" s="3777"/>
      <c r="Y517" s="3777"/>
      <c r="Z517" s="3777"/>
      <c r="AA517" s="3777"/>
      <c r="AB517" s="3777"/>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6">
        <f t="shared" si="268"/>
        <v>0</v>
      </c>
      <c r="H518" s="1256">
        <f t="shared" si="269"/>
        <v>0</v>
      </c>
      <c r="I518" s="3777"/>
      <c r="J518" s="3777"/>
      <c r="K518" s="3777"/>
      <c r="L518" s="3777"/>
      <c r="M518" s="3777"/>
      <c r="N518" s="3777"/>
      <c r="O518" s="3777"/>
      <c r="P518" s="3777"/>
      <c r="Q518" s="3777"/>
      <c r="R518" s="3777"/>
      <c r="S518" s="3777"/>
      <c r="T518" s="3777"/>
      <c r="U518" s="3777"/>
      <c r="V518" s="3777"/>
      <c r="W518" s="3777"/>
      <c r="X518" s="3777"/>
      <c r="Y518" s="3777"/>
      <c r="Z518" s="3777"/>
      <c r="AA518" s="3777"/>
      <c r="AB518" s="3777"/>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6">
        <f t="shared" si="268"/>
        <v>0</v>
      </c>
      <c r="H519" s="1256">
        <f t="shared" si="269"/>
        <v>0</v>
      </c>
      <c r="I519" s="3777"/>
      <c r="J519" s="3777"/>
      <c r="K519" s="3777"/>
      <c r="L519" s="3777"/>
      <c r="M519" s="3777"/>
      <c r="N519" s="3777"/>
      <c r="O519" s="3777"/>
      <c r="P519" s="3777"/>
      <c r="Q519" s="3777"/>
      <c r="R519" s="3777"/>
      <c r="S519" s="3777"/>
      <c r="T519" s="3777"/>
      <c r="U519" s="3777"/>
      <c r="V519" s="3777"/>
      <c r="W519" s="3777"/>
      <c r="X519" s="3777"/>
      <c r="Y519" s="3777"/>
      <c r="Z519" s="3777"/>
      <c r="AA519" s="3777"/>
      <c r="AB519" s="3777"/>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6">
        <f t="shared" si="268"/>
        <v>0</v>
      </c>
      <c r="H520" s="1256">
        <f t="shared" si="269"/>
        <v>0</v>
      </c>
      <c r="I520" s="3777"/>
      <c r="J520" s="3777"/>
      <c r="K520" s="3777"/>
      <c r="L520" s="3777"/>
      <c r="M520" s="3777"/>
      <c r="N520" s="3777"/>
      <c r="O520" s="3777"/>
      <c r="P520" s="3777"/>
      <c r="Q520" s="3777"/>
      <c r="R520" s="3777"/>
      <c r="S520" s="3777"/>
      <c r="T520" s="3777"/>
      <c r="U520" s="3777"/>
      <c r="V520" s="3777"/>
      <c r="W520" s="3777"/>
      <c r="X520" s="3777"/>
      <c r="Y520" s="3777"/>
      <c r="Z520" s="3777"/>
      <c r="AA520" s="3777"/>
      <c r="AB520" s="3777"/>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6">
        <f t="shared" si="268"/>
        <v>0</v>
      </c>
      <c r="H521" s="1256">
        <f t="shared" si="269"/>
        <v>0</v>
      </c>
      <c r="I521" s="3777"/>
      <c r="J521" s="3777"/>
      <c r="K521" s="3777"/>
      <c r="L521" s="3777"/>
      <c r="M521" s="3777"/>
      <c r="N521" s="3777"/>
      <c r="O521" s="3777"/>
      <c r="P521" s="3777"/>
      <c r="Q521" s="3777"/>
      <c r="R521" s="3777"/>
      <c r="S521" s="3777"/>
      <c r="T521" s="3777"/>
      <c r="U521" s="3777"/>
      <c r="V521" s="3777"/>
      <c r="W521" s="3777"/>
      <c r="X521" s="3777"/>
      <c r="Y521" s="3777"/>
      <c r="Z521" s="3777"/>
      <c r="AA521" s="3777"/>
      <c r="AB521" s="3777"/>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6">
        <f t="shared" ref="G522:G552" si="301">H522+AC522+AT522</f>
        <v>0</v>
      </c>
      <c r="H522" s="1256">
        <f t="shared" ref="H522:H552" si="302">SUMIF(I$12:AB$12,"总值",I522:AB522)</f>
        <v>0</v>
      </c>
      <c r="I522" s="3777"/>
      <c r="J522" s="3777"/>
      <c r="K522" s="3777"/>
      <c r="L522" s="3777"/>
      <c r="M522" s="3777"/>
      <c r="N522" s="3777"/>
      <c r="O522" s="3777"/>
      <c r="P522" s="3777"/>
      <c r="Q522" s="3777"/>
      <c r="R522" s="3777"/>
      <c r="S522" s="3777"/>
      <c r="T522" s="3777"/>
      <c r="U522" s="3777"/>
      <c r="V522" s="3777"/>
      <c r="W522" s="3777"/>
      <c r="X522" s="3777"/>
      <c r="Y522" s="3777"/>
      <c r="Z522" s="3777"/>
      <c r="AA522" s="3777"/>
      <c r="AB522" s="3777"/>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6">
        <f t="shared" si="301"/>
        <v>0</v>
      </c>
      <c r="H523" s="1256">
        <f t="shared" si="302"/>
        <v>0</v>
      </c>
      <c r="I523" s="3777"/>
      <c r="J523" s="3777"/>
      <c r="K523" s="3777"/>
      <c r="L523" s="3777"/>
      <c r="M523" s="3777"/>
      <c r="N523" s="3777"/>
      <c r="O523" s="3777"/>
      <c r="P523" s="3777"/>
      <c r="Q523" s="3777"/>
      <c r="R523" s="3777"/>
      <c r="S523" s="3777"/>
      <c r="T523" s="3777"/>
      <c r="U523" s="3777"/>
      <c r="V523" s="3777"/>
      <c r="W523" s="3777"/>
      <c r="X523" s="3777"/>
      <c r="Y523" s="3777"/>
      <c r="Z523" s="3777"/>
      <c r="AA523" s="3777"/>
      <c r="AB523" s="3777"/>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6">
        <f t="shared" si="301"/>
        <v>0</v>
      </c>
      <c r="H524" s="1256">
        <f t="shared" si="302"/>
        <v>0</v>
      </c>
      <c r="I524" s="3777"/>
      <c r="J524" s="3777"/>
      <c r="K524" s="3777"/>
      <c r="L524" s="3777"/>
      <c r="M524" s="3777"/>
      <c r="N524" s="3777"/>
      <c r="O524" s="3777"/>
      <c r="P524" s="3777"/>
      <c r="Q524" s="3777"/>
      <c r="R524" s="3777"/>
      <c r="S524" s="3777"/>
      <c r="T524" s="3777"/>
      <c r="U524" s="3777"/>
      <c r="V524" s="3777"/>
      <c r="W524" s="3777"/>
      <c r="X524" s="3777"/>
      <c r="Y524" s="3777"/>
      <c r="Z524" s="3777"/>
      <c r="AA524" s="3777"/>
      <c r="AB524" s="3777"/>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6">
        <f t="shared" si="301"/>
        <v>0</v>
      </c>
      <c r="H525" s="1256">
        <f t="shared" si="302"/>
        <v>0</v>
      </c>
      <c r="I525" s="3777"/>
      <c r="J525" s="3777"/>
      <c r="K525" s="3777"/>
      <c r="L525" s="3777"/>
      <c r="M525" s="3777"/>
      <c r="N525" s="3777"/>
      <c r="O525" s="3777"/>
      <c r="P525" s="3777"/>
      <c r="Q525" s="3777"/>
      <c r="R525" s="3777"/>
      <c r="S525" s="3777"/>
      <c r="T525" s="3777"/>
      <c r="U525" s="3777"/>
      <c r="V525" s="3777"/>
      <c r="W525" s="3777"/>
      <c r="X525" s="3777"/>
      <c r="Y525" s="3777"/>
      <c r="Z525" s="3777"/>
      <c r="AA525" s="3777"/>
      <c r="AB525" s="3777"/>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6">
        <f t="shared" si="301"/>
        <v>0</v>
      </c>
      <c r="H526" s="1256">
        <f t="shared" si="302"/>
        <v>0</v>
      </c>
      <c r="I526" s="3777"/>
      <c r="J526" s="3777"/>
      <c r="K526" s="3777"/>
      <c r="L526" s="3777"/>
      <c r="M526" s="3777"/>
      <c r="N526" s="3777"/>
      <c r="O526" s="3777"/>
      <c r="P526" s="3777"/>
      <c r="Q526" s="3777"/>
      <c r="R526" s="3777"/>
      <c r="S526" s="3777"/>
      <c r="T526" s="3777"/>
      <c r="U526" s="3777"/>
      <c r="V526" s="3777"/>
      <c r="W526" s="3777"/>
      <c r="X526" s="3777"/>
      <c r="Y526" s="3777"/>
      <c r="Z526" s="3777"/>
      <c r="AA526" s="3777"/>
      <c r="AB526" s="3777"/>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6">
        <f t="shared" si="301"/>
        <v>0</v>
      </c>
      <c r="H527" s="1256">
        <f t="shared" si="302"/>
        <v>0</v>
      </c>
      <c r="I527" s="3777"/>
      <c r="J527" s="3777"/>
      <c r="K527" s="3777"/>
      <c r="L527" s="3777"/>
      <c r="M527" s="3777"/>
      <c r="N527" s="3777"/>
      <c r="O527" s="3777"/>
      <c r="P527" s="3777"/>
      <c r="Q527" s="3777"/>
      <c r="R527" s="3777"/>
      <c r="S527" s="3777"/>
      <c r="T527" s="3777"/>
      <c r="U527" s="3777"/>
      <c r="V527" s="3777"/>
      <c r="W527" s="3777"/>
      <c r="X527" s="3777"/>
      <c r="Y527" s="3777"/>
      <c r="Z527" s="3777"/>
      <c r="AA527" s="3777"/>
      <c r="AB527" s="3777"/>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6">
        <f t="shared" si="301"/>
        <v>0</v>
      </c>
      <c r="H528" s="1256">
        <f t="shared" si="302"/>
        <v>0</v>
      </c>
      <c r="I528" s="3777"/>
      <c r="J528" s="3777"/>
      <c r="K528" s="3777"/>
      <c r="L528" s="3777"/>
      <c r="M528" s="3777"/>
      <c r="N528" s="3777"/>
      <c r="O528" s="3777"/>
      <c r="P528" s="3777"/>
      <c r="Q528" s="3777"/>
      <c r="R528" s="3777"/>
      <c r="S528" s="3777"/>
      <c r="T528" s="3777"/>
      <c r="U528" s="3777"/>
      <c r="V528" s="3777"/>
      <c r="W528" s="3777"/>
      <c r="X528" s="3777"/>
      <c r="Y528" s="3777"/>
      <c r="Z528" s="3777"/>
      <c r="AA528" s="3777"/>
      <c r="AB528" s="3777"/>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6">
        <f t="shared" si="301"/>
        <v>0</v>
      </c>
      <c r="H529" s="1256">
        <f t="shared" si="302"/>
        <v>0</v>
      </c>
      <c r="I529" s="3777"/>
      <c r="J529" s="3777"/>
      <c r="K529" s="3777"/>
      <c r="L529" s="3777"/>
      <c r="M529" s="3777"/>
      <c r="N529" s="3777"/>
      <c r="O529" s="3777"/>
      <c r="P529" s="3777"/>
      <c r="Q529" s="3777"/>
      <c r="R529" s="3777"/>
      <c r="S529" s="3777"/>
      <c r="T529" s="3777"/>
      <c r="U529" s="3777"/>
      <c r="V529" s="3777"/>
      <c r="W529" s="3777"/>
      <c r="X529" s="3777"/>
      <c r="Y529" s="3777"/>
      <c r="Z529" s="3777"/>
      <c r="AA529" s="3777"/>
      <c r="AB529" s="3777"/>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6">
        <f t="shared" si="301"/>
        <v>0</v>
      </c>
      <c r="H530" s="1256">
        <f t="shared" si="302"/>
        <v>0</v>
      </c>
      <c r="I530" s="3777"/>
      <c r="J530" s="3777"/>
      <c r="K530" s="3777"/>
      <c r="L530" s="3777"/>
      <c r="M530" s="3777"/>
      <c r="N530" s="3777"/>
      <c r="O530" s="3777"/>
      <c r="P530" s="3777"/>
      <c r="Q530" s="3777"/>
      <c r="R530" s="3777"/>
      <c r="S530" s="3777"/>
      <c r="T530" s="3777"/>
      <c r="U530" s="3777"/>
      <c r="V530" s="3777"/>
      <c r="W530" s="3777"/>
      <c r="X530" s="3777"/>
      <c r="Y530" s="3777"/>
      <c r="Z530" s="3777"/>
      <c r="AA530" s="3777"/>
      <c r="AB530" s="3777"/>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6">
        <f t="shared" si="301"/>
        <v>0</v>
      </c>
      <c r="H531" s="1256">
        <f t="shared" si="302"/>
        <v>0</v>
      </c>
      <c r="I531" s="3777"/>
      <c r="J531" s="3777"/>
      <c r="K531" s="3777"/>
      <c r="L531" s="3777"/>
      <c r="M531" s="3777"/>
      <c r="N531" s="3777"/>
      <c r="O531" s="3777"/>
      <c r="P531" s="3777"/>
      <c r="Q531" s="3777"/>
      <c r="R531" s="3777"/>
      <c r="S531" s="3777"/>
      <c r="T531" s="3777"/>
      <c r="U531" s="3777"/>
      <c r="V531" s="3777"/>
      <c r="W531" s="3777"/>
      <c r="X531" s="3777"/>
      <c r="Y531" s="3777"/>
      <c r="Z531" s="3777"/>
      <c r="AA531" s="3777"/>
      <c r="AB531" s="3777"/>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6">
        <f t="shared" si="301"/>
        <v>0</v>
      </c>
      <c r="H532" s="1256">
        <f t="shared" si="302"/>
        <v>0</v>
      </c>
      <c r="I532" s="3777"/>
      <c r="J532" s="3777"/>
      <c r="K532" s="3777"/>
      <c r="L532" s="3777"/>
      <c r="M532" s="3777"/>
      <c r="N532" s="3777"/>
      <c r="O532" s="3777"/>
      <c r="P532" s="3777"/>
      <c r="Q532" s="3777"/>
      <c r="R532" s="3777"/>
      <c r="S532" s="3777"/>
      <c r="T532" s="3777"/>
      <c r="U532" s="3777"/>
      <c r="V532" s="3777"/>
      <c r="W532" s="3777"/>
      <c r="X532" s="3777"/>
      <c r="Y532" s="3777"/>
      <c r="Z532" s="3777"/>
      <c r="AA532" s="3777"/>
      <c r="AB532" s="3777"/>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6">
        <f t="shared" si="301"/>
        <v>0</v>
      </c>
      <c r="H533" s="1256">
        <f t="shared" si="302"/>
        <v>0</v>
      </c>
      <c r="I533" s="3777"/>
      <c r="J533" s="3777"/>
      <c r="K533" s="3777"/>
      <c r="L533" s="3777"/>
      <c r="M533" s="3777"/>
      <c r="N533" s="3777"/>
      <c r="O533" s="3777"/>
      <c r="P533" s="3777"/>
      <c r="Q533" s="3777"/>
      <c r="R533" s="3777"/>
      <c r="S533" s="3777"/>
      <c r="T533" s="3777"/>
      <c r="U533" s="3777"/>
      <c r="V533" s="3777"/>
      <c r="W533" s="3777"/>
      <c r="X533" s="3777"/>
      <c r="Y533" s="3777"/>
      <c r="Z533" s="3777"/>
      <c r="AA533" s="3777"/>
      <c r="AB533" s="3777"/>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6">
        <f t="shared" si="301"/>
        <v>0</v>
      </c>
      <c r="H534" s="1256">
        <f t="shared" si="302"/>
        <v>0</v>
      </c>
      <c r="I534" s="3777"/>
      <c r="J534" s="3777"/>
      <c r="K534" s="3777"/>
      <c r="L534" s="3777"/>
      <c r="M534" s="3777"/>
      <c r="N534" s="3777"/>
      <c r="O534" s="3777"/>
      <c r="P534" s="3777"/>
      <c r="Q534" s="3777"/>
      <c r="R534" s="3777"/>
      <c r="S534" s="3777"/>
      <c r="T534" s="3777"/>
      <c r="U534" s="3777"/>
      <c r="V534" s="3777"/>
      <c r="W534" s="3777"/>
      <c r="X534" s="3777"/>
      <c r="Y534" s="3777"/>
      <c r="Z534" s="3777"/>
      <c r="AA534" s="3777"/>
      <c r="AB534" s="3777"/>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6">
        <f t="shared" si="301"/>
        <v>0</v>
      </c>
      <c r="H535" s="1256">
        <f t="shared" si="302"/>
        <v>0</v>
      </c>
      <c r="I535" s="3777"/>
      <c r="J535" s="3777"/>
      <c r="K535" s="3777"/>
      <c r="L535" s="3777"/>
      <c r="M535" s="3777"/>
      <c r="N535" s="3777"/>
      <c r="O535" s="3777"/>
      <c r="P535" s="3777"/>
      <c r="Q535" s="3777"/>
      <c r="R535" s="3777"/>
      <c r="S535" s="3777"/>
      <c r="T535" s="3777"/>
      <c r="U535" s="3777"/>
      <c r="V535" s="3777"/>
      <c r="W535" s="3777"/>
      <c r="X535" s="3777"/>
      <c r="Y535" s="3777"/>
      <c r="Z535" s="3777"/>
      <c r="AA535" s="3777"/>
      <c r="AB535" s="3777"/>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6">
        <f t="shared" si="301"/>
        <v>0</v>
      </c>
      <c r="H536" s="1256">
        <f t="shared" si="302"/>
        <v>0</v>
      </c>
      <c r="I536" s="3777"/>
      <c r="J536" s="3777"/>
      <c r="K536" s="3777"/>
      <c r="L536" s="3777"/>
      <c r="M536" s="3777"/>
      <c r="N536" s="3777"/>
      <c r="O536" s="3777"/>
      <c r="P536" s="3777"/>
      <c r="Q536" s="3777"/>
      <c r="R536" s="3777"/>
      <c r="S536" s="3777"/>
      <c r="T536" s="3777"/>
      <c r="U536" s="3777"/>
      <c r="V536" s="3777"/>
      <c r="W536" s="3777"/>
      <c r="X536" s="3777"/>
      <c r="Y536" s="3777"/>
      <c r="Z536" s="3777"/>
      <c r="AA536" s="3777"/>
      <c r="AB536" s="3777"/>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6">
        <f t="shared" si="301"/>
        <v>0</v>
      </c>
      <c r="H537" s="1256">
        <f t="shared" si="302"/>
        <v>0</v>
      </c>
      <c r="I537" s="3777"/>
      <c r="J537" s="3777"/>
      <c r="K537" s="3777"/>
      <c r="L537" s="3777"/>
      <c r="M537" s="3777"/>
      <c r="N537" s="3777"/>
      <c r="O537" s="3777"/>
      <c r="P537" s="3777"/>
      <c r="Q537" s="3777"/>
      <c r="R537" s="3777"/>
      <c r="S537" s="3777"/>
      <c r="T537" s="3777"/>
      <c r="U537" s="3777"/>
      <c r="V537" s="3777"/>
      <c r="W537" s="3777"/>
      <c r="X537" s="3777"/>
      <c r="Y537" s="3777"/>
      <c r="Z537" s="3777"/>
      <c r="AA537" s="3777"/>
      <c r="AB537" s="3777"/>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6">
        <f t="shared" si="301"/>
        <v>0</v>
      </c>
      <c r="H538" s="1256">
        <f t="shared" si="302"/>
        <v>0</v>
      </c>
      <c r="I538" s="3777"/>
      <c r="J538" s="3777"/>
      <c r="K538" s="3777"/>
      <c r="L538" s="3777"/>
      <c r="M538" s="3777"/>
      <c r="N538" s="3777"/>
      <c r="O538" s="3777"/>
      <c r="P538" s="3777"/>
      <c r="Q538" s="3777"/>
      <c r="R538" s="3777"/>
      <c r="S538" s="3777"/>
      <c r="T538" s="3777"/>
      <c r="U538" s="3777"/>
      <c r="V538" s="3777"/>
      <c r="W538" s="3777"/>
      <c r="X538" s="3777"/>
      <c r="Y538" s="3777"/>
      <c r="Z538" s="3777"/>
      <c r="AA538" s="3777"/>
      <c r="AB538" s="3777"/>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6">
        <f t="shared" si="301"/>
        <v>0</v>
      </c>
      <c r="H539" s="1256">
        <f t="shared" si="302"/>
        <v>0</v>
      </c>
      <c r="I539" s="3777"/>
      <c r="J539" s="3777"/>
      <c r="K539" s="3777"/>
      <c r="L539" s="3777"/>
      <c r="M539" s="3777"/>
      <c r="N539" s="3777"/>
      <c r="O539" s="3777"/>
      <c r="P539" s="3777"/>
      <c r="Q539" s="3777"/>
      <c r="R539" s="3777"/>
      <c r="S539" s="3777"/>
      <c r="T539" s="3777"/>
      <c r="U539" s="3777"/>
      <c r="V539" s="3777"/>
      <c r="W539" s="3777"/>
      <c r="X539" s="3777"/>
      <c r="Y539" s="3777"/>
      <c r="Z539" s="3777"/>
      <c r="AA539" s="3777"/>
      <c r="AB539" s="3777"/>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6">
        <f t="shared" si="301"/>
        <v>0</v>
      </c>
      <c r="H540" s="1256">
        <f t="shared" si="302"/>
        <v>0</v>
      </c>
      <c r="I540" s="3777"/>
      <c r="J540" s="3777"/>
      <c r="K540" s="3777"/>
      <c r="L540" s="3777"/>
      <c r="M540" s="3777"/>
      <c r="N540" s="3777"/>
      <c r="O540" s="3777"/>
      <c r="P540" s="3777"/>
      <c r="Q540" s="3777"/>
      <c r="R540" s="3777"/>
      <c r="S540" s="3777"/>
      <c r="T540" s="3777"/>
      <c r="U540" s="3777"/>
      <c r="V540" s="3777"/>
      <c r="W540" s="3777"/>
      <c r="X540" s="3777"/>
      <c r="Y540" s="3777"/>
      <c r="Z540" s="3777"/>
      <c r="AA540" s="3777"/>
      <c r="AB540" s="3777"/>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6">
        <f t="shared" si="301"/>
        <v>0</v>
      </c>
      <c r="H541" s="1256">
        <f t="shared" si="302"/>
        <v>0</v>
      </c>
      <c r="I541" s="3777"/>
      <c r="J541" s="3777"/>
      <c r="K541" s="3777"/>
      <c r="L541" s="3777"/>
      <c r="M541" s="3777"/>
      <c r="N541" s="3777"/>
      <c r="O541" s="3777"/>
      <c r="P541" s="3777"/>
      <c r="Q541" s="3777"/>
      <c r="R541" s="3777"/>
      <c r="S541" s="3777"/>
      <c r="T541" s="3777"/>
      <c r="U541" s="3777"/>
      <c r="V541" s="3777"/>
      <c r="W541" s="3777"/>
      <c r="X541" s="3777"/>
      <c r="Y541" s="3777"/>
      <c r="Z541" s="3777"/>
      <c r="AA541" s="3777"/>
      <c r="AB541" s="3777"/>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6">
        <f t="shared" si="301"/>
        <v>0</v>
      </c>
      <c r="H542" s="1256">
        <f t="shared" si="302"/>
        <v>0</v>
      </c>
      <c r="I542" s="3777"/>
      <c r="J542" s="3777"/>
      <c r="K542" s="3777"/>
      <c r="L542" s="3777"/>
      <c r="M542" s="3777"/>
      <c r="N542" s="3777"/>
      <c r="O542" s="3777"/>
      <c r="P542" s="3777"/>
      <c r="Q542" s="3777"/>
      <c r="R542" s="3777"/>
      <c r="S542" s="3777"/>
      <c r="T542" s="3777"/>
      <c r="U542" s="3777"/>
      <c r="V542" s="3777"/>
      <c r="W542" s="3777"/>
      <c r="X542" s="3777"/>
      <c r="Y542" s="3777"/>
      <c r="Z542" s="3777"/>
      <c r="AA542" s="3777"/>
      <c r="AB542" s="3777"/>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6">
        <f t="shared" si="301"/>
        <v>0</v>
      </c>
      <c r="H543" s="1256">
        <f t="shared" si="302"/>
        <v>0</v>
      </c>
      <c r="I543" s="3777"/>
      <c r="J543" s="3777"/>
      <c r="K543" s="3777"/>
      <c r="L543" s="3777"/>
      <c r="M543" s="3777"/>
      <c r="N543" s="3777"/>
      <c r="O543" s="3777"/>
      <c r="P543" s="3777"/>
      <c r="Q543" s="3777"/>
      <c r="R543" s="3777"/>
      <c r="S543" s="3777"/>
      <c r="T543" s="3777"/>
      <c r="U543" s="3777"/>
      <c r="V543" s="3777"/>
      <c r="W543" s="3777"/>
      <c r="X543" s="3777"/>
      <c r="Y543" s="3777"/>
      <c r="Z543" s="3777"/>
      <c r="AA543" s="3777"/>
      <c r="AB543" s="3777"/>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6">
        <f t="shared" si="301"/>
        <v>0</v>
      </c>
      <c r="H544" s="1256">
        <f t="shared" si="302"/>
        <v>0</v>
      </c>
      <c r="I544" s="3777"/>
      <c r="J544" s="3777"/>
      <c r="K544" s="3777"/>
      <c r="L544" s="3777"/>
      <c r="M544" s="3777"/>
      <c r="N544" s="3777"/>
      <c r="O544" s="3777"/>
      <c r="P544" s="3777"/>
      <c r="Q544" s="3777"/>
      <c r="R544" s="3777"/>
      <c r="S544" s="3777"/>
      <c r="T544" s="3777"/>
      <c r="U544" s="3777"/>
      <c r="V544" s="3777"/>
      <c r="W544" s="3777"/>
      <c r="X544" s="3777"/>
      <c r="Y544" s="3777"/>
      <c r="Z544" s="3777"/>
      <c r="AA544" s="3777"/>
      <c r="AB544" s="3777"/>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6">
        <f t="shared" si="301"/>
        <v>0</v>
      </c>
      <c r="H545" s="1256">
        <f t="shared" si="302"/>
        <v>0</v>
      </c>
      <c r="I545" s="3777"/>
      <c r="J545" s="3777"/>
      <c r="K545" s="3777"/>
      <c r="L545" s="3777"/>
      <c r="M545" s="3777"/>
      <c r="N545" s="3777"/>
      <c r="O545" s="3777"/>
      <c r="P545" s="3777"/>
      <c r="Q545" s="3777"/>
      <c r="R545" s="3777"/>
      <c r="S545" s="3777"/>
      <c r="T545" s="3777"/>
      <c r="U545" s="3777"/>
      <c r="V545" s="3777"/>
      <c r="W545" s="3777"/>
      <c r="X545" s="3777"/>
      <c r="Y545" s="3777"/>
      <c r="Z545" s="3777"/>
      <c r="AA545" s="3777"/>
      <c r="AB545" s="3777"/>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6">
        <f t="shared" si="301"/>
        <v>0</v>
      </c>
      <c r="H546" s="1256">
        <f t="shared" si="302"/>
        <v>0</v>
      </c>
      <c r="I546" s="3777"/>
      <c r="J546" s="3777"/>
      <c r="K546" s="3777"/>
      <c r="L546" s="3777"/>
      <c r="M546" s="3777"/>
      <c r="N546" s="3777"/>
      <c r="O546" s="3777"/>
      <c r="P546" s="3777"/>
      <c r="Q546" s="3777"/>
      <c r="R546" s="3777"/>
      <c r="S546" s="3777"/>
      <c r="T546" s="3777"/>
      <c r="U546" s="3777"/>
      <c r="V546" s="3777"/>
      <c r="W546" s="3777"/>
      <c r="X546" s="3777"/>
      <c r="Y546" s="3777"/>
      <c r="Z546" s="3777"/>
      <c r="AA546" s="3777"/>
      <c r="AB546" s="3777"/>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6">
        <f t="shared" si="301"/>
        <v>0</v>
      </c>
      <c r="H547" s="1256">
        <f t="shared" si="302"/>
        <v>0</v>
      </c>
      <c r="I547" s="3777"/>
      <c r="J547" s="3777"/>
      <c r="K547" s="3777"/>
      <c r="L547" s="3777"/>
      <c r="M547" s="3777"/>
      <c r="N547" s="3777"/>
      <c r="O547" s="3777"/>
      <c r="P547" s="3777"/>
      <c r="Q547" s="3777"/>
      <c r="R547" s="3777"/>
      <c r="S547" s="3777"/>
      <c r="T547" s="3777"/>
      <c r="U547" s="3777"/>
      <c r="V547" s="3777"/>
      <c r="W547" s="3777"/>
      <c r="X547" s="3777"/>
      <c r="Y547" s="3777"/>
      <c r="Z547" s="3777"/>
      <c r="AA547" s="3777"/>
      <c r="AB547" s="3777"/>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6">
        <f t="shared" si="301"/>
        <v>0</v>
      </c>
      <c r="H548" s="1256">
        <f t="shared" si="302"/>
        <v>0</v>
      </c>
      <c r="I548" s="3777"/>
      <c r="J548" s="3777"/>
      <c r="K548" s="3777"/>
      <c r="L548" s="3777"/>
      <c r="M548" s="3777"/>
      <c r="N548" s="3777"/>
      <c r="O548" s="3777"/>
      <c r="P548" s="3777"/>
      <c r="Q548" s="3777"/>
      <c r="R548" s="3777"/>
      <c r="S548" s="3777"/>
      <c r="T548" s="3777"/>
      <c r="U548" s="3777"/>
      <c r="V548" s="3777"/>
      <c r="W548" s="3777"/>
      <c r="X548" s="3777"/>
      <c r="Y548" s="3777"/>
      <c r="Z548" s="3777"/>
      <c r="AA548" s="3777"/>
      <c r="AB548" s="3777"/>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6">
        <f t="shared" si="301"/>
        <v>0</v>
      </c>
      <c r="H549" s="1256">
        <f t="shared" si="302"/>
        <v>0</v>
      </c>
      <c r="I549" s="3777"/>
      <c r="J549" s="3777"/>
      <c r="K549" s="3777"/>
      <c r="L549" s="3777"/>
      <c r="M549" s="3777"/>
      <c r="N549" s="3777"/>
      <c r="O549" s="3777"/>
      <c r="P549" s="3777"/>
      <c r="Q549" s="3777"/>
      <c r="R549" s="3777"/>
      <c r="S549" s="3777"/>
      <c r="T549" s="3777"/>
      <c r="U549" s="3777"/>
      <c r="V549" s="3777"/>
      <c r="W549" s="3777"/>
      <c r="X549" s="3777"/>
      <c r="Y549" s="3777"/>
      <c r="Z549" s="3777"/>
      <c r="AA549" s="3777"/>
      <c r="AB549" s="3777"/>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6">
        <f t="shared" si="301"/>
        <v>0</v>
      </c>
      <c r="H550" s="1256">
        <f t="shared" si="302"/>
        <v>0</v>
      </c>
      <c r="I550" s="3777"/>
      <c r="J550" s="3777"/>
      <c r="K550" s="3777"/>
      <c r="L550" s="3777"/>
      <c r="M550" s="3777"/>
      <c r="N550" s="3777"/>
      <c r="O550" s="3777"/>
      <c r="P550" s="3777"/>
      <c r="Q550" s="3777"/>
      <c r="R550" s="3777"/>
      <c r="S550" s="3777"/>
      <c r="T550" s="3777"/>
      <c r="U550" s="3777"/>
      <c r="V550" s="3777"/>
      <c r="W550" s="3777"/>
      <c r="X550" s="3777"/>
      <c r="Y550" s="3777"/>
      <c r="Z550" s="3777"/>
      <c r="AA550" s="3777"/>
      <c r="AB550" s="3777"/>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6">
        <f t="shared" si="301"/>
        <v>0</v>
      </c>
      <c r="H551" s="1256">
        <f t="shared" si="302"/>
        <v>0</v>
      </c>
      <c r="I551" s="3777"/>
      <c r="J551" s="3777"/>
      <c r="K551" s="3777"/>
      <c r="L551" s="3777"/>
      <c r="M551" s="3777"/>
      <c r="N551" s="3777"/>
      <c r="O551" s="3777"/>
      <c r="P551" s="3777"/>
      <c r="Q551" s="3777"/>
      <c r="R551" s="3777"/>
      <c r="S551" s="3777"/>
      <c r="T551" s="3777"/>
      <c r="U551" s="3777"/>
      <c r="V551" s="3777"/>
      <c r="W551" s="3777"/>
      <c r="X551" s="3777"/>
      <c r="Y551" s="3777"/>
      <c r="Z551" s="3777"/>
      <c r="AA551" s="3777"/>
      <c r="AB551" s="3777"/>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6">
        <f t="shared" si="301"/>
        <v>0</v>
      </c>
      <c r="H552" s="1256">
        <f t="shared" si="302"/>
        <v>0</v>
      </c>
      <c r="I552" s="3777"/>
      <c r="J552" s="3777"/>
      <c r="K552" s="3777"/>
      <c r="L552" s="3777"/>
      <c r="M552" s="3777"/>
      <c r="N552" s="3777"/>
      <c r="O552" s="3777"/>
      <c r="P552" s="3777"/>
      <c r="Q552" s="3777"/>
      <c r="R552" s="3777"/>
      <c r="S552" s="3777"/>
      <c r="T552" s="3777"/>
      <c r="U552" s="3777"/>
      <c r="V552" s="3777"/>
      <c r="W552" s="3777"/>
      <c r="X552" s="3777"/>
      <c r="Y552" s="3777"/>
      <c r="Z552" s="3777"/>
      <c r="AA552" s="3777"/>
      <c r="AB552" s="3777"/>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6">
        <f t="shared" ref="G553:G584" si="327">H553+AC553+AT553</f>
        <v>0</v>
      </c>
      <c r="H553" s="1256">
        <f t="shared" ref="H553:H584" si="328">SUMIF(I$12:AB$12,"总值",I553:AB553)</f>
        <v>0</v>
      </c>
      <c r="I553" s="3777"/>
      <c r="J553" s="3777"/>
      <c r="K553" s="3777"/>
      <c r="L553" s="3777"/>
      <c r="M553" s="3777"/>
      <c r="N553" s="3777"/>
      <c r="O553" s="3777"/>
      <c r="P553" s="3777"/>
      <c r="Q553" s="3777"/>
      <c r="R553" s="3777"/>
      <c r="S553" s="3777"/>
      <c r="T553" s="3777"/>
      <c r="U553" s="3777"/>
      <c r="V553" s="3777"/>
      <c r="W553" s="3777"/>
      <c r="X553" s="3777"/>
      <c r="Y553" s="3777"/>
      <c r="Z553" s="3777"/>
      <c r="AA553" s="3777"/>
      <c r="AB553" s="3777"/>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6">
        <f t="shared" si="327"/>
        <v>0</v>
      </c>
      <c r="H554" s="1256">
        <f t="shared" si="328"/>
        <v>0</v>
      </c>
      <c r="I554" s="3777"/>
      <c r="J554" s="3777"/>
      <c r="K554" s="3777"/>
      <c r="L554" s="3777"/>
      <c r="M554" s="3777"/>
      <c r="N554" s="3777"/>
      <c r="O554" s="3777"/>
      <c r="P554" s="3777"/>
      <c r="Q554" s="3777"/>
      <c r="R554" s="3777"/>
      <c r="S554" s="3777"/>
      <c r="T554" s="3777"/>
      <c r="U554" s="3777"/>
      <c r="V554" s="3777"/>
      <c r="W554" s="3777"/>
      <c r="X554" s="3777"/>
      <c r="Y554" s="3777"/>
      <c r="Z554" s="3777"/>
      <c r="AA554" s="3777"/>
      <c r="AB554" s="3777"/>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6">
        <f t="shared" si="327"/>
        <v>0</v>
      </c>
      <c r="H555" s="1256">
        <f t="shared" si="328"/>
        <v>0</v>
      </c>
      <c r="I555" s="3777"/>
      <c r="J555" s="3777"/>
      <c r="K555" s="3777"/>
      <c r="L555" s="3777"/>
      <c r="M555" s="3777"/>
      <c r="N555" s="3777"/>
      <c r="O555" s="3777"/>
      <c r="P555" s="3777"/>
      <c r="Q555" s="3777"/>
      <c r="R555" s="3777"/>
      <c r="S555" s="3777"/>
      <c r="T555" s="3777"/>
      <c r="U555" s="3777"/>
      <c r="V555" s="3777"/>
      <c r="W555" s="3777"/>
      <c r="X555" s="3777"/>
      <c r="Y555" s="3777"/>
      <c r="Z555" s="3777"/>
      <c r="AA555" s="3777"/>
      <c r="AB555" s="3777"/>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6">
        <f t="shared" si="327"/>
        <v>0</v>
      </c>
      <c r="H556" s="1256">
        <f t="shared" si="328"/>
        <v>0</v>
      </c>
      <c r="I556" s="3777"/>
      <c r="J556" s="3777"/>
      <c r="K556" s="3777"/>
      <c r="L556" s="3777"/>
      <c r="M556" s="3777"/>
      <c r="N556" s="3777"/>
      <c r="O556" s="3777"/>
      <c r="P556" s="3777"/>
      <c r="Q556" s="3777"/>
      <c r="R556" s="3777"/>
      <c r="S556" s="3777"/>
      <c r="T556" s="3777"/>
      <c r="U556" s="3777"/>
      <c r="V556" s="3777"/>
      <c r="W556" s="3777"/>
      <c r="X556" s="3777"/>
      <c r="Y556" s="3777"/>
      <c r="Z556" s="3777"/>
      <c r="AA556" s="3777"/>
      <c r="AB556" s="3777"/>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6">
        <f t="shared" si="327"/>
        <v>0</v>
      </c>
      <c r="H557" s="1256">
        <f t="shared" si="328"/>
        <v>0</v>
      </c>
      <c r="I557" s="3777"/>
      <c r="J557" s="3777"/>
      <c r="K557" s="3777"/>
      <c r="L557" s="3777"/>
      <c r="M557" s="3777"/>
      <c r="N557" s="3777"/>
      <c r="O557" s="3777"/>
      <c r="P557" s="3777"/>
      <c r="Q557" s="3777"/>
      <c r="R557" s="3777"/>
      <c r="S557" s="3777"/>
      <c r="T557" s="3777"/>
      <c r="U557" s="3777"/>
      <c r="V557" s="3777"/>
      <c r="W557" s="3777"/>
      <c r="X557" s="3777"/>
      <c r="Y557" s="3777"/>
      <c r="Z557" s="3777"/>
      <c r="AA557" s="3777"/>
      <c r="AB557" s="3777"/>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6">
        <f t="shared" si="327"/>
        <v>0</v>
      </c>
      <c r="H558" s="1256">
        <f t="shared" si="328"/>
        <v>0</v>
      </c>
      <c r="I558" s="3777"/>
      <c r="J558" s="3777"/>
      <c r="K558" s="3777"/>
      <c r="L558" s="3777"/>
      <c r="M558" s="3777"/>
      <c r="N558" s="3777"/>
      <c r="O558" s="3777"/>
      <c r="P558" s="3777"/>
      <c r="Q558" s="3777"/>
      <c r="R558" s="3777"/>
      <c r="S558" s="3777"/>
      <c r="T558" s="3777"/>
      <c r="U558" s="3777"/>
      <c r="V558" s="3777"/>
      <c r="W558" s="3777"/>
      <c r="X558" s="3777"/>
      <c r="Y558" s="3777"/>
      <c r="Z558" s="3777"/>
      <c r="AA558" s="3777"/>
      <c r="AB558" s="3777"/>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6">
        <f t="shared" si="327"/>
        <v>0</v>
      </c>
      <c r="H559" s="1256">
        <f t="shared" si="328"/>
        <v>0</v>
      </c>
      <c r="I559" s="3777"/>
      <c r="J559" s="3777"/>
      <c r="K559" s="3777"/>
      <c r="L559" s="3777"/>
      <c r="M559" s="3777"/>
      <c r="N559" s="3777"/>
      <c r="O559" s="3777"/>
      <c r="P559" s="3777"/>
      <c r="Q559" s="3777"/>
      <c r="R559" s="3777"/>
      <c r="S559" s="3777"/>
      <c r="T559" s="3777"/>
      <c r="U559" s="3777"/>
      <c r="V559" s="3777"/>
      <c r="W559" s="3777"/>
      <c r="X559" s="3777"/>
      <c r="Y559" s="3777"/>
      <c r="Z559" s="3777"/>
      <c r="AA559" s="3777"/>
      <c r="AB559" s="3777"/>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6">
        <f t="shared" si="327"/>
        <v>0</v>
      </c>
      <c r="H560" s="1256">
        <f t="shared" si="328"/>
        <v>0</v>
      </c>
      <c r="I560" s="3777"/>
      <c r="J560" s="3777"/>
      <c r="K560" s="3777"/>
      <c r="L560" s="3777"/>
      <c r="M560" s="3777"/>
      <c r="N560" s="3777"/>
      <c r="O560" s="3777"/>
      <c r="P560" s="3777"/>
      <c r="Q560" s="3777"/>
      <c r="R560" s="3777"/>
      <c r="S560" s="3777"/>
      <c r="T560" s="3777"/>
      <c r="U560" s="3777"/>
      <c r="V560" s="3777"/>
      <c r="W560" s="3777"/>
      <c r="X560" s="3777"/>
      <c r="Y560" s="3777"/>
      <c r="Z560" s="3777"/>
      <c r="AA560" s="3777"/>
      <c r="AB560" s="3777"/>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6">
        <f t="shared" si="327"/>
        <v>0</v>
      </c>
      <c r="H561" s="1256">
        <f t="shared" si="328"/>
        <v>0</v>
      </c>
      <c r="I561" s="3777"/>
      <c r="J561" s="3777"/>
      <c r="K561" s="3777"/>
      <c r="L561" s="3777"/>
      <c r="M561" s="3777"/>
      <c r="N561" s="3777"/>
      <c r="O561" s="3777"/>
      <c r="P561" s="3777"/>
      <c r="Q561" s="3777"/>
      <c r="R561" s="3777"/>
      <c r="S561" s="3777"/>
      <c r="T561" s="3777"/>
      <c r="U561" s="3777"/>
      <c r="V561" s="3777"/>
      <c r="W561" s="3777"/>
      <c r="X561" s="3777"/>
      <c r="Y561" s="3777"/>
      <c r="Z561" s="3777"/>
      <c r="AA561" s="3777"/>
      <c r="AB561" s="3777"/>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6">
        <f t="shared" si="327"/>
        <v>0</v>
      </c>
      <c r="H562" s="1256">
        <f t="shared" si="328"/>
        <v>0</v>
      </c>
      <c r="I562" s="3777"/>
      <c r="J562" s="3777"/>
      <c r="K562" s="3777"/>
      <c r="L562" s="3777"/>
      <c r="M562" s="3777"/>
      <c r="N562" s="3777"/>
      <c r="O562" s="3777"/>
      <c r="P562" s="3777"/>
      <c r="Q562" s="3777"/>
      <c r="R562" s="3777"/>
      <c r="S562" s="3777"/>
      <c r="T562" s="3777"/>
      <c r="U562" s="3777"/>
      <c r="V562" s="3777"/>
      <c r="W562" s="3777"/>
      <c r="X562" s="3777"/>
      <c r="Y562" s="3777"/>
      <c r="Z562" s="3777"/>
      <c r="AA562" s="3777"/>
      <c r="AB562" s="3777"/>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6">
        <f t="shared" si="327"/>
        <v>0</v>
      </c>
      <c r="H563" s="1256">
        <f t="shared" si="328"/>
        <v>0</v>
      </c>
      <c r="I563" s="3777"/>
      <c r="J563" s="3777"/>
      <c r="K563" s="3777"/>
      <c r="L563" s="3777"/>
      <c r="M563" s="3777"/>
      <c r="N563" s="3777"/>
      <c r="O563" s="3777"/>
      <c r="P563" s="3777"/>
      <c r="Q563" s="3777"/>
      <c r="R563" s="3777"/>
      <c r="S563" s="3777"/>
      <c r="T563" s="3777"/>
      <c r="U563" s="3777"/>
      <c r="V563" s="3777"/>
      <c r="W563" s="3777"/>
      <c r="X563" s="3777"/>
      <c r="Y563" s="3777"/>
      <c r="Z563" s="3777"/>
      <c r="AA563" s="3777"/>
      <c r="AB563" s="3777"/>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6">
        <f t="shared" si="327"/>
        <v>0</v>
      </c>
      <c r="H564" s="1256">
        <f t="shared" si="328"/>
        <v>0</v>
      </c>
      <c r="I564" s="3777"/>
      <c r="J564" s="3777"/>
      <c r="K564" s="3777"/>
      <c r="L564" s="3777"/>
      <c r="M564" s="3777"/>
      <c r="N564" s="3777"/>
      <c r="O564" s="3777"/>
      <c r="P564" s="3777"/>
      <c r="Q564" s="3777"/>
      <c r="R564" s="3777"/>
      <c r="S564" s="3777"/>
      <c r="T564" s="3777"/>
      <c r="U564" s="3777"/>
      <c r="V564" s="3777"/>
      <c r="W564" s="3777"/>
      <c r="X564" s="3777"/>
      <c r="Y564" s="3777"/>
      <c r="Z564" s="3777"/>
      <c r="AA564" s="3777"/>
      <c r="AB564" s="3777"/>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6">
        <f t="shared" si="327"/>
        <v>0</v>
      </c>
      <c r="H565" s="1256">
        <f t="shared" si="328"/>
        <v>0</v>
      </c>
      <c r="I565" s="3777"/>
      <c r="J565" s="3777"/>
      <c r="K565" s="3777"/>
      <c r="L565" s="3777"/>
      <c r="M565" s="3777"/>
      <c r="N565" s="3777"/>
      <c r="O565" s="3777"/>
      <c r="P565" s="3777"/>
      <c r="Q565" s="3777"/>
      <c r="R565" s="3777"/>
      <c r="S565" s="3777"/>
      <c r="T565" s="3777"/>
      <c r="U565" s="3777"/>
      <c r="V565" s="3777"/>
      <c r="W565" s="3777"/>
      <c r="X565" s="3777"/>
      <c r="Y565" s="3777"/>
      <c r="Z565" s="3777"/>
      <c r="AA565" s="3777"/>
      <c r="AB565" s="3777"/>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6">
        <f t="shared" si="327"/>
        <v>0</v>
      </c>
      <c r="H566" s="1256">
        <f t="shared" si="328"/>
        <v>0</v>
      </c>
      <c r="I566" s="3777"/>
      <c r="J566" s="3777"/>
      <c r="K566" s="3777"/>
      <c r="L566" s="3777"/>
      <c r="M566" s="3777"/>
      <c r="N566" s="3777"/>
      <c r="O566" s="3777"/>
      <c r="P566" s="3777"/>
      <c r="Q566" s="3777"/>
      <c r="R566" s="3777"/>
      <c r="S566" s="3777"/>
      <c r="T566" s="3777"/>
      <c r="U566" s="3777"/>
      <c r="V566" s="3777"/>
      <c r="W566" s="3777"/>
      <c r="X566" s="3777"/>
      <c r="Y566" s="3777"/>
      <c r="Z566" s="3777"/>
      <c r="AA566" s="3777"/>
      <c r="AB566" s="3777"/>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6">
        <f t="shared" si="327"/>
        <v>0</v>
      </c>
      <c r="H567" s="1256">
        <f t="shared" si="328"/>
        <v>0</v>
      </c>
      <c r="I567" s="3777"/>
      <c r="J567" s="3777"/>
      <c r="K567" s="3777"/>
      <c r="L567" s="3777"/>
      <c r="M567" s="3777"/>
      <c r="N567" s="3777"/>
      <c r="O567" s="3777"/>
      <c r="P567" s="3777"/>
      <c r="Q567" s="3777"/>
      <c r="R567" s="3777"/>
      <c r="S567" s="3777"/>
      <c r="T567" s="3777"/>
      <c r="U567" s="3777"/>
      <c r="V567" s="3777"/>
      <c r="W567" s="3777"/>
      <c r="X567" s="3777"/>
      <c r="Y567" s="3777"/>
      <c r="Z567" s="3777"/>
      <c r="AA567" s="3777"/>
      <c r="AB567" s="3777"/>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6">
        <f t="shared" si="327"/>
        <v>0</v>
      </c>
      <c r="H568" s="1256">
        <f t="shared" si="328"/>
        <v>0</v>
      </c>
      <c r="I568" s="3777"/>
      <c r="J568" s="3777"/>
      <c r="K568" s="3777"/>
      <c r="L568" s="3777"/>
      <c r="M568" s="3777"/>
      <c r="N568" s="3777"/>
      <c r="O568" s="3777"/>
      <c r="P568" s="3777"/>
      <c r="Q568" s="3777"/>
      <c r="R568" s="3777"/>
      <c r="S568" s="3777"/>
      <c r="T568" s="3777"/>
      <c r="U568" s="3777"/>
      <c r="V568" s="3777"/>
      <c r="W568" s="3777"/>
      <c r="X568" s="3777"/>
      <c r="Y568" s="3777"/>
      <c r="Z568" s="3777"/>
      <c r="AA568" s="3777"/>
      <c r="AB568" s="3777"/>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6">
        <f t="shared" si="327"/>
        <v>0</v>
      </c>
      <c r="H569" s="1256">
        <f t="shared" si="328"/>
        <v>0</v>
      </c>
      <c r="I569" s="3777"/>
      <c r="J569" s="3777"/>
      <c r="K569" s="3777"/>
      <c r="L569" s="3777"/>
      <c r="M569" s="3777"/>
      <c r="N569" s="3777"/>
      <c r="O569" s="3777"/>
      <c r="P569" s="3777"/>
      <c r="Q569" s="3777"/>
      <c r="R569" s="3777"/>
      <c r="S569" s="3777"/>
      <c r="T569" s="3777"/>
      <c r="U569" s="3777"/>
      <c r="V569" s="3777"/>
      <c r="W569" s="3777"/>
      <c r="X569" s="3777"/>
      <c r="Y569" s="3777"/>
      <c r="Z569" s="3777"/>
      <c r="AA569" s="3777"/>
      <c r="AB569" s="3777"/>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6">
        <f t="shared" si="327"/>
        <v>0</v>
      </c>
      <c r="H570" s="1256">
        <f t="shared" si="328"/>
        <v>0</v>
      </c>
      <c r="I570" s="3777"/>
      <c r="J570" s="3777"/>
      <c r="K570" s="3777"/>
      <c r="L570" s="3777"/>
      <c r="M570" s="3777"/>
      <c r="N570" s="3777"/>
      <c r="O570" s="3777"/>
      <c r="P570" s="3777"/>
      <c r="Q570" s="3777"/>
      <c r="R570" s="3777"/>
      <c r="S570" s="3777"/>
      <c r="T570" s="3777"/>
      <c r="U570" s="3777"/>
      <c r="V570" s="3777"/>
      <c r="W570" s="3777"/>
      <c r="X570" s="3777"/>
      <c r="Y570" s="3777"/>
      <c r="Z570" s="3777"/>
      <c r="AA570" s="3777"/>
      <c r="AB570" s="3777"/>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6">
        <f t="shared" si="327"/>
        <v>0</v>
      </c>
      <c r="H571" s="1256">
        <f t="shared" si="328"/>
        <v>0</v>
      </c>
      <c r="I571" s="3777"/>
      <c r="J571" s="3777"/>
      <c r="K571" s="3777"/>
      <c r="L571" s="3777"/>
      <c r="M571" s="3777"/>
      <c r="N571" s="3777"/>
      <c r="O571" s="3777"/>
      <c r="P571" s="3777"/>
      <c r="Q571" s="3777"/>
      <c r="R571" s="3777"/>
      <c r="S571" s="3777"/>
      <c r="T571" s="3777"/>
      <c r="U571" s="3777"/>
      <c r="V571" s="3777"/>
      <c r="W571" s="3777"/>
      <c r="X571" s="3777"/>
      <c r="Y571" s="3777"/>
      <c r="Z571" s="3777"/>
      <c r="AA571" s="3777"/>
      <c r="AB571" s="3777"/>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6">
        <f t="shared" si="327"/>
        <v>0</v>
      </c>
      <c r="H572" s="1256">
        <f t="shared" si="328"/>
        <v>0</v>
      </c>
      <c r="I572" s="3777"/>
      <c r="J572" s="3777"/>
      <c r="K572" s="3777"/>
      <c r="L572" s="3777"/>
      <c r="M572" s="3777"/>
      <c r="N572" s="3777"/>
      <c r="O572" s="3777"/>
      <c r="P572" s="3777"/>
      <c r="Q572" s="3777"/>
      <c r="R572" s="3777"/>
      <c r="S572" s="3777"/>
      <c r="T572" s="3777"/>
      <c r="U572" s="3777"/>
      <c r="V572" s="3777"/>
      <c r="W572" s="3777"/>
      <c r="X572" s="3777"/>
      <c r="Y572" s="3777"/>
      <c r="Z572" s="3777"/>
      <c r="AA572" s="3777"/>
      <c r="AB572" s="3777"/>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6">
        <f t="shared" si="327"/>
        <v>0</v>
      </c>
      <c r="H573" s="1256">
        <f t="shared" si="328"/>
        <v>0</v>
      </c>
      <c r="I573" s="3777"/>
      <c r="J573" s="3777"/>
      <c r="K573" s="3777"/>
      <c r="L573" s="3777"/>
      <c r="M573" s="3777"/>
      <c r="N573" s="3777"/>
      <c r="O573" s="3777"/>
      <c r="P573" s="3777"/>
      <c r="Q573" s="3777"/>
      <c r="R573" s="3777"/>
      <c r="S573" s="3777"/>
      <c r="T573" s="3777"/>
      <c r="U573" s="3777"/>
      <c r="V573" s="3777"/>
      <c r="W573" s="3777"/>
      <c r="X573" s="3777"/>
      <c r="Y573" s="3777"/>
      <c r="Z573" s="3777"/>
      <c r="AA573" s="3777"/>
      <c r="AB573" s="3777"/>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6">
        <f t="shared" si="327"/>
        <v>0</v>
      </c>
      <c r="H574" s="1256">
        <f t="shared" si="328"/>
        <v>0</v>
      </c>
      <c r="I574" s="3777"/>
      <c r="J574" s="3777"/>
      <c r="K574" s="3777"/>
      <c r="L574" s="3777"/>
      <c r="M574" s="3777"/>
      <c r="N574" s="3777"/>
      <c r="O574" s="3777"/>
      <c r="P574" s="3777"/>
      <c r="Q574" s="3777"/>
      <c r="R574" s="3777"/>
      <c r="S574" s="3777"/>
      <c r="T574" s="3777"/>
      <c r="U574" s="3777"/>
      <c r="V574" s="3777"/>
      <c r="W574" s="3777"/>
      <c r="X574" s="3777"/>
      <c r="Y574" s="3777"/>
      <c r="Z574" s="3777"/>
      <c r="AA574" s="3777"/>
      <c r="AB574" s="3777"/>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6">
        <f t="shared" si="327"/>
        <v>0</v>
      </c>
      <c r="H575" s="1256">
        <f t="shared" si="328"/>
        <v>0</v>
      </c>
      <c r="I575" s="3777"/>
      <c r="J575" s="3777"/>
      <c r="K575" s="3777"/>
      <c r="L575" s="3777"/>
      <c r="M575" s="3777"/>
      <c r="N575" s="3777"/>
      <c r="O575" s="3777"/>
      <c r="P575" s="3777"/>
      <c r="Q575" s="3777"/>
      <c r="R575" s="3777"/>
      <c r="S575" s="3777"/>
      <c r="T575" s="3777"/>
      <c r="U575" s="3777"/>
      <c r="V575" s="3777"/>
      <c r="W575" s="3777"/>
      <c r="X575" s="3777"/>
      <c r="Y575" s="3777"/>
      <c r="Z575" s="3777"/>
      <c r="AA575" s="3777"/>
      <c r="AB575" s="3777"/>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6">
        <f t="shared" si="327"/>
        <v>0</v>
      </c>
      <c r="H576" s="1256">
        <f t="shared" si="328"/>
        <v>0</v>
      </c>
      <c r="I576" s="3777"/>
      <c r="J576" s="3777"/>
      <c r="K576" s="3777"/>
      <c r="L576" s="3777"/>
      <c r="M576" s="3777"/>
      <c r="N576" s="3777"/>
      <c r="O576" s="3777"/>
      <c r="P576" s="3777"/>
      <c r="Q576" s="3777"/>
      <c r="R576" s="3777"/>
      <c r="S576" s="3777"/>
      <c r="T576" s="3777"/>
      <c r="U576" s="3777"/>
      <c r="V576" s="3777"/>
      <c r="W576" s="3777"/>
      <c r="X576" s="3777"/>
      <c r="Y576" s="3777"/>
      <c r="Z576" s="3777"/>
      <c r="AA576" s="3777"/>
      <c r="AB576" s="3777"/>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6">
        <f t="shared" si="327"/>
        <v>0</v>
      </c>
      <c r="H577" s="1256">
        <f t="shared" si="328"/>
        <v>0</v>
      </c>
      <c r="I577" s="3777"/>
      <c r="J577" s="3777"/>
      <c r="K577" s="3777"/>
      <c r="L577" s="3777"/>
      <c r="M577" s="3777"/>
      <c r="N577" s="3777"/>
      <c r="O577" s="3777"/>
      <c r="P577" s="3777"/>
      <c r="Q577" s="3777"/>
      <c r="R577" s="3777"/>
      <c r="S577" s="3777"/>
      <c r="T577" s="3777"/>
      <c r="U577" s="3777"/>
      <c r="V577" s="3777"/>
      <c r="W577" s="3777"/>
      <c r="X577" s="3777"/>
      <c r="Y577" s="3777"/>
      <c r="Z577" s="3777"/>
      <c r="AA577" s="3777"/>
      <c r="AB577" s="3777"/>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6">
        <f t="shared" si="327"/>
        <v>0</v>
      </c>
      <c r="H578" s="1256">
        <f t="shared" si="328"/>
        <v>0</v>
      </c>
      <c r="I578" s="3777"/>
      <c r="J578" s="3777"/>
      <c r="K578" s="3777"/>
      <c r="L578" s="3777"/>
      <c r="M578" s="3777"/>
      <c r="N578" s="3777"/>
      <c r="O578" s="3777"/>
      <c r="P578" s="3777"/>
      <c r="Q578" s="3777"/>
      <c r="R578" s="3777"/>
      <c r="S578" s="3777"/>
      <c r="T578" s="3777"/>
      <c r="U578" s="3777"/>
      <c r="V578" s="3777"/>
      <c r="W578" s="3777"/>
      <c r="X578" s="3777"/>
      <c r="Y578" s="3777"/>
      <c r="Z578" s="3777"/>
      <c r="AA578" s="3777"/>
      <c r="AB578" s="3777"/>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6">
        <f t="shared" si="327"/>
        <v>0</v>
      </c>
      <c r="H579" s="1256">
        <f t="shared" si="328"/>
        <v>0</v>
      </c>
      <c r="I579" s="3777"/>
      <c r="J579" s="3777"/>
      <c r="K579" s="3777"/>
      <c r="L579" s="3777"/>
      <c r="M579" s="3777"/>
      <c r="N579" s="3777"/>
      <c r="O579" s="3777"/>
      <c r="P579" s="3777"/>
      <c r="Q579" s="3777"/>
      <c r="R579" s="3777"/>
      <c r="S579" s="3777"/>
      <c r="T579" s="3777"/>
      <c r="U579" s="3777"/>
      <c r="V579" s="3777"/>
      <c r="W579" s="3777"/>
      <c r="X579" s="3777"/>
      <c r="Y579" s="3777"/>
      <c r="Z579" s="3777"/>
      <c r="AA579" s="3777"/>
      <c r="AB579" s="3777"/>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6">
        <f t="shared" si="327"/>
        <v>0</v>
      </c>
      <c r="H580" s="1256">
        <f t="shared" si="328"/>
        <v>0</v>
      </c>
      <c r="I580" s="3777"/>
      <c r="J580" s="3777"/>
      <c r="K580" s="3777"/>
      <c r="L580" s="3777"/>
      <c r="M580" s="3777"/>
      <c r="N580" s="3777"/>
      <c r="O580" s="3777"/>
      <c r="P580" s="3777"/>
      <c r="Q580" s="3777"/>
      <c r="R580" s="3777"/>
      <c r="S580" s="3777"/>
      <c r="T580" s="3777"/>
      <c r="U580" s="3777"/>
      <c r="V580" s="3777"/>
      <c r="W580" s="3777"/>
      <c r="X580" s="3777"/>
      <c r="Y580" s="3777"/>
      <c r="Z580" s="3777"/>
      <c r="AA580" s="3777"/>
      <c r="AB580" s="3777"/>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6">
        <f t="shared" si="327"/>
        <v>0</v>
      </c>
      <c r="H581" s="1256">
        <f t="shared" si="328"/>
        <v>0</v>
      </c>
      <c r="I581" s="3777"/>
      <c r="J581" s="3777"/>
      <c r="K581" s="3777"/>
      <c r="L581" s="3777"/>
      <c r="M581" s="3777"/>
      <c r="N581" s="3777"/>
      <c r="O581" s="3777"/>
      <c r="P581" s="3777"/>
      <c r="Q581" s="3777"/>
      <c r="R581" s="3777"/>
      <c r="S581" s="3777"/>
      <c r="T581" s="3777"/>
      <c r="U581" s="3777"/>
      <c r="V581" s="3777"/>
      <c r="W581" s="3777"/>
      <c r="X581" s="3777"/>
      <c r="Y581" s="3777"/>
      <c r="Z581" s="3777"/>
      <c r="AA581" s="3777"/>
      <c r="AB581" s="3777"/>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6">
        <f t="shared" si="327"/>
        <v>0</v>
      </c>
      <c r="H582" s="1256">
        <f t="shared" si="328"/>
        <v>0</v>
      </c>
      <c r="I582" s="3777"/>
      <c r="J582" s="3777"/>
      <c r="K582" s="3777"/>
      <c r="L582" s="3777"/>
      <c r="M582" s="3777"/>
      <c r="N582" s="3777"/>
      <c r="O582" s="3777"/>
      <c r="P582" s="3777"/>
      <c r="Q582" s="3777"/>
      <c r="R582" s="3777"/>
      <c r="S582" s="3777"/>
      <c r="T582" s="3777"/>
      <c r="U582" s="3777"/>
      <c r="V582" s="3777"/>
      <c r="W582" s="3777"/>
      <c r="X582" s="3777"/>
      <c r="Y582" s="3777"/>
      <c r="Z582" s="3777"/>
      <c r="AA582" s="3777"/>
      <c r="AB582" s="3777"/>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6">
        <f t="shared" si="327"/>
        <v>0</v>
      </c>
      <c r="H583" s="1256">
        <f t="shared" si="328"/>
        <v>0</v>
      </c>
      <c r="I583" s="3777"/>
      <c r="J583" s="3777"/>
      <c r="K583" s="3777"/>
      <c r="L583" s="3777"/>
      <c r="M583" s="3777"/>
      <c r="N583" s="3777"/>
      <c r="O583" s="3777"/>
      <c r="P583" s="3777"/>
      <c r="Q583" s="3777"/>
      <c r="R583" s="3777"/>
      <c r="S583" s="3777"/>
      <c r="T583" s="3777"/>
      <c r="U583" s="3777"/>
      <c r="V583" s="3777"/>
      <c r="W583" s="3777"/>
      <c r="X583" s="3777"/>
      <c r="Y583" s="3777"/>
      <c r="Z583" s="3777"/>
      <c r="AA583" s="3777"/>
      <c r="AB583" s="3777"/>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6">
        <f t="shared" si="327"/>
        <v>0</v>
      </c>
      <c r="H584" s="1256">
        <f t="shared" si="328"/>
        <v>0</v>
      </c>
      <c r="I584" s="3777"/>
      <c r="J584" s="3777"/>
      <c r="K584" s="3777"/>
      <c r="L584" s="3777"/>
      <c r="M584" s="3777"/>
      <c r="N584" s="3777"/>
      <c r="O584" s="3777"/>
      <c r="P584" s="3777"/>
      <c r="Q584" s="3777"/>
      <c r="R584" s="3777"/>
      <c r="S584" s="3777"/>
      <c r="T584" s="3777"/>
      <c r="U584" s="3777"/>
      <c r="V584" s="3777"/>
      <c r="W584" s="3777"/>
      <c r="X584" s="3777"/>
      <c r="Y584" s="3777"/>
      <c r="Z584" s="3777"/>
      <c r="AA584" s="3777"/>
      <c r="AB584" s="3777"/>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6">
        <f>H585+AC585+AT585</f>
        <v>0</v>
      </c>
      <c r="H585" s="1256">
        <f>SUMIF(I$12:AB$12,"总值",I585:AB585)</f>
        <v>0</v>
      </c>
      <c r="I585" s="3777"/>
      <c r="J585" s="3777"/>
      <c r="K585" s="3777"/>
      <c r="L585" s="3777"/>
      <c r="M585" s="3777"/>
      <c r="N585" s="3777"/>
      <c r="O585" s="3777"/>
      <c r="P585" s="3777"/>
      <c r="Q585" s="3777"/>
      <c r="R585" s="3777"/>
      <c r="S585" s="3777"/>
      <c r="T585" s="3777"/>
      <c r="U585" s="3777"/>
      <c r="V585" s="3777"/>
      <c r="W585" s="3777"/>
      <c r="X585" s="3777"/>
      <c r="Y585" s="3777"/>
      <c r="Z585" s="3777"/>
      <c r="AA585" s="3777"/>
      <c r="AB585" s="3777"/>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6">
        <f>H586+AC586+AT586</f>
        <v>0</v>
      </c>
      <c r="H586" s="1256">
        <f>SUMIF(I$12:AB$12,"总值",I586:AB586)</f>
        <v>0</v>
      </c>
      <c r="I586" s="3777"/>
      <c r="J586" s="3777"/>
      <c r="K586" s="3777"/>
      <c r="L586" s="3777"/>
      <c r="M586" s="3777"/>
      <c r="N586" s="3777"/>
      <c r="O586" s="3777"/>
      <c r="P586" s="3777"/>
      <c r="Q586" s="3777"/>
      <c r="R586" s="3777"/>
      <c r="S586" s="3777"/>
      <c r="T586" s="3777"/>
      <c r="U586" s="3777"/>
      <c r="V586" s="3777"/>
      <c r="W586" s="3777"/>
      <c r="X586" s="3777"/>
      <c r="Y586" s="3777"/>
      <c r="Z586" s="3777"/>
      <c r="AA586" s="3777"/>
      <c r="AB586" s="3777"/>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6">
        <f>H587+AC587+AT587</f>
        <v>0</v>
      </c>
      <c r="H587" s="1256">
        <f>SUMIF(I$12:AB$12,"总值",I587:AB587)</f>
        <v>0</v>
      </c>
      <c r="I587" s="3777"/>
      <c r="J587" s="3777"/>
      <c r="K587" s="3777"/>
      <c r="L587" s="3777"/>
      <c r="M587" s="3777"/>
      <c r="N587" s="3777"/>
      <c r="O587" s="3777"/>
      <c r="P587" s="3777"/>
      <c r="Q587" s="3777"/>
      <c r="R587" s="3777"/>
      <c r="S587" s="3777"/>
      <c r="T587" s="3777"/>
      <c r="U587" s="3777"/>
      <c r="V587" s="3777"/>
      <c r="W587" s="3777"/>
      <c r="X587" s="3777"/>
      <c r="Y587" s="3777"/>
      <c r="Z587" s="3777"/>
      <c r="AA587" s="3777"/>
      <c r="AB587" s="3777"/>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I10" sqref="I10"/>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55" t="s">
        <v>1114</v>
      </c>
      <c r="B2" s="4355"/>
      <c r="C2" s="4355"/>
      <c r="D2" s="520" t="s">
        <v>1090</v>
      </c>
      <c r="E2" s="1162" t="s">
        <v>1091</v>
      </c>
      <c r="F2" s="1928"/>
      <c r="G2" s="1922"/>
      <c r="H2" s="1923"/>
      <c r="I2" s="1694" t="s">
        <v>1115</v>
      </c>
      <c r="J2" s="1928"/>
      <c r="K2" s="1928"/>
      <c r="L2" s="1928"/>
      <c r="M2" s="1928"/>
      <c r="N2" s="1929"/>
      <c r="O2" s="1928"/>
      <c r="P2" s="1928"/>
    </row>
    <row r="3" spans="1:16" ht="15.75" thickBot="1">
      <c r="A3" s="4356" t="s">
        <v>1088</v>
      </c>
      <c r="B3" s="4356"/>
      <c r="C3" s="4356"/>
      <c r="D3" s="3799">
        <f>'数据-基础表'!AY6</f>
        <v>0</v>
      </c>
      <c r="E3" s="3799">
        <f>'数据-基础表'!AZ5</f>
        <v>138.79</v>
      </c>
      <c r="F3" s="1928"/>
      <c r="G3" s="24"/>
      <c r="H3" s="25" t="s">
        <v>1089</v>
      </c>
      <c r="I3" s="2593" t="e">
        <f>ROUND('数据-基础表'!B3/'数据-基础表'!A3,2)</f>
        <v>#DIV/0!</v>
      </c>
      <c r="J3" s="1928"/>
      <c r="K3" s="1928"/>
      <c r="L3" s="1928"/>
      <c r="M3" s="1928"/>
      <c r="N3" s="1929"/>
      <c r="O3" s="1928"/>
      <c r="P3" s="1928"/>
    </row>
    <row r="4" spans="1:16" ht="15">
      <c r="A4" s="4357"/>
      <c r="B4" s="4358"/>
      <c r="C4" s="4359"/>
      <c r="D4" s="1164" t="s">
        <v>1090</v>
      </c>
      <c r="E4" s="1165"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60" t="s">
        <v>1093</v>
      </c>
      <c r="C5" s="4360"/>
      <c r="D5" s="3781">
        <f>ROUND($D$3*E5/$E$3,2)</f>
        <v>0</v>
      </c>
      <c r="E5" s="3671">
        <f>SUMIF('数据-基础表'!$11:$11,"住宅",'数据-基础表'!$5:$5)</f>
        <v>0</v>
      </c>
      <c r="F5" s="1928"/>
      <c r="G5" s="24"/>
      <c r="H5" s="25" t="s">
        <v>1089</v>
      </c>
      <c r="I5" s="2593" t="e">
        <f>ROUND(E31/D31,2)</f>
        <v>#DIV/0!</v>
      </c>
      <c r="J5" s="1928"/>
      <c r="K5" s="1928"/>
      <c r="L5" s="1928"/>
      <c r="M5" s="1928"/>
      <c r="N5" s="1928"/>
      <c r="O5" s="1928"/>
      <c r="P5" s="1928"/>
    </row>
    <row r="6" spans="1:16" ht="15" thickBot="1">
      <c r="A6" s="1167"/>
      <c r="B6" s="4360" t="s">
        <v>1094</v>
      </c>
      <c r="C6" s="4360"/>
      <c r="D6" s="3781">
        <f>ROUND($D$3*E6/$E$3,2)</f>
        <v>0</v>
      </c>
      <c r="E6" s="3671">
        <f>E3-E5</f>
        <v>138.79</v>
      </c>
      <c r="F6" s="1928"/>
      <c r="G6" s="1169" t="s">
        <v>1095</v>
      </c>
      <c r="H6" s="26" t="s">
        <v>1096</v>
      </c>
      <c r="I6" s="2594" t="e">
        <f>ROUND(F31/D31,2)</f>
        <v>#DIV/0!</v>
      </c>
      <c r="J6" s="1928"/>
      <c r="K6" s="1928"/>
      <c r="L6" s="1928"/>
      <c r="M6" s="1928"/>
      <c r="N6" s="1928"/>
      <c r="O6" s="1928"/>
      <c r="P6" s="1928"/>
    </row>
    <row r="7" spans="1:16" ht="15.75" thickBot="1">
      <c r="A7" s="4352"/>
      <c r="B7" s="4353"/>
      <c r="C7" s="4354"/>
      <c r="D7" s="1164" t="s">
        <v>1090</v>
      </c>
      <c r="E7" s="1168" t="s">
        <v>1097</v>
      </c>
      <c r="F7" s="1928"/>
      <c r="G7" s="1925" t="s">
        <v>1098</v>
      </c>
      <c r="H7" s="1926"/>
      <c r="I7" s="2595">
        <v>5.99</v>
      </c>
      <c r="J7" s="1928"/>
      <c r="K7" s="1928"/>
      <c r="L7" s="1928"/>
      <c r="M7" s="1928"/>
      <c r="N7" s="1928"/>
      <c r="O7" s="1928"/>
      <c r="P7" s="1928"/>
    </row>
    <row r="8" spans="1:16">
      <c r="A8" s="24" t="s">
        <v>1099</v>
      </c>
      <c r="B8" s="26" t="s">
        <v>1100</v>
      </c>
      <c r="C8" s="25" t="s">
        <v>1101</v>
      </c>
      <c r="D8" s="3781">
        <f t="shared" ref="D8:D15" si="0">ROUND($D$3*E8/$E$3,2)</f>
        <v>0</v>
      </c>
      <c r="E8" s="3671">
        <f>SUMIF('数据-基础表'!BB10:BK10,"地上",'数据-基础表'!BB5:BK5)</f>
        <v>0</v>
      </c>
      <c r="F8" s="1928"/>
      <c r="G8" s="1928"/>
      <c r="H8" s="1928"/>
      <c r="I8" s="1928"/>
      <c r="J8" s="1928"/>
      <c r="K8" s="1928"/>
      <c r="L8" s="1928"/>
      <c r="M8" s="1928"/>
      <c r="N8" s="1928"/>
      <c r="O8" s="1928"/>
      <c r="P8" s="1928"/>
    </row>
    <row r="9" spans="1:16">
      <c r="A9" s="1169"/>
      <c r="B9" s="1170"/>
      <c r="C9" s="25" t="s">
        <v>1102</v>
      </c>
      <c r="D9" s="3781">
        <f t="shared" si="0"/>
        <v>0</v>
      </c>
      <c r="E9" s="3800"/>
      <c r="F9" s="1928"/>
      <c r="G9" s="1928"/>
      <c r="H9" s="1928"/>
      <c r="I9" s="1928"/>
      <c r="J9" s="1928"/>
      <c r="K9" s="1928"/>
      <c r="L9" s="1928"/>
      <c r="M9" s="1928"/>
      <c r="N9" s="1928"/>
      <c r="O9" s="1928"/>
      <c r="P9" s="1928"/>
    </row>
    <row r="10" spans="1:16">
      <c r="A10" s="1169"/>
      <c r="B10" s="1170"/>
      <c r="C10" s="25" t="s">
        <v>1111</v>
      </c>
      <c r="D10" s="3781">
        <f t="shared" si="0"/>
        <v>0</v>
      </c>
      <c r="E10" s="3671">
        <f>SUMPRODUCT(('数据-基础表'!BB10:BK10="地下")*('数据-基础表'!BB11:BK11="商业")*('数据-基础表'!BB5:BK5))</f>
        <v>138.79</v>
      </c>
      <c r="F10" s="1928"/>
      <c r="G10" s="1928"/>
      <c r="H10" s="1928"/>
      <c r="I10" s="1928"/>
      <c r="J10" s="1928"/>
      <c r="K10" s="1928"/>
      <c r="L10" s="1928"/>
      <c r="M10" s="1928"/>
      <c r="N10" s="1928"/>
      <c r="O10" s="1928"/>
      <c r="P10" s="1928"/>
    </row>
    <row r="11" spans="1:16">
      <c r="A11" s="1169"/>
      <c r="B11" s="1170"/>
      <c r="C11" s="25" t="s">
        <v>1103</v>
      </c>
      <c r="D11" s="3781">
        <f t="shared" si="0"/>
        <v>0</v>
      </c>
      <c r="E11" s="3671">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1">
        <f t="shared" si="0"/>
        <v>0</v>
      </c>
      <c r="E12" s="3671">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1">
        <f t="shared" si="0"/>
        <v>0</v>
      </c>
      <c r="E13" s="3671">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1">
        <f t="shared" si="0"/>
        <v>0</v>
      </c>
      <c r="E14" s="3671">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1">
        <f t="shared" si="0"/>
        <v>0</v>
      </c>
      <c r="E15" s="3671">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5">
        <f>SUM(D8:D15)</f>
        <v>0</v>
      </c>
      <c r="E16" s="3791">
        <f>SUM(E8:E15)</f>
        <v>138.79</v>
      </c>
      <c r="F16" s="1928"/>
      <c r="G16" s="1928"/>
      <c r="H16" s="1171" t="s">
        <v>1118</v>
      </c>
      <c r="I16" s="1172"/>
      <c r="J16" s="763"/>
      <c r="K16" s="4349" t="s">
        <v>1118</v>
      </c>
      <c r="L16" s="4350"/>
      <c r="M16" s="4350"/>
      <c r="N16" s="4350"/>
      <c r="O16" s="4350"/>
      <c r="P16" s="4351"/>
    </row>
    <row r="17" spans="1:19" ht="15">
      <c r="A17" s="1173" t="s">
        <v>1119</v>
      </c>
      <c r="B17" s="1174" t="s">
        <v>1120</v>
      </c>
      <c r="C17" s="1175" t="s">
        <v>1121</v>
      </c>
      <c r="D17" s="1176" t="s">
        <v>1109</v>
      </c>
      <c r="E17" s="1177" t="s">
        <v>1110</v>
      </c>
      <c r="F17" s="1178"/>
      <c r="G17" s="1179"/>
      <c r="H17" s="1180" t="s">
        <v>1122</v>
      </c>
      <c r="I17" s="1181" t="s">
        <v>1107</v>
      </c>
      <c r="J17" s="763"/>
      <c r="K17" s="4346" t="s">
        <v>1123</v>
      </c>
      <c r="L17" s="4347"/>
      <c r="M17" s="4348"/>
      <c r="N17" s="4346" t="s">
        <v>1124</v>
      </c>
      <c r="O17" s="4347"/>
      <c r="P17" s="4348"/>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
        <v>4073</v>
      </c>
      <c r="D19" s="3781">
        <f>ROUND($D$3*E19/$E$3,2)</f>
        <v>0</v>
      </c>
      <c r="E19" s="3781">
        <f t="shared" ref="E19:E26" si="1">SUM(F19:G19)</f>
        <v>138.79</v>
      </c>
      <c r="F19" s="3782"/>
      <c r="G19" s="3643">
        <f>'数据-基础表'!I13</f>
        <v>138.79</v>
      </c>
      <c r="H19" s="3783">
        <f>ROUND($D$3*I19/$E$3,2)</f>
        <v>0</v>
      </c>
      <c r="I19" s="3671">
        <f t="shared" ref="I19:I26" si="2">IF($I$17="自定义",P19,M19)</f>
        <v>0</v>
      </c>
      <c r="J19" s="763"/>
      <c r="K19" s="3783">
        <f t="shared" ref="K19:K26" si="3">ROUND(E$28*E19/E$27,2)</f>
        <v>0</v>
      </c>
      <c r="L19" s="3781">
        <f t="shared" ref="L19:L26" si="4">ROUND(IF(COUNTIF(C19,"*住宅*")&gt;0,E$29*E19/E$32,0),2)</f>
        <v>0</v>
      </c>
      <c r="M19" s="3671">
        <f>K19+L19</f>
        <v>0</v>
      </c>
      <c r="N19" s="3795"/>
      <c r="O19" s="3796"/>
      <c r="P19" s="3671">
        <f>N19+O19</f>
        <v>0</v>
      </c>
      <c r="R19" s="3781">
        <f t="shared" ref="R19:S26" si="5">D19+H19</f>
        <v>0</v>
      </c>
      <c r="S19" s="3781">
        <f t="shared" si="5"/>
        <v>138.79</v>
      </c>
    </row>
    <row r="20" spans="1:19">
      <c r="A20" s="1189"/>
      <c r="B20" s="26" t="s">
        <v>1136</v>
      </c>
      <c r="C20" s="2465"/>
      <c r="D20" s="3781">
        <f t="shared" ref="D20:D26" si="6">ROUND($D$3*E20/$E$3,2)</f>
        <v>0</v>
      </c>
      <c r="E20" s="3781">
        <f t="shared" si="1"/>
        <v>0</v>
      </c>
      <c r="F20" s="3782"/>
      <c r="G20" s="3643"/>
      <c r="H20" s="3783">
        <f t="shared" ref="H20:H26" si="7">ROUND($D$3*I20/$E$3,2)</f>
        <v>0</v>
      </c>
      <c r="I20" s="3671">
        <f t="shared" si="2"/>
        <v>0</v>
      </c>
      <c r="J20" s="763"/>
      <c r="K20" s="3783">
        <f t="shared" si="3"/>
        <v>0</v>
      </c>
      <c r="L20" s="3781">
        <f t="shared" si="4"/>
        <v>0</v>
      </c>
      <c r="M20" s="3671">
        <f t="shared" ref="M20:M26" si="8">K20+L20</f>
        <v>0</v>
      </c>
      <c r="N20" s="3795"/>
      <c r="O20" s="3796"/>
      <c r="P20" s="3671">
        <f t="shared" ref="P20:P26" si="9">N20+O20</f>
        <v>0</v>
      </c>
      <c r="R20" s="3781">
        <f t="shared" si="5"/>
        <v>0</v>
      </c>
      <c r="S20" s="3781">
        <f t="shared" si="5"/>
        <v>0</v>
      </c>
    </row>
    <row r="21" spans="1:19">
      <c r="A21" s="1189"/>
      <c r="B21" s="26" t="s">
        <v>1136</v>
      </c>
      <c r="C21" s="2465"/>
      <c r="D21" s="3781">
        <f t="shared" si="6"/>
        <v>0</v>
      </c>
      <c r="E21" s="3781">
        <f t="shared" si="1"/>
        <v>0</v>
      </c>
      <c r="F21" s="3782"/>
      <c r="G21" s="3643"/>
      <c r="H21" s="3783">
        <f t="shared" si="7"/>
        <v>0</v>
      </c>
      <c r="I21" s="3671">
        <f t="shared" si="2"/>
        <v>0</v>
      </c>
      <c r="J21" s="763"/>
      <c r="K21" s="3783">
        <f t="shared" si="3"/>
        <v>0</v>
      </c>
      <c r="L21" s="3781">
        <f t="shared" si="4"/>
        <v>0</v>
      </c>
      <c r="M21" s="3671">
        <f t="shared" si="8"/>
        <v>0</v>
      </c>
      <c r="N21" s="3795"/>
      <c r="O21" s="3796"/>
      <c r="P21" s="3671">
        <f t="shared" si="9"/>
        <v>0</v>
      </c>
      <c r="R21" s="3781">
        <f t="shared" si="5"/>
        <v>0</v>
      </c>
      <c r="S21" s="3781">
        <f t="shared" si="5"/>
        <v>0</v>
      </c>
    </row>
    <row r="22" spans="1:19">
      <c r="A22" s="1189"/>
      <c r="B22" s="26" t="s">
        <v>1136</v>
      </c>
      <c r="C22" s="2466"/>
      <c r="D22" s="3781">
        <f t="shared" si="6"/>
        <v>0</v>
      </c>
      <c r="E22" s="3781">
        <f t="shared" si="1"/>
        <v>0</v>
      </c>
      <c r="F22" s="3784"/>
      <c r="G22" s="3785"/>
      <c r="H22" s="3783">
        <f t="shared" si="7"/>
        <v>0</v>
      </c>
      <c r="I22" s="3671">
        <f t="shared" si="2"/>
        <v>0</v>
      </c>
      <c r="J22" s="763"/>
      <c r="K22" s="3783">
        <f t="shared" si="3"/>
        <v>0</v>
      </c>
      <c r="L22" s="3781">
        <f t="shared" si="4"/>
        <v>0</v>
      </c>
      <c r="M22" s="3671">
        <f t="shared" si="8"/>
        <v>0</v>
      </c>
      <c r="N22" s="3795"/>
      <c r="O22" s="3796"/>
      <c r="P22" s="3671">
        <f t="shared" si="9"/>
        <v>0</v>
      </c>
      <c r="R22" s="3781">
        <f t="shared" si="5"/>
        <v>0</v>
      </c>
      <c r="S22" s="3781">
        <f t="shared" si="5"/>
        <v>0</v>
      </c>
    </row>
    <row r="23" spans="1:19">
      <c r="A23" s="1189"/>
      <c r="B23" s="26" t="s">
        <v>1136</v>
      </c>
      <c r="C23" s="2466"/>
      <c r="D23" s="3781">
        <f>ROUND($D$3*E23/$E$3,2)</f>
        <v>0</v>
      </c>
      <c r="E23" s="3781">
        <f>SUM(F23:G23)</f>
        <v>0</v>
      </c>
      <c r="F23" s="3784"/>
      <c r="G23" s="3785"/>
      <c r="H23" s="3783">
        <f>ROUND($D$3*I23/$E$3,2)</f>
        <v>0</v>
      </c>
      <c r="I23" s="3671">
        <f t="shared" si="2"/>
        <v>0</v>
      </c>
      <c r="J23" s="763"/>
      <c r="K23" s="3783">
        <f t="shared" si="3"/>
        <v>0</v>
      </c>
      <c r="L23" s="3781">
        <f t="shared" si="4"/>
        <v>0</v>
      </c>
      <c r="M23" s="3671">
        <f t="shared" si="8"/>
        <v>0</v>
      </c>
      <c r="N23" s="3795"/>
      <c r="O23" s="3796"/>
      <c r="P23" s="3671">
        <f t="shared" si="9"/>
        <v>0</v>
      </c>
      <c r="R23" s="3781">
        <f t="shared" si="5"/>
        <v>0</v>
      </c>
      <c r="S23" s="3781">
        <f t="shared" si="5"/>
        <v>0</v>
      </c>
    </row>
    <row r="24" spans="1:19">
      <c r="A24" s="1189"/>
      <c r="B24" s="26" t="s">
        <v>1136</v>
      </c>
      <c r="C24" s="2466"/>
      <c r="D24" s="3781">
        <f>ROUND($D$3*E24/$E$3,2)</f>
        <v>0</v>
      </c>
      <c r="E24" s="3781">
        <f>SUM(F24:G24)</f>
        <v>0</v>
      </c>
      <c r="F24" s="3784"/>
      <c r="G24" s="3785"/>
      <c r="H24" s="3783">
        <f>ROUND($D$3*I24/$E$3,2)</f>
        <v>0</v>
      </c>
      <c r="I24" s="3671">
        <f t="shared" si="2"/>
        <v>0</v>
      </c>
      <c r="J24" s="763"/>
      <c r="K24" s="3783">
        <f t="shared" si="3"/>
        <v>0</v>
      </c>
      <c r="L24" s="3781">
        <f t="shared" si="4"/>
        <v>0</v>
      </c>
      <c r="M24" s="3671">
        <f t="shared" si="8"/>
        <v>0</v>
      </c>
      <c r="N24" s="3795"/>
      <c r="O24" s="3796"/>
      <c r="P24" s="3671">
        <f t="shared" si="9"/>
        <v>0</v>
      </c>
      <c r="R24" s="3781">
        <f t="shared" si="5"/>
        <v>0</v>
      </c>
      <c r="S24" s="3781">
        <f t="shared" si="5"/>
        <v>0</v>
      </c>
    </row>
    <row r="25" spans="1:19">
      <c r="A25" s="1189"/>
      <c r="B25" s="26" t="s">
        <v>1136</v>
      </c>
      <c r="C25" s="2466"/>
      <c r="D25" s="3781">
        <f t="shared" si="6"/>
        <v>0</v>
      </c>
      <c r="E25" s="3781">
        <f t="shared" si="1"/>
        <v>0</v>
      </c>
      <c r="F25" s="3784"/>
      <c r="G25" s="3785"/>
      <c r="H25" s="3786">
        <f t="shared" si="7"/>
        <v>0</v>
      </c>
      <c r="I25" s="3671">
        <f t="shared" si="2"/>
        <v>0</v>
      </c>
      <c r="J25" s="763"/>
      <c r="K25" s="3783">
        <f t="shared" si="3"/>
        <v>0</v>
      </c>
      <c r="L25" s="3781">
        <f t="shared" si="4"/>
        <v>0</v>
      </c>
      <c r="M25" s="3671">
        <f t="shared" si="8"/>
        <v>0</v>
      </c>
      <c r="N25" s="3795"/>
      <c r="O25" s="3796"/>
      <c r="P25" s="3671">
        <f t="shared" si="9"/>
        <v>0</v>
      </c>
      <c r="R25" s="3781">
        <f t="shared" si="5"/>
        <v>0</v>
      </c>
      <c r="S25" s="3781">
        <f t="shared" si="5"/>
        <v>0</v>
      </c>
    </row>
    <row r="26" spans="1:19">
      <c r="A26" s="1189"/>
      <c r="B26" s="26" t="s">
        <v>1136</v>
      </c>
      <c r="C26" s="29"/>
      <c r="D26" s="3781">
        <f t="shared" si="6"/>
        <v>0</v>
      </c>
      <c r="E26" s="3781">
        <f t="shared" si="1"/>
        <v>0</v>
      </c>
      <c r="F26" s="3784"/>
      <c r="G26" s="3785"/>
      <c r="H26" s="3786">
        <f t="shared" si="7"/>
        <v>0</v>
      </c>
      <c r="I26" s="3671">
        <f t="shared" si="2"/>
        <v>0</v>
      </c>
      <c r="J26" s="763"/>
      <c r="K26" s="3786">
        <f t="shared" si="3"/>
        <v>0</v>
      </c>
      <c r="L26" s="3625">
        <f t="shared" si="4"/>
        <v>0</v>
      </c>
      <c r="M26" s="3791">
        <f t="shared" si="8"/>
        <v>0</v>
      </c>
      <c r="N26" s="3797"/>
      <c r="O26" s="3798"/>
      <c r="P26" s="3791">
        <f t="shared" si="9"/>
        <v>0</v>
      </c>
      <c r="R26" s="3781">
        <f t="shared" si="5"/>
        <v>0</v>
      </c>
      <c r="S26" s="3781">
        <f t="shared" si="5"/>
        <v>0</v>
      </c>
    </row>
    <row r="27" spans="1:19" ht="15.75" thickBot="1">
      <c r="A27" s="1189"/>
      <c r="B27" s="25"/>
      <c r="C27" s="1190" t="s">
        <v>1137</v>
      </c>
      <c r="D27" s="172">
        <f>SUM(D19:D26)</f>
        <v>0</v>
      </c>
      <c r="E27" s="172">
        <f>IF(SUM(E19:E26)='数据-基础表'!BA5,SUM(E19:E26),IF(F27="地上面积有误","面积有误","地下面积有误"))</f>
        <v>138.79</v>
      </c>
      <c r="F27" s="172">
        <f>IF(SUM(F19:F26)=E8,SUM(F19:F26),"地上面积有误")</f>
        <v>0</v>
      </c>
      <c r="G27" s="3669">
        <f>SUM(G19:G26)</f>
        <v>138.79</v>
      </c>
      <c r="H27" s="3787">
        <f>SUM(H19:H26)</f>
        <v>0</v>
      </c>
      <c r="I27" s="3788">
        <f>SUM(I19:I26)</f>
        <v>0</v>
      </c>
      <c r="J27" s="763"/>
      <c r="K27" s="3787">
        <f>SUM(K19:K26)</f>
        <v>0</v>
      </c>
      <c r="L27" s="3793">
        <f>SUM(L19:L26)</f>
        <v>0</v>
      </c>
      <c r="M27" s="3794">
        <f>SUM(M19:M26)</f>
        <v>0</v>
      </c>
      <c r="N27" s="3787">
        <f t="shared" ref="N27:O27" si="10">SUM(N19:N26)</f>
        <v>0</v>
      </c>
      <c r="O27" s="3793">
        <f t="shared" si="10"/>
        <v>0</v>
      </c>
      <c r="P27" s="3631">
        <f>SUM(P19:P26)</f>
        <v>0</v>
      </c>
      <c r="R27" s="679">
        <f>IF(SUM(R19:R26)=$D$3,SUM(R19:R26),SUM(R19:R26)&amp;"误差"&amp;ROUND(SUM(R19:R26)-$D$3,2))</f>
        <v>0</v>
      </c>
      <c r="S27" s="3781">
        <f>IF(SUM(S19:S26)=$E$3,SUM(S19:S26),SUM(S19:S26)&amp;"误差"&amp;ROUND(SUM(S19:S26)-E3,2))</f>
        <v>138.79</v>
      </c>
    </row>
    <row r="28" spans="1:19">
      <c r="A28" s="1189"/>
      <c r="B28" s="26" t="s">
        <v>1138</v>
      </c>
      <c r="C28" s="30" t="s">
        <v>1139</v>
      </c>
      <c r="D28" s="3781">
        <f>ROUND($D$3*E28/$E$3,2)</f>
        <v>0</v>
      </c>
      <c r="E28" s="3781">
        <f>SUM(F28:G28)</f>
        <v>0</v>
      </c>
      <c r="F28" s="3542">
        <f>'数据-基础表'!BQ5+'数据-基础表'!BS5</f>
        <v>0</v>
      </c>
      <c r="G28" s="3789">
        <f>'数据-基础表'!BR5+'数据-基础表'!BT5</f>
        <v>0</v>
      </c>
      <c r="H28" s="1928"/>
      <c r="I28" s="1928"/>
      <c r="J28" s="1928"/>
      <c r="K28" s="1928"/>
      <c r="L28" s="1928"/>
      <c r="M28" s="1928"/>
      <c r="N28" s="1928"/>
      <c r="O28" s="1928"/>
      <c r="P28" s="1928"/>
    </row>
    <row r="29" spans="1:19">
      <c r="A29" s="1189"/>
      <c r="B29" s="26" t="s">
        <v>1138</v>
      </c>
      <c r="C29" s="1191" t="s">
        <v>1140</v>
      </c>
      <c r="D29" s="3781">
        <f>ROUND($D$3*E29/$E$3,2)</f>
        <v>0</v>
      </c>
      <c r="E29" s="3781">
        <f>SUM(F29:G29)</f>
        <v>0</v>
      </c>
      <c r="F29" s="3790">
        <f>'数据-基础表'!BM5+'数据-基础表'!BO5</f>
        <v>0</v>
      </c>
      <c r="G29" s="3791">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69">
        <f>SUM(G28:G29)</f>
        <v>0</v>
      </c>
      <c r="H30" s="1928"/>
      <c r="I30" s="1928"/>
      <c r="J30" s="1928"/>
      <c r="K30" s="1928"/>
      <c r="L30" s="1928"/>
      <c r="M30" s="1928"/>
      <c r="N30" s="1928"/>
      <c r="O30" s="1928"/>
      <c r="P30" s="1928"/>
    </row>
    <row r="31" spans="1:19" ht="15.75" thickBot="1">
      <c r="A31" s="1193"/>
      <c r="B31" s="45"/>
      <c r="C31" s="534" t="s">
        <v>1141</v>
      </c>
      <c r="D31" s="3792">
        <f>D27+D30</f>
        <v>0</v>
      </c>
      <c r="E31" s="3792">
        <f>E27+E30</f>
        <v>138.79</v>
      </c>
      <c r="F31" s="3793">
        <f>F27+F30</f>
        <v>0</v>
      </c>
      <c r="G31" s="3794">
        <f>G27+G30</f>
        <v>138.79</v>
      </c>
      <c r="H31" s="1928"/>
      <c r="I31" s="1928"/>
      <c r="J31" s="1928"/>
      <c r="K31" s="1928"/>
      <c r="L31" s="1928"/>
      <c r="M31" s="1928"/>
      <c r="N31" s="1928"/>
      <c r="O31" s="1928"/>
      <c r="P31" s="1928"/>
    </row>
    <row r="32" spans="1:19">
      <c r="A32" s="1166"/>
      <c r="B32" s="1166" t="s">
        <v>1142</v>
      </c>
      <c r="C32" s="1166"/>
      <c r="D32" s="3624"/>
      <c r="E32" s="3624">
        <f>SUMIF(C19:C26,"*住宅*",E19:E26)</f>
        <v>0</v>
      </c>
      <c r="F32" s="3624"/>
      <c r="G32" s="3624"/>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O19" sqref="O19"/>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7"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5" customFormat="1" ht="15.75" thickBot="1">
      <c r="A2" s="1198" t="s">
        <v>1144</v>
      </c>
      <c r="B2" s="689">
        <f>项目基本情况!D3</f>
        <v>46050</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8"/>
      <c r="AP4" s="3318"/>
      <c r="AQ4" s="3318"/>
      <c r="AR4" s="3318"/>
      <c r="AS4" s="3319"/>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4078</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20" t="s">
        <v>1186</v>
      </c>
      <c r="AR5" s="3320" t="s">
        <v>1187</v>
      </c>
      <c r="AS5" s="3321" t="s">
        <v>3597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商业07-2</v>
      </c>
      <c r="B6" s="1222" t="str">
        <f>IF(A6=0,"","经营性")</f>
        <v>经营性</v>
      </c>
      <c r="C6" s="1223" t="s">
        <v>660</v>
      </c>
      <c r="D6" s="3293">
        <f>SUMIF(项目基本情况!C$12:I$12,C6,项目基本情况!C$14:I$14)</f>
        <v>40</v>
      </c>
      <c r="E6" s="547">
        <f>IF(B6="","",SUMIF(项目基本情况!C$12:I$12,C6,项目基本情况!C$13:I$13))</f>
        <v>54660</v>
      </c>
      <c r="F6" s="3295">
        <f>SUMIF(项目基本情况!C$12:I$12,C6,项目基本情况!C$15:I$15)</f>
        <v>23.58</v>
      </c>
      <c r="G6" s="3296">
        <f t="shared" ref="G6:G13" si="0">IF(ISERROR(ROUND(POWER(1+H6,D6-F6)*(POWER(1+H6,F6)-1)/(POWER(1+H6,D6)-1),4)),0,ROUND(POWER(1+H6,D6-F6)*(POWER(1+H6,F6)-1)/(POWER(1+H6,D6)-1),4))</f>
        <v>0.79669999999999996</v>
      </c>
      <c r="H6" s="3297">
        <v>0.05</v>
      </c>
      <c r="I6" s="3297">
        <v>0.06</v>
      </c>
      <c r="J6" s="3298">
        <v>7.0000000000000007E-2</v>
      </c>
      <c r="K6" s="3801">
        <f>SUMIF('数据-汇总表'!C$19:C$33,A6,'数据-汇总表'!E$19:E$33)</f>
        <v>138.79</v>
      </c>
      <c r="L6" s="3802">
        <f>ROUND(4500/1.09,-2)</f>
        <v>4100</v>
      </c>
      <c r="M6" s="3803">
        <f t="shared" ref="M6:M14" si="1">ROUND(K6*L6/10000,0)</f>
        <v>57</v>
      </c>
      <c r="N6" s="3285">
        <f>O20</f>
        <v>0.83</v>
      </c>
      <c r="O6" s="3803" t="str">
        <f>IF($N$5="成新度","——",ROUND(M6*N6,0))</f>
        <v>——</v>
      </c>
      <c r="P6" s="3633" t="str">
        <f>IF($N$5="成新度","——",M6-O6)</f>
        <v>——</v>
      </c>
      <c r="Q6" s="3286">
        <v>0.2</v>
      </c>
      <c r="R6" s="3817">
        <f ca="1">SUMIF('数据-汇总表'!C$19:C$33,A6,'数据-汇总表'!R$19:R$27)</f>
        <v>0</v>
      </c>
      <c r="S6" s="3781">
        <f>IF('数据-汇总表'!$I$17="按面积比例",SUMIF('数据-汇总表'!C$19:C$33,A6,'数据-汇总表'!K$19:K$33),SUMIF('数据-汇总表'!C$19:C$33,A6,'数据-汇总表'!N$19:N$33))</f>
        <v>0</v>
      </c>
      <c r="T6" s="3818">
        <f>ROUND($L$14*S6/10000,0)</f>
        <v>0</v>
      </c>
      <c r="U6" s="3822">
        <f>ROUND('租金比较法-商业'!C50/1.09,2)</f>
        <v>4.59</v>
      </c>
      <c r="V6" s="36">
        <v>0.02</v>
      </c>
      <c r="W6" s="36">
        <v>0.1</v>
      </c>
      <c r="X6" s="684"/>
      <c r="Y6" s="37">
        <f>N6</f>
        <v>0.83</v>
      </c>
      <c r="Z6" s="3827"/>
      <c r="AA6" s="35"/>
      <c r="AB6" s="35"/>
      <c r="AC6" s="684"/>
      <c r="AD6" s="38"/>
      <c r="AE6" s="685">
        <f ca="1">IF(AN6="",0,SUMIF(INDIRECT("'"&amp;AN6&amp;"'"&amp;"!E:E"),$AE$5,INDIRECT("'"&amp;AN6&amp;"'"&amp;"!F:F")))</f>
        <v>23.58</v>
      </c>
      <c r="AF6" s="3829"/>
      <c r="AG6" s="52">
        <f>IF(AF6="",0,AE6-AF6)</f>
        <v>0</v>
      </c>
      <c r="AH6" s="3822"/>
      <c r="AI6" s="3830">
        <v>365</v>
      </c>
      <c r="AJ6" s="3829"/>
      <c r="AK6" s="39">
        <v>2E-3</v>
      </c>
      <c r="AL6" s="40">
        <v>1E-3</v>
      </c>
      <c r="AM6" s="41">
        <v>5.0000000000000001E-3</v>
      </c>
      <c r="AN6" s="1224" t="s">
        <v>4081</v>
      </c>
      <c r="AO6" s="3781">
        <f ca="1">SUMIF(INDIRECT("'"&amp;AN6&amp;"'"&amp;"!A:A"),"总价",INDIRECT("'"&amp;AN6&amp;"'"&amp;"!B:B"))</f>
        <v>296.44799999999998</v>
      </c>
      <c r="AP6" s="3781">
        <f>IF(C6="住宅",K6*L6,0)</f>
        <v>0</v>
      </c>
      <c r="AQ6" s="3781">
        <f>ROUND($L$14*$N$14*S6/10000,0)</f>
        <v>0</v>
      </c>
      <c r="AR6" s="3781">
        <f>ROUND($L$14*(1-$N$14)*S6/10000,0)</f>
        <v>0</v>
      </c>
      <c r="AS6" s="3781">
        <f>ROUND(1-1/(1+H6)^F6,3)</f>
        <v>0.68400000000000005</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3">
        <f>SUMIF(项目基本情况!C$12:I$12,C7,项目基本情况!C$14:I$14)</f>
        <v>0</v>
      </c>
      <c r="E7" s="547" t="str">
        <f>IF(B7="","",SUMIF(项目基本情况!C$12:I$12,C7,项目基本情况!C$13:I$13))</f>
        <v/>
      </c>
      <c r="F7" s="3295">
        <f>SUMIF(项目基本情况!C$12:I$12,C7,项目基本情况!C$15:I$15)</f>
        <v>0</v>
      </c>
      <c r="G7" s="3296">
        <f t="shared" si="0"/>
        <v>0</v>
      </c>
      <c r="H7" s="3297"/>
      <c r="I7" s="3297"/>
      <c r="J7" s="3298"/>
      <c r="K7" s="3801">
        <f>SUMIF('数据-汇总表'!C$19:C$33,A7,'数据-汇总表'!E$19:E$33)</f>
        <v>0</v>
      </c>
      <c r="L7" s="3802"/>
      <c r="M7" s="3803">
        <f t="shared" si="1"/>
        <v>0</v>
      </c>
      <c r="N7" s="3285"/>
      <c r="O7" s="3803" t="str">
        <f t="shared" ref="O7:O14" si="3">IF($N$5="成新度","——",ROUND(M7*N7,0))</f>
        <v>——</v>
      </c>
      <c r="P7" s="3633" t="str">
        <f t="shared" ref="P7:P14" si="4">IF($N$5="成新度","——",M7-O7)</f>
        <v>——</v>
      </c>
      <c r="Q7" s="3286"/>
      <c r="R7" s="3817">
        <f ca="1">SUMIF('数据-汇总表'!C$19:C$33,A7,'数据-汇总表'!R$19:R$27)</f>
        <v>0</v>
      </c>
      <c r="S7" s="3781">
        <f>IF('数据-汇总表'!$I$17="按面积比例",SUMIF('数据-汇总表'!C$19:C$33,A7,'数据-汇总表'!K$19:K$33),SUMIF('数据-汇总表'!C$19:C$33,A7,'数据-汇总表'!N$19:N$33))</f>
        <v>0</v>
      </c>
      <c r="T7" s="3818">
        <f t="shared" ref="T7:T13" si="5">ROUND($L$14*S7/10000,0)</f>
        <v>0</v>
      </c>
      <c r="U7" s="3822"/>
      <c r="V7" s="36"/>
      <c r="W7" s="36"/>
      <c r="X7" s="684"/>
      <c r="Y7" s="37"/>
      <c r="Z7" s="3827"/>
      <c r="AA7" s="35"/>
      <c r="AB7" s="35"/>
      <c r="AC7" s="684"/>
      <c r="AD7" s="38"/>
      <c r="AE7" s="685">
        <f t="shared" ref="AE7:AE13" ca="1" si="6">IF(AN7="",0,SUMIF(INDIRECT("'"&amp;AN7&amp;"'"&amp;"!E:E"),$AE$5,INDIRECT("'"&amp;AN7&amp;"'"&amp;"!F:F")))</f>
        <v>0</v>
      </c>
      <c r="AF7" s="3829"/>
      <c r="AG7" s="52">
        <f t="shared" ref="AG7:AG13" si="7">IF(AF7="",0,AE7-AF7)</f>
        <v>0</v>
      </c>
      <c r="AH7" s="3822"/>
      <c r="AI7" s="3830"/>
      <c r="AJ7" s="3829"/>
      <c r="AK7" s="39"/>
      <c r="AL7" s="40"/>
      <c r="AM7" s="41"/>
      <c r="AN7" s="1224"/>
      <c r="AO7" s="3781" t="e">
        <f t="shared" ref="AO7:AO13" ca="1" si="8">SUMIF(INDIRECT("'"&amp;AN7&amp;"'"&amp;"!A:A"),"总价",INDIRECT("'"&amp;AN7&amp;"'"&amp;"!B:B"))</f>
        <v>#REF!</v>
      </c>
      <c r="AP7" s="3781">
        <f t="shared" ref="AP7:AP13" si="9">IF(C7="住宅",K7*L7,0)</f>
        <v>0</v>
      </c>
      <c r="AQ7" s="3781">
        <f t="shared" ref="AQ7:AQ13" si="10">ROUND($L$14*$N$14*S7/10000,0)</f>
        <v>0</v>
      </c>
      <c r="AR7" s="3781">
        <f t="shared" ref="AR7:AR13" si="11">ROUND($L$14*(1-$N$14)*S7/10000,0)</f>
        <v>0</v>
      </c>
      <c r="AS7" s="3781">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3">
        <f>SUMIF(项目基本情况!C$12:I$12,C8,项目基本情况!C$14:I$14)</f>
        <v>0</v>
      </c>
      <c r="E8" s="547" t="str">
        <f>IF(B8="","",SUMIF(项目基本情况!C$12:I$12,C8,项目基本情况!C$13:I$13))</f>
        <v/>
      </c>
      <c r="F8" s="3295">
        <f>SUMIF(项目基本情况!C$12:I$12,C8,项目基本情况!C$15:I$15)</f>
        <v>0</v>
      </c>
      <c r="G8" s="3296">
        <f t="shared" si="0"/>
        <v>0</v>
      </c>
      <c r="H8" s="3297"/>
      <c r="I8" s="3297"/>
      <c r="J8" s="3298"/>
      <c r="K8" s="3801">
        <f>SUMIF('数据-汇总表'!C$19:C$33,A8,'数据-汇总表'!E$19:E$33)</f>
        <v>0</v>
      </c>
      <c r="L8" s="3802"/>
      <c r="M8" s="3803">
        <f>ROUND(K8*L8/10000,0)</f>
        <v>0</v>
      </c>
      <c r="N8" s="3285"/>
      <c r="O8" s="3803" t="str">
        <f t="shared" si="3"/>
        <v>——</v>
      </c>
      <c r="P8" s="3633" t="str">
        <f t="shared" si="4"/>
        <v>——</v>
      </c>
      <c r="Q8" s="3286"/>
      <c r="R8" s="3817">
        <f ca="1">SUMIF('数据-汇总表'!C$19:C$33,A8,'数据-汇总表'!R$19:R$27)</f>
        <v>0</v>
      </c>
      <c r="S8" s="3781">
        <f>IF('数据-汇总表'!$I$17="按面积比例",SUMIF('数据-汇总表'!C$19:C$33,A8,'数据-汇总表'!K$19:K$33),SUMIF('数据-汇总表'!C$19:C$33,A8,'数据-汇总表'!N$19:N$33))</f>
        <v>0</v>
      </c>
      <c r="T8" s="3818">
        <f t="shared" si="5"/>
        <v>0</v>
      </c>
      <c r="U8" s="3823"/>
      <c r="V8" s="499"/>
      <c r="W8" s="499"/>
      <c r="X8" s="684"/>
      <c r="Y8" s="37"/>
      <c r="Z8" s="3827"/>
      <c r="AA8" s="35"/>
      <c r="AB8" s="35"/>
      <c r="AC8" s="684"/>
      <c r="AD8" s="38"/>
      <c r="AE8" s="685">
        <f t="shared" ca="1" si="6"/>
        <v>0</v>
      </c>
      <c r="AF8" s="3829"/>
      <c r="AG8" s="52">
        <f t="shared" si="7"/>
        <v>0</v>
      </c>
      <c r="AH8" s="3823"/>
      <c r="AI8" s="3830"/>
      <c r="AJ8" s="3829"/>
      <c r="AK8" s="500"/>
      <c r="AL8" s="501"/>
      <c r="AM8" s="502"/>
      <c r="AN8" s="1224"/>
      <c r="AO8" s="3781" t="e">
        <f t="shared" ca="1" si="8"/>
        <v>#REF!</v>
      </c>
      <c r="AP8" s="3781">
        <f t="shared" si="9"/>
        <v>0</v>
      </c>
      <c r="AQ8" s="3781">
        <f t="shared" si="10"/>
        <v>0</v>
      </c>
      <c r="AR8" s="3781">
        <f t="shared" si="11"/>
        <v>0</v>
      </c>
      <c r="AS8" s="3781">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3">
        <f>SUMIF(项目基本情况!C$12:I$12,C9,项目基本情况!C$14:I$14)</f>
        <v>0</v>
      </c>
      <c r="E9" s="547" t="str">
        <f>IF(B9="","",SUMIF(项目基本情况!C$12:I$12,C9,项目基本情况!C$13:I$13))</f>
        <v/>
      </c>
      <c r="F9" s="3295">
        <f>SUMIF(项目基本情况!C$12:I$12,C9,项目基本情况!C$15:I$15)</f>
        <v>0</v>
      </c>
      <c r="G9" s="3296">
        <f t="shared" si="0"/>
        <v>0</v>
      </c>
      <c r="H9" s="3297"/>
      <c r="I9" s="3297"/>
      <c r="J9" s="3298"/>
      <c r="K9" s="3801">
        <f>SUMIF('数据-汇总表'!C$19:C$33,A9,'数据-汇总表'!E$19:E$33)</f>
        <v>0</v>
      </c>
      <c r="L9" s="3802"/>
      <c r="M9" s="3803">
        <f t="shared" si="1"/>
        <v>0</v>
      </c>
      <c r="N9" s="3285"/>
      <c r="O9" s="3803" t="str">
        <f t="shared" si="3"/>
        <v>——</v>
      </c>
      <c r="P9" s="3633" t="str">
        <f t="shared" si="4"/>
        <v>——</v>
      </c>
      <c r="Q9" s="3287"/>
      <c r="R9" s="3817">
        <f ca="1">SUMIF('数据-汇总表'!C$19:C$33,A9,'数据-汇总表'!R$19:R$27)</f>
        <v>0</v>
      </c>
      <c r="S9" s="3781">
        <f>IF('数据-汇总表'!$I$17="按面积比例",SUMIF('数据-汇总表'!C$19:C$33,A9,'数据-汇总表'!K$19:K$33),SUMIF('数据-汇总表'!C$19:C$33,A9,'数据-汇总表'!N$19:N$33))</f>
        <v>0</v>
      </c>
      <c r="T9" s="3818">
        <f t="shared" si="5"/>
        <v>0</v>
      </c>
      <c r="U9" s="3822"/>
      <c r="V9" s="36"/>
      <c r="W9" s="36"/>
      <c r="X9" s="684"/>
      <c r="Y9" s="37"/>
      <c r="Z9" s="3827"/>
      <c r="AA9" s="35"/>
      <c r="AB9" s="35"/>
      <c r="AC9" s="684"/>
      <c r="AD9" s="38"/>
      <c r="AE9" s="685">
        <f t="shared" ca="1" si="6"/>
        <v>0</v>
      </c>
      <c r="AF9" s="3829"/>
      <c r="AG9" s="52">
        <f t="shared" si="7"/>
        <v>0</v>
      </c>
      <c r="AH9" s="3822"/>
      <c r="AI9" s="3830"/>
      <c r="AJ9" s="3829"/>
      <c r="AK9" s="39"/>
      <c r="AL9" s="40"/>
      <c r="AM9" s="41"/>
      <c r="AN9" s="1224"/>
      <c r="AO9" s="3781" t="e">
        <f t="shared" ca="1" si="8"/>
        <v>#REF!</v>
      </c>
      <c r="AP9" s="3781">
        <f t="shared" si="9"/>
        <v>0</v>
      </c>
      <c r="AQ9" s="3781">
        <f t="shared" si="10"/>
        <v>0</v>
      </c>
      <c r="AR9" s="3781">
        <f t="shared" si="11"/>
        <v>0</v>
      </c>
      <c r="AS9" s="3781">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1">
        <f>SUMIF('数据-汇总表'!C$19:C$33,A10,'数据-汇总表'!E$19:E$33)</f>
        <v>0</v>
      </c>
      <c r="L10" s="3802"/>
      <c r="M10" s="3803">
        <f t="shared" si="1"/>
        <v>0</v>
      </c>
      <c r="N10" s="3285"/>
      <c r="O10" s="3803" t="str">
        <f t="shared" si="3"/>
        <v>——</v>
      </c>
      <c r="P10" s="3633" t="str">
        <f t="shared" si="4"/>
        <v>——</v>
      </c>
      <c r="Q10" s="3287"/>
      <c r="R10" s="3817">
        <f ca="1">SUMIF('数据-汇总表'!C$19:C$33,A10,'数据-汇总表'!R$19:R$27)</f>
        <v>0</v>
      </c>
      <c r="S10" s="3781">
        <f>IF('数据-汇总表'!$I$17="按面积比例",SUMIF('数据-汇总表'!C$19:C$33,A10,'数据-汇总表'!K$19:K$33),SUMIF('数据-汇总表'!C$19:C$33,A10,'数据-汇总表'!N$19:N$33))</f>
        <v>0</v>
      </c>
      <c r="T10" s="3818">
        <f t="shared" si="5"/>
        <v>0</v>
      </c>
      <c r="U10" s="3822"/>
      <c r="V10" s="36"/>
      <c r="W10" s="36"/>
      <c r="X10" s="684"/>
      <c r="Y10" s="37"/>
      <c r="Z10" s="3827"/>
      <c r="AA10" s="35"/>
      <c r="AB10" s="35"/>
      <c r="AC10" s="684"/>
      <c r="AD10" s="38"/>
      <c r="AE10" s="685">
        <f t="shared" ca="1" si="6"/>
        <v>0</v>
      </c>
      <c r="AF10" s="3829"/>
      <c r="AG10" s="52">
        <f t="shared" si="7"/>
        <v>0</v>
      </c>
      <c r="AH10" s="3822"/>
      <c r="AI10" s="3830"/>
      <c r="AJ10" s="3829"/>
      <c r="AK10" s="39"/>
      <c r="AL10" s="40"/>
      <c r="AM10" s="41"/>
      <c r="AN10" s="1224"/>
      <c r="AO10" s="3781" t="e">
        <f t="shared" ca="1" si="8"/>
        <v>#REF!</v>
      </c>
      <c r="AP10" s="3781">
        <f t="shared" si="9"/>
        <v>0</v>
      </c>
      <c r="AQ10" s="3781">
        <f t="shared" si="10"/>
        <v>0</v>
      </c>
      <c r="AR10" s="3781">
        <f t="shared" si="11"/>
        <v>0</v>
      </c>
      <c r="AS10" s="3781">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1">
        <f>SUMIF('数据-汇总表'!C$19:C$33,A11,'数据-汇总表'!E$19:E$33)</f>
        <v>0</v>
      </c>
      <c r="L11" s="3804"/>
      <c r="M11" s="3803">
        <f t="shared" si="1"/>
        <v>0</v>
      </c>
      <c r="N11" s="3285"/>
      <c r="O11" s="3803" t="str">
        <f t="shared" si="3"/>
        <v>——</v>
      </c>
      <c r="P11" s="3633" t="str">
        <f t="shared" si="4"/>
        <v>——</v>
      </c>
      <c r="Q11" s="3287"/>
      <c r="R11" s="3817">
        <f ca="1">SUMIF('数据-汇总表'!C$19:C$33,A11,'数据-汇总表'!R$19:R$27)</f>
        <v>0</v>
      </c>
      <c r="S11" s="3781">
        <f>IF('数据-汇总表'!$I$17="按面积比例",SUMIF('数据-汇总表'!C$19:C$33,A11,'数据-汇总表'!K$19:K$33),SUMIF('数据-汇总表'!C$19:C$33,A11,'数据-汇总表'!N$19:N$33))</f>
        <v>0</v>
      </c>
      <c r="T11" s="3818">
        <f t="shared" si="5"/>
        <v>0</v>
      </c>
      <c r="U11" s="3822"/>
      <c r="V11" s="35"/>
      <c r="W11" s="35"/>
      <c r="X11" s="684"/>
      <c r="Y11" s="37"/>
      <c r="Z11" s="3828"/>
      <c r="AA11" s="35"/>
      <c r="AB11" s="35"/>
      <c r="AC11" s="684"/>
      <c r="AD11" s="38"/>
      <c r="AE11" s="685">
        <f t="shared" ca="1" si="6"/>
        <v>0</v>
      </c>
      <c r="AF11" s="3829"/>
      <c r="AG11" s="52">
        <f t="shared" si="7"/>
        <v>0</v>
      </c>
      <c r="AH11" s="3822"/>
      <c r="AI11" s="3830"/>
      <c r="AJ11" s="3829"/>
      <c r="AK11" s="39"/>
      <c r="AL11" s="40"/>
      <c r="AM11" s="41"/>
      <c r="AN11" s="1224"/>
      <c r="AO11" s="3781" t="e">
        <f t="shared" ca="1" si="8"/>
        <v>#REF!</v>
      </c>
      <c r="AP11" s="3781">
        <f t="shared" si="9"/>
        <v>0</v>
      </c>
      <c r="AQ11" s="3781">
        <f t="shared" si="10"/>
        <v>0</v>
      </c>
      <c r="AR11" s="3781">
        <f t="shared" si="11"/>
        <v>0</v>
      </c>
      <c r="AS11" s="3781">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1">
        <f>SUMIF('数据-汇总表'!C$19:C$33,A12,'数据-汇总表'!E$19:E$33)</f>
        <v>0</v>
      </c>
      <c r="L12" s="3804"/>
      <c r="M12" s="3803">
        <f>ROUND(K12*L12/10000,0)</f>
        <v>0</v>
      </c>
      <c r="N12" s="3285"/>
      <c r="O12" s="3803" t="str">
        <f t="shared" si="3"/>
        <v>——</v>
      </c>
      <c r="P12" s="3633" t="str">
        <f t="shared" si="4"/>
        <v>——</v>
      </c>
      <c r="Q12" s="3287"/>
      <c r="R12" s="3817">
        <f ca="1">SUMIF('数据-汇总表'!C$19:C$33,A12,'数据-汇总表'!R$19:R$27)</f>
        <v>0</v>
      </c>
      <c r="S12" s="3781">
        <f>IF('数据-汇总表'!$I$17="按面积比例",SUMIF('数据-汇总表'!C$19:C$33,A12,'数据-汇总表'!K$19:K$33),SUMIF('数据-汇总表'!C$19:C$33,A12,'数据-汇总表'!N$19:N$33))</f>
        <v>0</v>
      </c>
      <c r="T12" s="3818">
        <f t="shared" si="5"/>
        <v>0</v>
      </c>
      <c r="U12" s="3822"/>
      <c r="V12" s="35"/>
      <c r="W12" s="35"/>
      <c r="X12" s="684"/>
      <c r="Y12" s="37"/>
      <c r="Z12" s="3828"/>
      <c r="AA12" s="35"/>
      <c r="AB12" s="35"/>
      <c r="AC12" s="684"/>
      <c r="AD12" s="38"/>
      <c r="AE12" s="685">
        <f t="shared" ca="1" si="6"/>
        <v>0</v>
      </c>
      <c r="AF12" s="3829"/>
      <c r="AG12" s="52">
        <f t="shared" si="7"/>
        <v>0</v>
      </c>
      <c r="AH12" s="3822"/>
      <c r="AI12" s="3830"/>
      <c r="AJ12" s="3829"/>
      <c r="AK12" s="39"/>
      <c r="AL12" s="40"/>
      <c r="AM12" s="41"/>
      <c r="AN12" s="1224"/>
      <c r="AO12" s="3781" t="e">
        <f t="shared" ca="1" si="8"/>
        <v>#REF!</v>
      </c>
      <c r="AP12" s="3781">
        <f t="shared" si="9"/>
        <v>0</v>
      </c>
      <c r="AQ12" s="3781">
        <f t="shared" si="10"/>
        <v>0</v>
      </c>
      <c r="AR12" s="3781">
        <f t="shared" si="11"/>
        <v>0</v>
      </c>
      <c r="AS12" s="3781">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1">
        <f>SUMIF('数据-汇总表'!C$19:C$33,A13,'数据-汇总表'!E$19:E$33)</f>
        <v>0</v>
      </c>
      <c r="L13" s="3804"/>
      <c r="M13" s="3803">
        <f>ROUND(K13*L13/10000,0)</f>
        <v>0</v>
      </c>
      <c r="N13" s="3288"/>
      <c r="O13" s="3803" t="str">
        <f t="shared" si="3"/>
        <v>——</v>
      </c>
      <c r="P13" s="3633" t="str">
        <f t="shared" si="4"/>
        <v>——</v>
      </c>
      <c r="Q13" s="3287"/>
      <c r="R13" s="3817">
        <f ca="1">SUMIF('数据-汇总表'!C$19:C$33,A13,'数据-汇总表'!R$19:R$27)</f>
        <v>0</v>
      </c>
      <c r="S13" s="3781">
        <f>IF('数据-汇总表'!$I$17="按面积比例",SUMIF('数据-汇总表'!C$19:C$33,A13,'数据-汇总表'!K$19:K$33),SUMIF('数据-汇总表'!C$19:C$33,A13,'数据-汇总表'!N$19:N$33))</f>
        <v>0</v>
      </c>
      <c r="T13" s="3818">
        <f t="shared" si="5"/>
        <v>0</v>
      </c>
      <c r="U13" s="3824"/>
      <c r="V13" s="36"/>
      <c r="W13" s="36"/>
      <c r="X13" s="684"/>
      <c r="Y13" s="37"/>
      <c r="Z13" s="3827"/>
      <c r="AA13" s="35"/>
      <c r="AB13" s="35"/>
      <c r="AC13" s="684"/>
      <c r="AD13" s="38"/>
      <c r="AE13" s="685">
        <f t="shared" ca="1" si="6"/>
        <v>0</v>
      </c>
      <c r="AF13" s="3829"/>
      <c r="AG13" s="52">
        <f t="shared" si="7"/>
        <v>0</v>
      </c>
      <c r="AH13" s="3822"/>
      <c r="AI13" s="3830"/>
      <c r="AJ13" s="3829"/>
      <c r="AK13" s="39"/>
      <c r="AL13" s="40"/>
      <c r="AM13" s="41"/>
      <c r="AN13" s="1224"/>
      <c r="AO13" s="3781" t="e">
        <f t="shared" ca="1" si="8"/>
        <v>#REF!</v>
      </c>
      <c r="AP13" s="3781">
        <f t="shared" si="9"/>
        <v>0</v>
      </c>
      <c r="AQ13" s="3781">
        <f t="shared" si="10"/>
        <v>0</v>
      </c>
      <c r="AR13" s="3781">
        <f t="shared" si="11"/>
        <v>0</v>
      </c>
      <c r="AS13" s="3781">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3"/>
      <c r="E14" s="547"/>
      <c r="F14" s="3295"/>
      <c r="G14" s="3296"/>
      <c r="H14" s="3299"/>
      <c r="I14" s="3299"/>
      <c r="J14" s="3299"/>
      <c r="K14" s="3801">
        <f>SUMIF('数据-汇总表'!C$19:C$33,A14,'数据-汇总表'!E$19:E$33)</f>
        <v>0</v>
      </c>
      <c r="L14" s="3804"/>
      <c r="M14" s="3803">
        <f t="shared" si="1"/>
        <v>0</v>
      </c>
      <c r="N14" s="3288"/>
      <c r="O14" s="3803" t="str">
        <f t="shared" si="3"/>
        <v>——</v>
      </c>
      <c r="P14" s="3633" t="str">
        <f t="shared" si="4"/>
        <v>——</v>
      </c>
      <c r="Q14" s="3289"/>
      <c r="R14" s="3817"/>
      <c r="S14" s="3781"/>
      <c r="T14" s="3818"/>
      <c r="U14" s="3825"/>
      <c r="V14" s="680"/>
      <c r="W14" s="680"/>
      <c r="X14" s="681"/>
      <c r="Y14" s="682"/>
      <c r="Z14" s="30"/>
      <c r="AA14" s="683"/>
      <c r="AB14" s="683"/>
      <c r="AC14" s="684"/>
      <c r="AD14" s="681"/>
      <c r="AE14" s="685"/>
      <c r="AF14" s="28"/>
      <c r="AG14" s="52"/>
      <c r="AH14" s="685"/>
      <c r="AI14" s="3769"/>
      <c r="AJ14" s="28"/>
      <c r="AK14" s="686"/>
      <c r="AL14" s="687"/>
      <c r="AM14" s="688"/>
      <c r="AN14" s="1938"/>
      <c r="AO14" s="3318"/>
      <c r="AP14" s="3318"/>
      <c r="AQ14" s="3318"/>
      <c r="AR14" s="3318"/>
      <c r="AS14" s="3319"/>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3"/>
      <c r="E15" s="547"/>
      <c r="F15" s="3295"/>
      <c r="G15" s="3296"/>
      <c r="H15" s="3299"/>
      <c r="I15" s="3299"/>
      <c r="J15" s="3299"/>
      <c r="K15" s="3801">
        <f>SUMIF('数据-汇总表'!C$19:C$33,A15,'数据-汇总表'!E$19:E$33)</f>
        <v>0</v>
      </c>
      <c r="L15" s="3803"/>
      <c r="M15" s="3803"/>
      <c r="N15" s="3290"/>
      <c r="O15" s="3803"/>
      <c r="P15" s="3633"/>
      <c r="Q15" s="3289"/>
      <c r="R15" s="3817"/>
      <c r="S15" s="3781"/>
      <c r="T15" s="3818"/>
      <c r="U15" s="3825"/>
      <c r="V15" s="680"/>
      <c r="W15" s="680"/>
      <c r="X15" s="681"/>
      <c r="Y15" s="682"/>
      <c r="Z15" s="30"/>
      <c r="AA15" s="683"/>
      <c r="AB15" s="683"/>
      <c r="AC15" s="684"/>
      <c r="AD15" s="681"/>
      <c r="AE15" s="685"/>
      <c r="AF15" s="28"/>
      <c r="AG15" s="52"/>
      <c r="AH15" s="685"/>
      <c r="AI15" s="3769"/>
      <c r="AJ15" s="28"/>
      <c r="AK15" s="686"/>
      <c r="AL15" s="687"/>
      <c r="AM15" s="688"/>
      <c r="AN15" s="1938"/>
      <c r="AO15" s="3318"/>
      <c r="AP15" s="3318"/>
      <c r="AQ15" s="3318"/>
      <c r="AR15" s="3318"/>
      <c r="AS15" s="3319"/>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4"/>
      <c r="E16" s="42"/>
      <c r="F16" s="3300"/>
      <c r="G16" s="3301">
        <f>ROUND(SUMPRODUCT(G6:G13,K6:K13)/SUMPRODUCT((G6:G13&gt;0)*(K6:K13)),4)</f>
        <v>0.79669999999999996</v>
      </c>
      <c r="H16" s="3302">
        <f>ROUND(SUMPRODUCT(H6:H13,K6:K13)/SUMPRODUCT((H6:H13&gt;0)*(K6:K13)),3)</f>
        <v>0.05</v>
      </c>
      <c r="I16" s="3303"/>
      <c r="J16" s="3303"/>
      <c r="K16" s="3805">
        <f>SUM(K6:K15)</f>
        <v>138.79</v>
      </c>
      <c r="L16" s="3806">
        <f>ROUND(M16*10000/SUM(K6:K14),0)</f>
        <v>4107</v>
      </c>
      <c r="M16" s="3806">
        <f>SUM(M6:M14)</f>
        <v>57</v>
      </c>
      <c r="N16" s="3291">
        <f>ROUND(SUMPRODUCT(M6:M14,N6:N14)/M16,3)</f>
        <v>0.83</v>
      </c>
      <c r="O16" s="3806">
        <f>SUM(O6:O14)</f>
        <v>0</v>
      </c>
      <c r="P16" s="3806">
        <f>SUM(P6:P14)</f>
        <v>0</v>
      </c>
      <c r="Q16" s="3292">
        <f>ROUND(SUMPRODUCT(Q6:Q13,K6:K13)/SUMPRODUCT((Q6:Q13&gt;0)*(K6:K13)),2)</f>
        <v>0.2</v>
      </c>
      <c r="R16" s="3819">
        <f ca="1">SUM(R6:R13)</f>
        <v>0</v>
      </c>
      <c r="S16" s="3820">
        <f>SUM(S6:S13)</f>
        <v>0</v>
      </c>
      <c r="T16" s="3821">
        <f>IF(SUMIF(T6:T13,"&lt;9E307")=M14,SUMIF(T6:T13,"&lt;9E307"),"有误，请检查")</f>
        <v>0</v>
      </c>
      <c r="U16" s="3826"/>
      <c r="V16" s="43"/>
      <c r="W16" s="43"/>
      <c r="X16" s="45"/>
      <c r="Y16" s="44"/>
      <c r="Z16" s="1926"/>
      <c r="AA16" s="43"/>
      <c r="AB16" s="43"/>
      <c r="AC16" s="45"/>
      <c r="AD16" s="45"/>
      <c r="AE16" s="3826"/>
      <c r="AF16" s="43"/>
      <c r="AG16" s="44"/>
      <c r="AH16" s="3826"/>
      <c r="AI16" s="1926"/>
      <c r="AJ16" s="1926"/>
      <c r="AK16" s="43"/>
      <c r="AL16" s="43"/>
      <c r="AM16" s="44"/>
      <c r="AN16" s="1938"/>
      <c r="AO16" s="3318"/>
      <c r="AP16" s="3318"/>
      <c r="AQ16" s="3318"/>
      <c r="AR16" s="3318"/>
      <c r="AS16" s="3781">
        <f>ROUND(SUMPRODUCT(AS6:AS13,K6:K13)/SUMPRODUCT((AS6:AS13&gt;0)*(K6:K13)),3)</f>
        <v>0.68400000000000005</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5" thickBot="1">
      <c r="A18" s="31" t="s">
        <v>1193</v>
      </c>
      <c r="B18" s="1948"/>
      <c r="C18" s="1928"/>
      <c r="D18" s="1941"/>
      <c r="E18" s="1928"/>
      <c r="F18" s="1928"/>
      <c r="G18" s="1928"/>
      <c r="H18" s="1928"/>
      <c r="I18" s="1928"/>
      <c r="J18" s="1928"/>
      <c r="K18" s="1939"/>
      <c r="L18" s="1939"/>
      <c r="M18" s="1938"/>
      <c r="N18" s="1938" t="s">
        <v>4079</v>
      </c>
      <c r="O18" s="1938">
        <f>ROUND(1-(1-0%)*(2026-2011)/60,2)</f>
        <v>0.75</v>
      </c>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25">
      <c r="A19" s="3841" t="s">
        <v>1194</v>
      </c>
      <c r="B19" s="3807">
        <v>0</v>
      </c>
      <c r="C19" s="3918" t="s">
        <v>2188</v>
      </c>
      <c r="D19" s="3914"/>
      <c r="E19" s="3915"/>
      <c r="F19" s="3915"/>
      <c r="G19" s="3915"/>
      <c r="H19" s="1928"/>
      <c r="I19" s="1928"/>
      <c r="J19" s="1928"/>
      <c r="K19" s="1939"/>
      <c r="L19" s="1939"/>
      <c r="M19" s="1938"/>
      <c r="N19" s="1938" t="s">
        <v>4080</v>
      </c>
      <c r="O19" s="1938">
        <v>0.9</v>
      </c>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25">
      <c r="A20" s="1229" t="s">
        <v>1195</v>
      </c>
      <c r="B20" s="3808">
        <v>2</v>
      </c>
      <c r="C20" s="3916" t="s">
        <v>3838</v>
      </c>
      <c r="D20" s="3914"/>
      <c r="E20" s="3915"/>
      <c r="F20" s="3915"/>
      <c r="G20" s="3915"/>
      <c r="H20" s="1928"/>
      <c r="I20" s="1928"/>
      <c r="J20" s="1928"/>
      <c r="K20" s="1939"/>
      <c r="L20" s="1939"/>
      <c r="M20" s="1938"/>
      <c r="N20" s="1938" t="s">
        <v>452</v>
      </c>
      <c r="O20" s="1938">
        <f>ROUND((O18+O19)/2,2)</f>
        <v>0.83</v>
      </c>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25">
      <c r="A21" s="1230" t="s">
        <v>1196</v>
      </c>
      <c r="B21" s="3808">
        <v>2</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25">
      <c r="A22" s="1229" t="s">
        <v>1197</v>
      </c>
      <c r="B22" s="3809">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25">
      <c r="A23" s="1230" t="s">
        <v>1198</v>
      </c>
      <c r="B23" s="3809">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5" thickBot="1">
      <c r="A24" s="1231" t="s">
        <v>1199</v>
      </c>
      <c r="B24" s="3810">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5" thickBot="1">
      <c r="A25" s="1093"/>
      <c r="B25" s="1182"/>
      <c r="C25" s="1928"/>
      <c r="D25" s="1941"/>
      <c r="E25" s="1928"/>
      <c r="F25" s="3618"/>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25">
      <c r="A27" s="1233" t="s">
        <v>1202</v>
      </c>
      <c r="B27" s="3811">
        <v>160</v>
      </c>
      <c r="C27" s="3961" t="s">
        <v>2189</v>
      </c>
      <c r="D27" s="3919"/>
      <c r="E27" s="3920"/>
      <c r="F27" s="3920"/>
      <c r="G27" s="3915"/>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25">
      <c r="A28" s="1234" t="s">
        <v>1203</v>
      </c>
      <c r="B28" s="3812">
        <v>200</v>
      </c>
      <c r="C28" s="4108"/>
      <c r="D28" s="3919"/>
      <c r="E28" s="3920"/>
      <c r="F28" s="3920"/>
      <c r="G28" s="3915"/>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15" thickBot="1">
      <c r="A29" s="1235" t="s">
        <v>1204</v>
      </c>
      <c r="B29" s="3813">
        <f ca="1">'成本法 (元)'!C10/10000</f>
        <v>56.9039</v>
      </c>
      <c r="C29" s="3962" t="s">
        <v>3837</v>
      </c>
      <c r="D29" s="3919"/>
      <c r="E29" s="3920"/>
      <c r="F29" s="3920"/>
      <c r="G29" s="3915"/>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25">
      <c r="A30" s="1236" t="s">
        <v>1205</v>
      </c>
      <c r="B30" s="3814">
        <v>200</v>
      </c>
      <c r="C30" s="3967" t="s">
        <v>3965</v>
      </c>
      <c r="D30" s="3919"/>
      <c r="E30" s="3920"/>
      <c r="F30" s="3920"/>
      <c r="G30" s="3915"/>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25">
      <c r="A31" s="1234" t="s">
        <v>1206</v>
      </c>
      <c r="B31" s="3809">
        <f>B30-B32</f>
        <v>200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5" thickBot="1">
      <c r="A32" s="1237" t="s">
        <v>1207</v>
      </c>
      <c r="B32" s="3815">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25">
      <c r="A33" s="3844" t="s">
        <v>3802</v>
      </c>
      <c r="B33" s="3908">
        <v>7.0000000000000007E-2</v>
      </c>
      <c r="C33" s="3952" t="s">
        <v>3830</v>
      </c>
      <c r="D33" s="3914"/>
      <c r="E33" s="3915"/>
      <c r="F33" s="3915"/>
      <c r="G33" s="3915"/>
      <c r="H33" s="1928">
        <v>280</v>
      </c>
      <c r="I33" s="1928">
        <f>ROUND(H33*K16/10000/M16,2)</f>
        <v>7.0000000000000007E-2</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25">
      <c r="A34" s="1234" t="s">
        <v>1208</v>
      </c>
      <c r="B34" s="3909">
        <v>0</v>
      </c>
      <c r="C34" s="3916" t="s">
        <v>3832</v>
      </c>
      <c r="D34" s="3921"/>
      <c r="E34" s="3917"/>
      <c r="F34" s="3915"/>
      <c r="G34" s="3915"/>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25">
      <c r="A35" s="1234" t="s">
        <v>1209</v>
      </c>
      <c r="B35" s="3910">
        <v>300</v>
      </c>
      <c r="C35" s="3918" t="s">
        <v>3834</v>
      </c>
      <c r="D35" s="3919"/>
      <c r="E35" s="3920"/>
      <c r="F35" s="3920"/>
      <c r="G35" s="3915"/>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25">
      <c r="A36" s="3842" t="s">
        <v>3283</v>
      </c>
      <c r="B36" s="3304">
        <v>0.01</v>
      </c>
      <c r="C36" s="3953" t="s">
        <v>3833</v>
      </c>
      <c r="D36" s="3919"/>
      <c r="E36" s="3920"/>
      <c r="F36" s="3920"/>
      <c r="G36" s="3915"/>
      <c r="H36" s="1928">
        <v>60</v>
      </c>
      <c r="I36" s="1928">
        <f>ROUND(H36*K16/10000/M16,2)</f>
        <v>0.01</v>
      </c>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5" thickBot="1">
      <c r="A37" s="3843" t="s">
        <v>3284</v>
      </c>
      <c r="B37" s="3305"/>
      <c r="C37" s="3918" t="s">
        <v>3831</v>
      </c>
      <c r="D37" s="3914"/>
      <c r="E37" s="3915"/>
      <c r="F37" s="3915"/>
      <c r="G37" s="3915"/>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25">
      <c r="A38" s="1236" t="s">
        <v>1210</v>
      </c>
      <c r="B38" s="3306">
        <v>0.02</v>
      </c>
      <c r="C38" s="3916" t="s">
        <v>3259</v>
      </c>
      <c r="D38" s="3914"/>
      <c r="E38" s="3915"/>
      <c r="F38" s="3915"/>
      <c r="G38" s="3915"/>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25">
      <c r="A39" s="1234" t="s">
        <v>1211</v>
      </c>
      <c r="B39" s="3304">
        <v>0.02</v>
      </c>
      <c r="C39" s="3916" t="s">
        <v>3835</v>
      </c>
      <c r="D39" s="3914"/>
      <c r="E39" s="3915"/>
      <c r="F39" s="3915"/>
      <c r="G39" s="3915"/>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25">
      <c r="A40" s="1237"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5" thickBot="1">
      <c r="A41" s="2048" t="s">
        <v>2195</v>
      </c>
      <c r="B41" s="3308">
        <f ca="1">IF(A41="利息：取LPR",存贷款利率!G1,存贷款利率!G1+C41)</f>
        <v>3.1300000000000001E-2</v>
      </c>
      <c r="C41" s="4109"/>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25">
      <c r="A42" s="3844" t="s">
        <v>3276</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25">
      <c r="A43" s="1238" t="s">
        <v>1213</v>
      </c>
      <c r="B43" s="3906">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25">
      <c r="A44" s="1238" t="s">
        <v>1214</v>
      </c>
      <c r="B44" s="3907">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25">
      <c r="A45" s="1239" t="s">
        <v>1215</v>
      </c>
      <c r="B45" s="3310">
        <v>7.0000000000000007E-2</v>
      </c>
      <c r="C45" s="3916" t="s">
        <v>3260</v>
      </c>
      <c r="D45" s="3914"/>
      <c r="E45" s="3915"/>
      <c r="F45" s="3915"/>
      <c r="G45" s="3915"/>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25">
      <c r="A46" s="1239" t="s">
        <v>1216</v>
      </c>
      <c r="B46" s="3311">
        <v>0.03</v>
      </c>
      <c r="C46" s="3962" t="s">
        <v>3839</v>
      </c>
      <c r="D46" s="3963"/>
      <c r="E46" s="3964"/>
      <c r="F46" s="3915"/>
      <c r="G46" s="3915"/>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25">
      <c r="A47" s="1239" t="s">
        <v>1217</v>
      </c>
      <c r="B47" s="3311">
        <v>0.02</v>
      </c>
      <c r="C47" s="3962" t="s">
        <v>3840</v>
      </c>
      <c r="D47" s="3963"/>
      <c r="E47" s="3964"/>
      <c r="F47" s="3915"/>
      <c r="G47" s="3915"/>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5" thickBot="1">
      <c r="A48" s="1240" t="s">
        <v>1218</v>
      </c>
      <c r="B48" s="3312"/>
      <c r="C48" s="3965" t="s">
        <v>2190</v>
      </c>
      <c r="D48" s="3963"/>
      <c r="E48" s="3964"/>
      <c r="F48" s="3915"/>
      <c r="G48" s="3915"/>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25">
      <c r="A49" s="1241" t="s">
        <v>1219</v>
      </c>
      <c r="B49" s="3313">
        <v>0.03</v>
      </c>
      <c r="C49" s="3962" t="s">
        <v>3841</v>
      </c>
      <c r="D49" s="3963"/>
      <c r="E49" s="3964"/>
      <c r="F49" s="3915"/>
      <c r="G49" s="3915"/>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5" thickBot="1">
      <c r="A50" s="1237" t="s">
        <v>1220</v>
      </c>
      <c r="B50" s="3311">
        <v>5.0000000000000001E-4</v>
      </c>
      <c r="C50" s="3962" t="s">
        <v>3842</v>
      </c>
      <c r="D50" s="3963"/>
      <c r="E50" s="3964"/>
      <c r="F50" s="3915"/>
      <c r="G50" s="3915"/>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25">
      <c r="A51" s="1242" t="s">
        <v>1221</v>
      </c>
      <c r="B51" s="3905">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5" t="s">
        <v>1222</v>
      </c>
      <c r="B52" s="3904">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25">
      <c r="A53" s="1242" t="s">
        <v>1223</v>
      </c>
      <c r="B53" s="3314">
        <f>SUMIF(A55:A64,B54,B55:B64)</f>
        <v>24</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25">
      <c r="A54" s="1234" t="s">
        <v>1224</v>
      </c>
      <c r="B54" s="3315" t="s">
        <v>182</v>
      </c>
      <c r="C54" s="1939" t="s">
        <v>3843</v>
      </c>
      <c r="D54" s="3966" t="s">
        <v>3844</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25">
      <c r="A55" s="1243" t="s">
        <v>1225</v>
      </c>
      <c r="B55" s="3800"/>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25">
      <c r="A56" s="1243" t="s">
        <v>1226</v>
      </c>
      <c r="B56" s="3800">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25">
      <c r="A57" s="1243" t="s">
        <v>1227</v>
      </c>
      <c r="B57" s="3800"/>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25">
      <c r="A58" s="1243" t="s">
        <v>1228</v>
      </c>
      <c r="B58" s="3800"/>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25">
      <c r="A59" s="1243" t="s">
        <v>1229</v>
      </c>
      <c r="B59" s="3800"/>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25">
      <c r="A60" s="1243" t="s">
        <v>1230</v>
      </c>
      <c r="B60" s="3800"/>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25">
      <c r="A61" s="1243" t="s">
        <v>1231</v>
      </c>
      <c r="B61" s="3800"/>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25">
      <c r="A62" s="1243" t="s">
        <v>1232</v>
      </c>
      <c r="B62" s="3800"/>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25">
      <c r="A63" s="1243" t="s">
        <v>1233</v>
      </c>
      <c r="B63" s="3800"/>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5" thickBot="1">
      <c r="A64" s="1244" t="s">
        <v>1234</v>
      </c>
      <c r="B64" s="3816"/>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5"/>
      <c r="D70" s="1246"/>
      <c r="K70" s="496"/>
      <c r="L70" s="496"/>
      <c r="AO70" s="3322"/>
      <c r="AP70" s="3322"/>
      <c r="AQ70" s="3322"/>
      <c r="AR70" s="3322"/>
      <c r="AS70" s="3322"/>
    </row>
    <row r="71" spans="1:45" s="493" customFormat="1">
      <c r="A71" s="1245"/>
      <c r="D71" s="1246"/>
      <c r="K71" s="496"/>
      <c r="L71" s="496"/>
      <c r="AO71" s="3322"/>
      <c r="AP71" s="3322"/>
      <c r="AQ71" s="3322"/>
      <c r="AR71" s="3322"/>
      <c r="AS71" s="3322"/>
    </row>
    <row r="72" spans="1:45" s="493" customFormat="1">
      <c r="A72" s="1245"/>
      <c r="D72" s="1246"/>
      <c r="K72" s="496"/>
      <c r="L72" s="496"/>
      <c r="AO72" s="3322"/>
      <c r="AP72" s="3322"/>
      <c r="AQ72" s="3322"/>
      <c r="AR72" s="3322"/>
      <c r="AS72" s="3322"/>
    </row>
    <row r="73" spans="1:45" s="493" customFormat="1">
      <c r="A73" s="1245"/>
      <c r="D73" s="1246"/>
      <c r="K73" s="496"/>
      <c r="L73" s="496"/>
      <c r="AO73" s="3322"/>
      <c r="AP73" s="3322"/>
      <c r="AQ73" s="3322"/>
      <c r="AR73" s="3322"/>
      <c r="AS73" s="3322"/>
    </row>
    <row r="74" spans="1:45" s="493" customFormat="1">
      <c r="A74" s="1245"/>
      <c r="D74" s="1246"/>
      <c r="K74" s="496"/>
      <c r="L74" s="496"/>
      <c r="AO74" s="3322"/>
      <c r="AP74" s="3322"/>
      <c r="AQ74" s="3322"/>
      <c r="AR74" s="3322"/>
      <c r="AS74" s="3322"/>
    </row>
    <row r="75" spans="1:45" s="493" customFormat="1">
      <c r="A75" s="1245"/>
      <c r="D75" s="1246"/>
      <c r="K75" s="496"/>
      <c r="L75" s="496"/>
      <c r="AO75" s="3322"/>
      <c r="AP75" s="3322"/>
      <c r="AQ75" s="3322"/>
      <c r="AR75" s="3322"/>
      <c r="AS75" s="3322"/>
    </row>
    <row r="76" spans="1:45" s="493" customFormat="1">
      <c r="A76" s="1245"/>
      <c r="D76" s="1246"/>
      <c r="K76" s="496"/>
      <c r="L76" s="496"/>
      <c r="AO76" s="3322"/>
      <c r="AP76" s="3322"/>
      <c r="AQ76" s="3322"/>
      <c r="AR76" s="3322"/>
      <c r="AS76" s="3322"/>
    </row>
    <row r="77" spans="1:45" s="493" customFormat="1">
      <c r="A77" s="1245"/>
      <c r="D77" s="1246"/>
      <c r="K77" s="496"/>
      <c r="L77" s="496"/>
      <c r="AO77" s="3322"/>
      <c r="AP77" s="3322"/>
      <c r="AQ77" s="3322"/>
      <c r="AR77" s="3322"/>
      <c r="AS77" s="3322"/>
    </row>
    <row r="78" spans="1:45" s="493" customFormat="1">
      <c r="A78" s="1245"/>
      <c r="D78" s="1246"/>
      <c r="K78" s="496"/>
      <c r="L78" s="496"/>
      <c r="AO78" s="3322"/>
      <c r="AP78" s="3322"/>
      <c r="AQ78" s="3322"/>
      <c r="AR78" s="3322"/>
      <c r="AS78" s="3322"/>
    </row>
    <row r="79" spans="1:45" s="493" customFormat="1">
      <c r="A79" s="1245"/>
      <c r="D79" s="1246"/>
      <c r="K79" s="496"/>
      <c r="L79" s="496"/>
      <c r="AO79" s="3322"/>
      <c r="AP79" s="3322"/>
      <c r="AQ79" s="3322"/>
      <c r="AR79" s="3322"/>
      <c r="AS79" s="3322"/>
    </row>
    <row r="80" spans="1:45" s="493" customFormat="1">
      <c r="A80" s="1245"/>
      <c r="D80" s="1246"/>
      <c r="K80" s="496"/>
      <c r="L80" s="496"/>
      <c r="AO80" s="3322"/>
      <c r="AP80" s="3322"/>
      <c r="AQ80" s="3322"/>
      <c r="AR80" s="3322"/>
      <c r="AS80" s="3322"/>
    </row>
    <row r="81" spans="1:45" s="493" customFormat="1">
      <c r="A81" s="1245"/>
      <c r="D81" s="1246"/>
      <c r="K81" s="496"/>
      <c r="L81" s="496"/>
      <c r="AO81" s="3322"/>
      <c r="AP81" s="3322"/>
      <c r="AQ81" s="3322"/>
      <c r="AR81" s="3322"/>
      <c r="AS81" s="3322"/>
    </row>
    <row r="82" spans="1:45" s="493" customFormat="1">
      <c r="A82" s="1245"/>
      <c r="D82" s="1246"/>
      <c r="K82" s="496"/>
      <c r="L82" s="496"/>
      <c r="AO82" s="3322"/>
      <c r="AP82" s="3322"/>
      <c r="AQ82" s="3322"/>
      <c r="AR82" s="3322"/>
      <c r="AS82" s="3322"/>
    </row>
    <row r="83" spans="1:45" s="493" customFormat="1">
      <c r="A83" s="1245"/>
      <c r="D83" s="1246"/>
      <c r="K83" s="496"/>
      <c r="L83" s="496"/>
      <c r="AO83" s="3322"/>
      <c r="AP83" s="3322"/>
      <c r="AQ83" s="3322"/>
      <c r="AR83" s="3322"/>
      <c r="AS83" s="3322"/>
    </row>
    <row r="84" spans="1:45" s="493" customFormat="1">
      <c r="A84" s="1245"/>
      <c r="D84" s="1246"/>
      <c r="K84" s="496"/>
      <c r="L84" s="496"/>
      <c r="AO84" s="3322"/>
      <c r="AP84" s="3322"/>
      <c r="AQ84" s="3322"/>
      <c r="AR84" s="3322"/>
      <c r="AS84" s="3322"/>
    </row>
    <row r="85" spans="1:45" s="493" customFormat="1">
      <c r="A85" s="1245"/>
      <c r="D85" s="1246"/>
      <c r="K85" s="496"/>
      <c r="L85" s="496"/>
      <c r="AO85" s="3322"/>
      <c r="AP85" s="3322"/>
      <c r="AQ85" s="3322"/>
      <c r="AR85" s="3322"/>
      <c r="AS85" s="3322"/>
    </row>
    <row r="86" spans="1:45" s="493" customFormat="1">
      <c r="A86" s="1245"/>
      <c r="D86" s="1246"/>
      <c r="K86" s="496"/>
      <c r="L86" s="496"/>
      <c r="AO86" s="3322"/>
      <c r="AP86" s="3322"/>
      <c r="AQ86" s="3322"/>
      <c r="AR86" s="3322"/>
      <c r="AS86" s="3322"/>
    </row>
    <row r="87" spans="1:45" s="493" customFormat="1">
      <c r="A87" s="1245"/>
      <c r="D87" s="1246"/>
      <c r="K87" s="496"/>
      <c r="L87" s="496"/>
      <c r="AO87" s="3322"/>
      <c r="AP87" s="3322"/>
      <c r="AQ87" s="3322"/>
      <c r="AR87" s="3322"/>
      <c r="AS87" s="3322"/>
    </row>
    <row r="88" spans="1:45" s="493" customFormat="1">
      <c r="A88" s="1245"/>
      <c r="D88" s="1246"/>
      <c r="K88" s="496"/>
      <c r="L88" s="496"/>
      <c r="AO88" s="3322"/>
      <c r="AP88" s="3322"/>
      <c r="AQ88" s="3322"/>
      <c r="AR88" s="3322"/>
      <c r="AS88" s="3322"/>
    </row>
    <row r="89" spans="1:45" s="493" customFormat="1">
      <c r="A89" s="1245"/>
      <c r="D89" s="1246"/>
      <c r="K89" s="496"/>
      <c r="L89" s="496"/>
      <c r="AO89" s="3322"/>
      <c r="AP89" s="3322"/>
      <c r="AQ89" s="3322"/>
      <c r="AR89" s="3322"/>
      <c r="AS89" s="3322"/>
    </row>
    <row r="90" spans="1:45" s="493" customFormat="1">
      <c r="A90" s="1245"/>
      <c r="D90" s="1246"/>
      <c r="K90" s="496"/>
      <c r="L90" s="496"/>
      <c r="AO90" s="3322"/>
      <c r="AP90" s="3322"/>
      <c r="AQ90" s="3322"/>
      <c r="AR90" s="3322"/>
      <c r="AS90" s="3322"/>
    </row>
    <row r="91" spans="1:45" s="493" customFormat="1">
      <c r="A91" s="1245"/>
      <c r="D91" s="1246"/>
      <c r="K91" s="496"/>
      <c r="L91" s="496"/>
      <c r="AO91" s="3322"/>
      <c r="AP91" s="3322"/>
      <c r="AQ91" s="3322"/>
      <c r="AR91" s="3322"/>
      <c r="AS91" s="3322"/>
    </row>
    <row r="92" spans="1:45" s="493" customFormat="1">
      <c r="A92" s="1245"/>
      <c r="D92" s="1246"/>
      <c r="K92" s="496"/>
      <c r="L92" s="496"/>
      <c r="AO92" s="3322"/>
      <c r="AP92" s="3322"/>
      <c r="AQ92" s="3322"/>
      <c r="AR92" s="3322"/>
      <c r="AS92" s="3322"/>
    </row>
    <row r="93" spans="1:45" s="493" customFormat="1">
      <c r="A93" s="1245"/>
      <c r="D93" s="1246"/>
      <c r="K93" s="496"/>
      <c r="L93" s="496"/>
      <c r="AO93" s="3322"/>
      <c r="AP93" s="3322"/>
      <c r="AQ93" s="3322"/>
      <c r="AR93" s="3322"/>
      <c r="AS93" s="3322"/>
    </row>
    <row r="94" spans="1:45" s="493" customFormat="1">
      <c r="A94" s="1245"/>
      <c r="D94" s="1246"/>
      <c r="K94" s="496"/>
      <c r="L94" s="496"/>
      <c r="AO94" s="3322"/>
      <c r="AP94" s="3322"/>
      <c r="AQ94" s="3322"/>
      <c r="AR94" s="3322"/>
      <c r="AS94" s="3322"/>
    </row>
    <row r="95" spans="1:45" s="493" customFormat="1">
      <c r="A95" s="1245"/>
      <c r="D95" s="1246"/>
      <c r="K95" s="496"/>
      <c r="L95" s="496"/>
      <c r="AO95" s="3322"/>
      <c r="AP95" s="3322"/>
      <c r="AQ95" s="3322"/>
      <c r="AR95" s="3322"/>
      <c r="AS95" s="3322"/>
    </row>
    <row r="96" spans="1:45" s="493" customFormat="1">
      <c r="A96" s="1245"/>
      <c r="D96" s="1246"/>
      <c r="K96" s="496"/>
      <c r="L96" s="496"/>
      <c r="AO96" s="3322"/>
      <c r="AP96" s="3322"/>
      <c r="AQ96" s="3322"/>
      <c r="AR96" s="3322"/>
      <c r="AS96" s="3322"/>
    </row>
    <row r="97" spans="1:45" s="493" customFormat="1">
      <c r="A97" s="1245"/>
      <c r="D97" s="1246"/>
      <c r="K97" s="496"/>
      <c r="L97" s="496"/>
      <c r="AO97" s="3322"/>
      <c r="AP97" s="3322"/>
      <c r="AQ97" s="3322"/>
      <c r="AR97" s="3322"/>
      <c r="AS97" s="3322"/>
    </row>
    <row r="98" spans="1:45" s="493" customFormat="1">
      <c r="A98" s="1245"/>
      <c r="D98" s="1246"/>
      <c r="K98" s="496"/>
      <c r="L98" s="496"/>
      <c r="AO98" s="3322"/>
      <c r="AP98" s="3322"/>
      <c r="AQ98" s="3322"/>
      <c r="AR98" s="3322"/>
      <c r="AS98" s="3322"/>
    </row>
    <row r="99" spans="1:45" s="493" customFormat="1">
      <c r="A99" s="1245"/>
      <c r="D99" s="1246"/>
      <c r="K99" s="496"/>
      <c r="L99" s="496"/>
      <c r="AO99" s="3322"/>
      <c r="AP99" s="3322"/>
      <c r="AQ99" s="3322"/>
      <c r="AR99" s="3322"/>
      <c r="AS99" s="3322"/>
    </row>
    <row r="100" spans="1:45" s="493" customFormat="1">
      <c r="A100" s="1245"/>
      <c r="D100" s="1246"/>
      <c r="K100" s="496"/>
      <c r="L100" s="496"/>
      <c r="AO100" s="3322"/>
      <c r="AP100" s="3322"/>
      <c r="AQ100" s="3322"/>
      <c r="AR100" s="3322"/>
      <c r="AS100" s="3322"/>
    </row>
    <row r="101" spans="1:45" s="493" customFormat="1">
      <c r="A101" s="1245"/>
      <c r="D101" s="1246"/>
      <c r="K101" s="496"/>
      <c r="L101" s="496"/>
      <c r="AO101" s="3322"/>
      <c r="AP101" s="3322"/>
      <c r="AQ101" s="3322"/>
      <c r="AR101" s="3322"/>
      <c r="AS101" s="3322"/>
    </row>
    <row r="102" spans="1:45" s="493" customFormat="1">
      <c r="A102" s="1245"/>
      <c r="D102" s="1246"/>
      <c r="K102" s="496"/>
      <c r="L102" s="496"/>
      <c r="AO102" s="3322"/>
      <c r="AP102" s="3322"/>
      <c r="AQ102" s="3322"/>
      <c r="AR102" s="3322"/>
      <c r="AS102" s="3322"/>
    </row>
    <row r="103" spans="1:45" s="493" customFormat="1">
      <c r="A103" s="1245"/>
      <c r="D103" s="1246"/>
      <c r="K103" s="496"/>
      <c r="L103" s="496"/>
      <c r="AO103" s="3322"/>
      <c r="AP103" s="3322"/>
      <c r="AQ103" s="3322"/>
      <c r="AR103" s="3322"/>
      <c r="AS103" s="3322"/>
    </row>
    <row r="104" spans="1:45" s="493" customFormat="1">
      <c r="A104" s="1245"/>
      <c r="D104" s="1246"/>
      <c r="K104" s="496"/>
      <c r="L104" s="496"/>
      <c r="AO104" s="3322"/>
      <c r="AP104" s="3322"/>
      <c r="AQ104" s="3322"/>
      <c r="AR104" s="3322"/>
      <c r="AS104" s="3322"/>
    </row>
    <row r="105" spans="1:45" s="493" customFormat="1">
      <c r="A105" s="1245"/>
      <c r="D105" s="1246"/>
      <c r="K105" s="496"/>
      <c r="L105" s="496"/>
      <c r="AO105" s="3322"/>
      <c r="AP105" s="3322"/>
      <c r="AQ105" s="3322"/>
      <c r="AR105" s="3322"/>
      <c r="AS105" s="3322"/>
    </row>
    <row r="106" spans="1:45" s="493" customFormat="1">
      <c r="A106" s="1245"/>
      <c r="D106" s="1246"/>
      <c r="K106" s="496"/>
      <c r="L106" s="496"/>
      <c r="AO106" s="3322"/>
      <c r="AP106" s="3322"/>
      <c r="AQ106" s="3322"/>
      <c r="AR106" s="3322"/>
      <c r="AS106" s="3322"/>
    </row>
    <row r="107" spans="1:45" s="493" customFormat="1">
      <c r="A107" s="1245"/>
      <c r="D107" s="1246"/>
      <c r="K107" s="496"/>
      <c r="L107" s="496"/>
      <c r="AO107" s="3322"/>
      <c r="AP107" s="3322"/>
      <c r="AQ107" s="3322"/>
      <c r="AR107" s="3322"/>
      <c r="AS107" s="3322"/>
    </row>
    <row r="108" spans="1:45" s="493" customFormat="1">
      <c r="A108" s="1245"/>
      <c r="D108" s="1246"/>
      <c r="K108" s="496"/>
      <c r="L108" s="496"/>
      <c r="AO108" s="3322"/>
      <c r="AP108" s="3322"/>
      <c r="AQ108" s="3322"/>
      <c r="AR108" s="3322"/>
      <c r="AS108" s="3322"/>
    </row>
    <row r="109" spans="1:45" s="493" customFormat="1">
      <c r="A109" s="1245"/>
      <c r="D109" s="1246"/>
      <c r="K109" s="496"/>
      <c r="L109" s="496"/>
      <c r="AO109" s="3322"/>
      <c r="AP109" s="3322"/>
      <c r="AQ109" s="3322"/>
      <c r="AR109" s="3322"/>
      <c r="AS109" s="3322"/>
    </row>
    <row r="110" spans="1:45" s="493" customFormat="1">
      <c r="A110" s="1245"/>
      <c r="D110" s="1246"/>
      <c r="K110" s="496"/>
      <c r="L110" s="496"/>
      <c r="AO110" s="3322"/>
      <c r="AP110" s="3322"/>
      <c r="AQ110" s="3322"/>
      <c r="AR110" s="3322"/>
      <c r="AS110" s="3322"/>
    </row>
    <row r="111" spans="1:45" s="493" customFormat="1">
      <c r="A111" s="1245"/>
      <c r="D111" s="1246"/>
      <c r="K111" s="496"/>
      <c r="L111" s="496"/>
      <c r="AO111" s="3322"/>
      <c r="AP111" s="3322"/>
      <c r="AQ111" s="3322"/>
      <c r="AR111" s="3322"/>
      <c r="AS111" s="3322"/>
    </row>
    <row r="112" spans="1:45" s="493" customFormat="1">
      <c r="A112" s="1245"/>
      <c r="D112" s="1246"/>
      <c r="K112" s="496"/>
      <c r="L112" s="496"/>
      <c r="AO112" s="3322"/>
      <c r="AP112" s="3322"/>
      <c r="AQ112" s="3322"/>
      <c r="AR112" s="3322"/>
      <c r="AS112" s="3322"/>
    </row>
    <row r="113" spans="1:45" s="493" customFormat="1">
      <c r="A113" s="1245"/>
      <c r="D113" s="1246"/>
      <c r="K113" s="496"/>
      <c r="L113" s="496"/>
      <c r="AO113" s="3322"/>
      <c r="AP113" s="3322"/>
      <c r="AQ113" s="3322"/>
      <c r="AR113" s="3322"/>
      <c r="AS113" s="3322"/>
    </row>
    <row r="114" spans="1:45" s="493" customFormat="1">
      <c r="A114" s="1245"/>
      <c r="D114" s="1246"/>
      <c r="K114" s="496"/>
      <c r="L114" s="496"/>
      <c r="AO114" s="3322"/>
      <c r="AP114" s="3322"/>
      <c r="AQ114" s="3322"/>
      <c r="AR114" s="3322"/>
      <c r="AS114" s="3322"/>
    </row>
    <row r="115" spans="1:45" s="493" customFormat="1">
      <c r="A115" s="1245"/>
      <c r="D115" s="1246"/>
      <c r="K115" s="496"/>
      <c r="L115" s="496"/>
      <c r="AO115" s="3322"/>
      <c r="AP115" s="3322"/>
      <c r="AQ115" s="3322"/>
      <c r="AR115" s="3322"/>
      <c r="AS115" s="3322"/>
    </row>
    <row r="116" spans="1:45" s="493" customFormat="1">
      <c r="A116" s="1245"/>
      <c r="D116" s="1246"/>
      <c r="K116" s="496"/>
      <c r="L116" s="496"/>
      <c r="AO116" s="3322"/>
      <c r="AP116" s="3322"/>
      <c r="AQ116" s="3322"/>
      <c r="AR116" s="3322"/>
      <c r="AS116" s="3322"/>
    </row>
    <row r="117" spans="1:45" s="493" customFormat="1">
      <c r="A117" s="1245"/>
      <c r="D117" s="1246"/>
      <c r="K117" s="496"/>
      <c r="L117" s="496"/>
      <c r="AO117" s="3322"/>
      <c r="AP117" s="3322"/>
      <c r="AQ117" s="3322"/>
      <c r="AR117" s="3322"/>
      <c r="AS117" s="3322"/>
    </row>
    <row r="118" spans="1:45" s="493" customFormat="1">
      <c r="A118" s="1245"/>
      <c r="D118" s="1246"/>
      <c r="K118" s="496"/>
      <c r="L118" s="496"/>
      <c r="AO118" s="3322"/>
      <c r="AP118" s="3322"/>
      <c r="AQ118" s="3322"/>
      <c r="AR118" s="3322"/>
      <c r="AS118" s="3322"/>
    </row>
    <row r="119" spans="1:45" s="493" customFormat="1">
      <c r="A119" s="1245"/>
      <c r="D119" s="1246"/>
      <c r="K119" s="496"/>
      <c r="L119" s="496"/>
      <c r="AO119" s="3322"/>
      <c r="AP119" s="3322"/>
      <c r="AQ119" s="3322"/>
      <c r="AR119" s="3322"/>
      <c r="AS119" s="3322"/>
    </row>
    <row r="120" spans="1:45" s="493" customFormat="1">
      <c r="A120" s="1245"/>
      <c r="D120" s="1246"/>
      <c r="K120" s="496"/>
      <c r="L120" s="496"/>
      <c r="AO120" s="3322"/>
      <c r="AP120" s="3322"/>
      <c r="AQ120" s="3322"/>
      <c r="AR120" s="3322"/>
      <c r="AS120" s="3322"/>
    </row>
    <row r="121" spans="1:45" s="493" customFormat="1">
      <c r="A121" s="1245"/>
      <c r="D121" s="1246"/>
      <c r="K121" s="496"/>
      <c r="L121" s="496"/>
      <c r="AO121" s="3322"/>
      <c r="AP121" s="3322"/>
      <c r="AQ121" s="3322"/>
      <c r="AR121" s="3322"/>
      <c r="AS121" s="3322"/>
    </row>
    <row r="122" spans="1:45" s="493" customFormat="1">
      <c r="A122" s="1245"/>
      <c r="D122" s="1246"/>
      <c r="K122" s="496"/>
      <c r="L122" s="496"/>
      <c r="AO122" s="3322"/>
      <c r="AP122" s="3322"/>
      <c r="AQ122" s="3322"/>
      <c r="AR122" s="3322"/>
      <c r="AS122" s="3322"/>
    </row>
    <row r="123" spans="1:45" s="493" customFormat="1">
      <c r="A123" s="1245"/>
      <c r="D123" s="1246"/>
      <c r="K123" s="496"/>
      <c r="L123" s="496"/>
      <c r="AO123" s="3322"/>
      <c r="AP123" s="3322"/>
      <c r="AQ123" s="3322"/>
      <c r="AR123" s="3322"/>
      <c r="AS123" s="3322"/>
    </row>
    <row r="124" spans="1:45" s="493" customFormat="1">
      <c r="A124" s="1245"/>
      <c r="D124" s="1246"/>
      <c r="K124" s="496"/>
      <c r="L124" s="496"/>
      <c r="AO124" s="3322"/>
      <c r="AP124" s="3322"/>
      <c r="AQ124" s="3322"/>
      <c r="AR124" s="3322"/>
      <c r="AS124" s="3322"/>
    </row>
    <row r="125" spans="1:45" s="493" customFormat="1">
      <c r="A125" s="1245"/>
      <c r="D125" s="1246"/>
      <c r="K125" s="496"/>
      <c r="L125" s="496"/>
      <c r="AO125" s="3322"/>
      <c r="AP125" s="3322"/>
      <c r="AQ125" s="3322"/>
      <c r="AR125" s="3322"/>
      <c r="AS125" s="3322"/>
    </row>
    <row r="126" spans="1:45" s="493" customFormat="1">
      <c r="A126" s="1245"/>
      <c r="D126" s="1246"/>
      <c r="K126" s="496"/>
      <c r="L126" s="496"/>
      <c r="AO126" s="3322"/>
      <c r="AP126" s="3322"/>
      <c r="AQ126" s="3322"/>
      <c r="AR126" s="3322"/>
      <c r="AS126" s="3322"/>
    </row>
    <row r="127" spans="1:45" s="493" customFormat="1">
      <c r="A127" s="1245"/>
      <c r="D127" s="1246"/>
      <c r="K127" s="496"/>
      <c r="L127" s="496"/>
      <c r="AO127" s="3322"/>
      <c r="AP127" s="3322"/>
      <c r="AQ127" s="3322"/>
      <c r="AR127" s="3322"/>
      <c r="AS127" s="3322"/>
    </row>
    <row r="128" spans="1:45" s="493" customFormat="1">
      <c r="A128" s="1245"/>
      <c r="D128" s="1246"/>
      <c r="K128" s="496"/>
      <c r="L128" s="496"/>
      <c r="AO128" s="3322"/>
      <c r="AP128" s="3322"/>
      <c r="AQ128" s="3322"/>
      <c r="AR128" s="3322"/>
      <c r="AS128" s="3322"/>
    </row>
    <row r="129" spans="1:45" s="493" customFormat="1">
      <c r="A129" s="1245"/>
      <c r="D129" s="1246"/>
      <c r="K129" s="496"/>
      <c r="L129" s="496"/>
      <c r="AO129" s="3322"/>
      <c r="AP129" s="3322"/>
      <c r="AQ129" s="3322"/>
      <c r="AR129" s="3322"/>
      <c r="AS129" s="3322"/>
    </row>
    <row r="130" spans="1:45" s="493" customFormat="1">
      <c r="A130" s="1245"/>
      <c r="D130" s="1246"/>
      <c r="K130" s="496"/>
      <c r="L130" s="496"/>
      <c r="AO130" s="3322"/>
      <c r="AP130" s="3322"/>
      <c r="AQ130" s="3322"/>
      <c r="AR130" s="3322"/>
      <c r="AS130" s="3322"/>
    </row>
    <row r="131" spans="1:45" s="493" customFormat="1">
      <c r="A131" s="1245"/>
      <c r="D131" s="1246"/>
      <c r="K131" s="496"/>
      <c r="L131" s="496"/>
      <c r="AO131" s="3322"/>
      <c r="AP131" s="3322"/>
      <c r="AQ131" s="3322"/>
      <c r="AR131" s="3322"/>
      <c r="AS131" s="3322"/>
    </row>
    <row r="132" spans="1:45" s="493" customFormat="1">
      <c r="A132" s="1245"/>
      <c r="D132" s="1246"/>
      <c r="K132" s="496"/>
      <c r="L132" s="496"/>
      <c r="AO132" s="3322"/>
      <c r="AP132" s="3322"/>
      <c r="AQ132" s="3322"/>
      <c r="AR132" s="3322"/>
      <c r="AS132" s="3322"/>
    </row>
    <row r="133" spans="1:45" s="493" customFormat="1">
      <c r="A133" s="1245"/>
      <c r="D133" s="1246"/>
      <c r="K133" s="496"/>
      <c r="L133" s="496"/>
      <c r="AO133" s="3322"/>
      <c r="AP133" s="3322"/>
      <c r="AQ133" s="3322"/>
      <c r="AR133" s="3322"/>
      <c r="AS133" s="3322"/>
    </row>
    <row r="134" spans="1:45" s="493" customFormat="1">
      <c r="A134" s="1245"/>
      <c r="D134" s="1246"/>
      <c r="K134" s="496"/>
      <c r="L134" s="496"/>
      <c r="AO134" s="3322"/>
      <c r="AP134" s="3322"/>
      <c r="AQ134" s="3322"/>
      <c r="AR134" s="3322"/>
      <c r="AS134" s="3322"/>
    </row>
    <row r="135" spans="1:45" s="48" customFormat="1">
      <c r="A135" s="1247"/>
      <c r="D135" s="1248"/>
      <c r="K135" s="15"/>
      <c r="L135" s="15"/>
      <c r="AO135" s="3317"/>
      <c r="AP135" s="3317"/>
      <c r="AQ135" s="3317"/>
      <c r="AR135" s="3317"/>
      <c r="AS135" s="3317"/>
    </row>
    <row r="136" spans="1:45" s="48" customFormat="1">
      <c r="A136" s="1247"/>
      <c r="D136" s="1248"/>
      <c r="K136" s="15"/>
      <c r="L136" s="15"/>
      <c r="AO136" s="3317"/>
      <c r="AP136" s="3317"/>
      <c r="AQ136" s="3317"/>
      <c r="AR136" s="3317"/>
      <c r="AS136" s="3317"/>
    </row>
    <row r="137" spans="1:45" s="48" customFormat="1">
      <c r="A137" s="1247"/>
      <c r="D137" s="1248"/>
      <c r="K137" s="15"/>
      <c r="L137" s="15"/>
      <c r="AO137" s="3317"/>
      <c r="AP137" s="3317"/>
      <c r="AQ137" s="3317"/>
      <c r="AR137" s="3317"/>
      <c r="AS137" s="3317"/>
    </row>
    <row r="138" spans="1:45" s="48" customFormat="1">
      <c r="A138" s="1247"/>
      <c r="D138" s="1248"/>
      <c r="K138" s="15"/>
      <c r="L138" s="15"/>
      <c r="AO138" s="3317"/>
      <c r="AP138" s="3317"/>
      <c r="AQ138" s="3317"/>
      <c r="AR138" s="3317"/>
      <c r="AS138" s="3317"/>
    </row>
    <row r="139" spans="1:45" s="48" customFormat="1">
      <c r="A139" s="1247"/>
      <c r="D139" s="1248"/>
      <c r="K139" s="15"/>
      <c r="L139" s="15"/>
      <c r="AO139" s="3317"/>
      <c r="AP139" s="3317"/>
      <c r="AQ139" s="3317"/>
      <c r="AR139" s="3317"/>
      <c r="AS139" s="3317"/>
    </row>
    <row r="140" spans="1:45" s="48" customFormat="1">
      <c r="A140" s="1247"/>
      <c r="D140" s="1248"/>
      <c r="K140" s="15"/>
      <c r="L140" s="15"/>
      <c r="AO140" s="3317"/>
      <c r="AP140" s="3317"/>
      <c r="AQ140" s="3317"/>
      <c r="AR140" s="3317"/>
      <c r="AS140" s="3317"/>
    </row>
    <row r="141" spans="1:45" s="48" customFormat="1">
      <c r="A141" s="1247"/>
      <c r="D141" s="1248"/>
      <c r="K141" s="15"/>
      <c r="L141" s="15"/>
      <c r="AO141" s="3317"/>
      <c r="AP141" s="3317"/>
      <c r="AQ141" s="3317"/>
      <c r="AR141" s="3317"/>
      <c r="AS141" s="3317"/>
    </row>
    <row r="142" spans="1:45" s="48" customFormat="1">
      <c r="A142" s="1247"/>
      <c r="D142" s="1248"/>
      <c r="K142" s="15"/>
      <c r="L142" s="15"/>
      <c r="AO142" s="3317"/>
      <c r="AP142" s="3317"/>
      <c r="AQ142" s="3317"/>
      <c r="AR142" s="3317"/>
      <c r="AS142" s="3317"/>
    </row>
    <row r="143" spans="1:45" s="48" customFormat="1">
      <c r="A143" s="1247"/>
      <c r="D143" s="1248"/>
      <c r="K143" s="15"/>
      <c r="L143" s="15"/>
      <c r="AO143" s="3317"/>
      <c r="AP143" s="3317"/>
      <c r="AQ143" s="3317"/>
      <c r="AR143" s="3317"/>
      <c r="AS143" s="3317"/>
    </row>
    <row r="144" spans="1:45" s="48" customFormat="1">
      <c r="A144" s="1247"/>
      <c r="D144" s="1248"/>
      <c r="K144" s="15"/>
      <c r="L144" s="15"/>
      <c r="AO144" s="3317"/>
      <c r="AP144" s="3317"/>
      <c r="AQ144" s="3317"/>
      <c r="AR144" s="3317"/>
      <c r="AS144" s="3317"/>
    </row>
    <row r="145" spans="1:45" s="48" customFormat="1">
      <c r="A145" s="1247"/>
      <c r="D145" s="1248"/>
      <c r="K145" s="15"/>
      <c r="L145" s="15"/>
      <c r="AO145" s="3317"/>
      <c r="AP145" s="3317"/>
      <c r="AQ145" s="3317"/>
      <c r="AR145" s="3317"/>
      <c r="AS145" s="3317"/>
    </row>
    <row r="146" spans="1:45" s="48" customFormat="1">
      <c r="A146" s="1247"/>
      <c r="D146" s="1248"/>
      <c r="K146" s="15"/>
      <c r="L146" s="15"/>
      <c r="AO146" s="3317"/>
      <c r="AP146" s="3317"/>
      <c r="AQ146" s="3317"/>
      <c r="AR146" s="3317"/>
      <c r="AS146" s="3317"/>
    </row>
    <row r="147" spans="1:45" s="48" customFormat="1">
      <c r="A147" s="1247"/>
      <c r="D147" s="1248"/>
      <c r="K147" s="15"/>
      <c r="L147" s="15"/>
      <c r="AO147" s="3317"/>
      <c r="AP147" s="3317"/>
      <c r="AQ147" s="3317"/>
      <c r="AR147" s="3317"/>
      <c r="AS147" s="3317"/>
    </row>
    <row r="148" spans="1:45" s="48" customFormat="1">
      <c r="A148" s="1247"/>
      <c r="D148" s="1248"/>
      <c r="K148" s="15"/>
      <c r="L148" s="15"/>
      <c r="AO148" s="3317"/>
      <c r="AP148" s="3317"/>
      <c r="AQ148" s="3317"/>
      <c r="AR148" s="3317"/>
      <c r="AS148" s="3317"/>
    </row>
    <row r="149" spans="1:45" s="48" customFormat="1">
      <c r="A149" s="1247"/>
      <c r="D149" s="1248"/>
      <c r="K149" s="15"/>
      <c r="L149" s="15"/>
      <c r="AO149" s="3317"/>
      <c r="AP149" s="3317"/>
      <c r="AQ149" s="3317"/>
      <c r="AR149" s="3317"/>
      <c r="AS149" s="3317"/>
    </row>
    <row r="150" spans="1:45" s="48" customFormat="1">
      <c r="A150" s="1247"/>
      <c r="D150" s="1248"/>
      <c r="K150" s="15"/>
      <c r="L150" s="15"/>
      <c r="AO150" s="3317"/>
      <c r="AP150" s="3317"/>
      <c r="AQ150" s="3317"/>
      <c r="AR150" s="3317"/>
      <c r="AS150" s="3317"/>
    </row>
    <row r="151" spans="1:45" s="48" customFormat="1">
      <c r="A151" s="1247"/>
      <c r="D151" s="1248"/>
      <c r="K151" s="15"/>
      <c r="L151" s="15"/>
      <c r="AO151" s="3317"/>
      <c r="AP151" s="3317"/>
      <c r="AQ151" s="3317"/>
      <c r="AR151" s="3317"/>
      <c r="AS151" s="3317"/>
    </row>
    <row r="152" spans="1:45" s="48" customFormat="1">
      <c r="A152" s="1247"/>
      <c r="D152" s="1248"/>
      <c r="K152" s="15"/>
      <c r="L152" s="15"/>
      <c r="AO152" s="3317"/>
      <c r="AP152" s="3317"/>
      <c r="AQ152" s="3317"/>
      <c r="AR152" s="3317"/>
      <c r="AS152" s="3317"/>
    </row>
    <row r="153" spans="1:45" s="48" customFormat="1">
      <c r="A153" s="1247"/>
      <c r="D153" s="1248"/>
      <c r="K153" s="15"/>
      <c r="L153" s="15"/>
      <c r="AO153" s="3317"/>
      <c r="AP153" s="3317"/>
      <c r="AQ153" s="3317"/>
      <c r="AR153" s="3317"/>
      <c r="AS153" s="3317"/>
    </row>
    <row r="154" spans="1:45" s="48" customFormat="1">
      <c r="A154" s="1247"/>
      <c r="D154" s="1248"/>
      <c r="K154" s="15"/>
      <c r="L154" s="15"/>
      <c r="AO154" s="3317"/>
      <c r="AP154" s="3317"/>
      <c r="AQ154" s="3317"/>
      <c r="AR154" s="3317"/>
      <c r="AS154" s="3317"/>
    </row>
    <row r="155" spans="1:45" s="48" customFormat="1">
      <c r="A155" s="1247"/>
      <c r="D155" s="1248"/>
      <c r="K155" s="15"/>
      <c r="L155" s="15"/>
      <c r="AO155" s="3317"/>
      <c r="AP155" s="3317"/>
      <c r="AQ155" s="3317"/>
      <c r="AR155" s="3317"/>
      <c r="AS155" s="3317"/>
    </row>
    <row r="156" spans="1:45" s="48" customFormat="1">
      <c r="A156" s="1247"/>
      <c r="D156" s="1248"/>
      <c r="K156" s="15"/>
      <c r="L156" s="15"/>
      <c r="AO156" s="3317"/>
      <c r="AP156" s="3317"/>
      <c r="AQ156" s="3317"/>
      <c r="AR156" s="3317"/>
      <c r="AS156" s="3317"/>
    </row>
    <row r="157" spans="1:45" s="48" customFormat="1">
      <c r="A157" s="1247"/>
      <c r="D157" s="1248"/>
      <c r="K157" s="15"/>
      <c r="L157" s="15"/>
      <c r="AO157" s="3317"/>
      <c r="AP157" s="3317"/>
      <c r="AQ157" s="3317"/>
      <c r="AR157" s="3317"/>
      <c r="AS157" s="3317"/>
    </row>
    <row r="158" spans="1:45" s="48" customFormat="1">
      <c r="A158" s="1247"/>
      <c r="D158" s="1248"/>
      <c r="K158" s="15"/>
      <c r="L158" s="15"/>
      <c r="AO158" s="3317"/>
      <c r="AP158" s="3317"/>
      <c r="AQ158" s="3317"/>
      <c r="AR158" s="3317"/>
      <c r="AS158" s="3317"/>
    </row>
    <row r="159" spans="1:45" s="48" customFormat="1">
      <c r="A159" s="1247"/>
      <c r="D159" s="1248"/>
      <c r="K159" s="15"/>
      <c r="L159" s="15"/>
      <c r="AO159" s="3317"/>
      <c r="AP159" s="3317"/>
      <c r="AQ159" s="3317"/>
      <c r="AR159" s="3317"/>
      <c r="AS159" s="3317"/>
    </row>
    <row r="160" spans="1:45" s="48" customFormat="1">
      <c r="A160" s="1247"/>
      <c r="D160" s="1248"/>
      <c r="K160" s="15"/>
      <c r="L160" s="15"/>
      <c r="AO160" s="3317"/>
      <c r="AP160" s="3317"/>
      <c r="AQ160" s="3317"/>
      <c r="AR160" s="3317"/>
      <c r="AS160" s="3317"/>
    </row>
    <row r="161" spans="1:45" s="48" customFormat="1">
      <c r="A161" s="1247"/>
      <c r="D161" s="1248"/>
      <c r="K161" s="15"/>
      <c r="L161" s="15"/>
      <c r="AO161" s="3317"/>
      <c r="AP161" s="3317"/>
      <c r="AQ161" s="3317"/>
      <c r="AR161" s="3317"/>
      <c r="AS161" s="3317"/>
    </row>
    <row r="162" spans="1:45" s="48" customFormat="1">
      <c r="A162" s="1247"/>
      <c r="D162" s="1248"/>
      <c r="K162" s="15"/>
      <c r="L162" s="15"/>
      <c r="AO162" s="3317"/>
      <c r="AP162" s="3317"/>
      <c r="AQ162" s="3317"/>
      <c r="AR162" s="3317"/>
      <c r="AS162" s="3317"/>
    </row>
    <row r="163" spans="1:45" s="48" customFormat="1">
      <c r="A163" s="1247"/>
      <c r="D163" s="1248"/>
      <c r="K163" s="15"/>
      <c r="L163" s="15"/>
      <c r="AO163" s="3317"/>
      <c r="AP163" s="3317"/>
      <c r="AQ163" s="3317"/>
      <c r="AR163" s="3317"/>
      <c r="AS163" s="3317"/>
    </row>
    <row r="164" spans="1:45" s="48" customFormat="1">
      <c r="A164" s="1247"/>
      <c r="D164" s="1248"/>
      <c r="K164" s="15"/>
      <c r="L164" s="15"/>
      <c r="AO164" s="3317"/>
      <c r="AP164" s="3317"/>
      <c r="AQ164" s="3317"/>
      <c r="AR164" s="3317"/>
      <c r="AS164" s="3317"/>
    </row>
    <row r="165" spans="1:45" s="48" customFormat="1">
      <c r="A165" s="1247"/>
      <c r="D165" s="1248"/>
      <c r="K165" s="15"/>
      <c r="L165" s="15"/>
      <c r="AO165" s="3317"/>
      <c r="AP165" s="3317"/>
      <c r="AQ165" s="3317"/>
      <c r="AR165" s="3317"/>
      <c r="AS165" s="3317"/>
    </row>
    <row r="166" spans="1:45" s="48" customFormat="1">
      <c r="A166" s="1247"/>
      <c r="D166" s="1248"/>
      <c r="K166" s="15"/>
      <c r="L166" s="15"/>
      <c r="AO166" s="3317"/>
      <c r="AP166" s="3317"/>
      <c r="AQ166" s="3317"/>
      <c r="AR166" s="3317"/>
      <c r="AS166" s="3317"/>
    </row>
    <row r="167" spans="1:45" s="48" customFormat="1">
      <c r="A167" s="1247"/>
      <c r="D167" s="1248"/>
      <c r="K167" s="15"/>
      <c r="L167" s="15"/>
      <c r="AO167" s="3317"/>
      <c r="AP167" s="3317"/>
      <c r="AQ167" s="3317"/>
      <c r="AR167" s="3317"/>
      <c r="AS167" s="3317"/>
    </row>
    <row r="168" spans="1:45" s="48" customFormat="1">
      <c r="A168" s="1247"/>
      <c r="D168" s="1248"/>
      <c r="K168" s="15"/>
      <c r="L168" s="15"/>
      <c r="AO168" s="3317"/>
      <c r="AP168" s="3317"/>
      <c r="AQ168" s="3317"/>
      <c r="AR168" s="3317"/>
      <c r="AS168" s="3317"/>
    </row>
    <row r="169" spans="1:45" s="48" customFormat="1">
      <c r="A169" s="1247"/>
      <c r="D169" s="1248"/>
      <c r="K169" s="15"/>
      <c r="L169" s="15"/>
      <c r="AO169" s="3317"/>
      <c r="AP169" s="3317"/>
      <c r="AQ169" s="3317"/>
      <c r="AR169" s="3317"/>
      <c r="AS169" s="3317"/>
    </row>
    <row r="170" spans="1:45" s="48" customFormat="1">
      <c r="A170" s="1247"/>
      <c r="D170" s="1248"/>
      <c r="K170" s="15"/>
      <c r="L170" s="15"/>
      <c r="AO170" s="3317"/>
      <c r="AP170" s="3317"/>
      <c r="AQ170" s="3317"/>
      <c r="AR170" s="3317"/>
      <c r="AS170" s="3317"/>
    </row>
    <row r="171" spans="1:45" s="48" customFormat="1">
      <c r="A171" s="1247"/>
      <c r="D171" s="1248"/>
      <c r="K171" s="15"/>
      <c r="L171" s="15"/>
      <c r="AO171" s="3317"/>
      <c r="AP171" s="3317"/>
      <c r="AQ171" s="3317"/>
      <c r="AR171" s="3317"/>
      <c r="AS171" s="3317"/>
    </row>
    <row r="172" spans="1:45" s="48" customFormat="1">
      <c r="A172" s="1247"/>
      <c r="D172" s="1248"/>
      <c r="K172" s="15"/>
      <c r="L172" s="15"/>
      <c r="AO172" s="3317"/>
      <c r="AP172" s="3317"/>
      <c r="AQ172" s="3317"/>
      <c r="AR172" s="3317"/>
      <c r="AS172" s="3317"/>
    </row>
    <row r="173" spans="1:45" s="48" customFormat="1">
      <c r="A173" s="1247"/>
      <c r="D173" s="1248"/>
      <c r="K173" s="15"/>
      <c r="L173" s="15"/>
      <c r="AO173" s="3317"/>
      <c r="AP173" s="3317"/>
      <c r="AQ173" s="3317"/>
      <c r="AR173" s="3317"/>
      <c r="AS173" s="3317"/>
    </row>
    <row r="174" spans="1:45" s="48" customFormat="1">
      <c r="A174" s="1247"/>
      <c r="D174" s="1248"/>
      <c r="K174" s="15"/>
      <c r="L174" s="15"/>
      <c r="AO174" s="3317"/>
      <c r="AP174" s="3317"/>
      <c r="AQ174" s="3317"/>
      <c r="AR174" s="3317"/>
      <c r="AS174" s="3317"/>
    </row>
    <row r="175" spans="1:45" s="48" customFormat="1">
      <c r="A175" s="1247"/>
      <c r="D175" s="1248"/>
      <c r="K175" s="15"/>
      <c r="L175" s="15"/>
      <c r="AO175" s="3317"/>
      <c r="AP175" s="3317"/>
      <c r="AQ175" s="3317"/>
      <c r="AR175" s="3317"/>
      <c r="AS175" s="3317"/>
    </row>
  </sheetData>
  <sheetProtection password="CEE9" sheet="1" objects="1" scenarios="1"/>
  <phoneticPr fontId="3" type="noConversion"/>
  <dataValidations disablePrompts="1"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61" t="s">
        <v>2180</v>
      </c>
      <c r="B1" s="4362"/>
      <c r="C1" s="4362"/>
      <c r="D1" s="4362"/>
      <c r="E1" s="4362"/>
      <c r="F1" s="4362"/>
      <c r="G1" s="4362"/>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2177</v>
      </c>
      <c r="D2" s="1228"/>
      <c r="E2" s="1800"/>
      <c r="F2" s="1803"/>
      <c r="G2" s="1802" t="s">
        <v>2178</v>
      </c>
      <c r="H2" s="521"/>
      <c r="I2" s="521"/>
      <c r="J2" s="521"/>
      <c r="K2" s="521"/>
      <c r="L2" s="521"/>
      <c r="M2" s="521"/>
      <c r="N2" s="521"/>
      <c r="O2" s="521"/>
      <c r="P2" s="521"/>
      <c r="Q2" s="521"/>
    </row>
    <row r="3" spans="1:29" ht="24">
      <c r="A3" s="1787" t="s">
        <v>2179</v>
      </c>
      <c r="B3" s="1804" t="s">
        <v>2155</v>
      </c>
      <c r="C3" s="1805"/>
      <c r="D3" s="1806"/>
      <c r="E3" s="1788" t="s">
        <v>2179</v>
      </c>
      <c r="F3" s="1807" t="s">
        <v>2156</v>
      </c>
      <c r="G3" s="1808"/>
      <c r="H3" s="521"/>
      <c r="I3" s="521"/>
      <c r="J3" s="521"/>
      <c r="K3" s="521"/>
      <c r="L3" s="521"/>
      <c r="M3" s="521"/>
      <c r="N3" s="521"/>
      <c r="O3" s="521"/>
      <c r="P3" s="521"/>
      <c r="Q3" s="521"/>
    </row>
    <row r="4" spans="1:29">
      <c r="A4" s="1788"/>
      <c r="B4" s="206" t="s">
        <v>2157</v>
      </c>
      <c r="C4" s="1809"/>
      <c r="D4" s="1806"/>
      <c r="E4" s="1810"/>
      <c r="F4" s="924" t="s">
        <v>2158</v>
      </c>
      <c r="G4" s="1811"/>
      <c r="H4" s="521"/>
      <c r="I4" s="521"/>
      <c r="J4" s="521"/>
      <c r="K4" s="521"/>
      <c r="L4" s="521"/>
      <c r="M4" s="521"/>
      <c r="N4" s="521"/>
      <c r="O4" s="521"/>
      <c r="P4" s="521"/>
      <c r="Q4" s="521"/>
    </row>
    <row r="5" spans="1:29">
      <c r="A5" s="1788"/>
      <c r="B5" s="206" t="s">
        <v>2159</v>
      </c>
      <c r="C5" s="1809"/>
      <c r="D5" s="1806"/>
      <c r="E5" s="1810"/>
      <c r="F5" s="206" t="s">
        <v>2160</v>
      </c>
      <c r="G5" s="1811"/>
      <c r="H5" s="521"/>
      <c r="I5" s="521"/>
      <c r="J5" s="521"/>
      <c r="K5" s="521"/>
      <c r="L5" s="521"/>
      <c r="M5" s="521"/>
      <c r="N5" s="521"/>
      <c r="O5" s="521"/>
      <c r="P5" s="521"/>
      <c r="Q5" s="521"/>
    </row>
    <row r="6" spans="1:29">
      <c r="A6" s="1788"/>
      <c r="B6" s="206" t="s">
        <v>2161</v>
      </c>
      <c r="C6" s="1811"/>
      <c r="D6" s="1806"/>
      <c r="E6" s="1810"/>
      <c r="F6" s="206" t="s">
        <v>2162</v>
      </c>
      <c r="G6" s="1811"/>
      <c r="H6" s="521"/>
      <c r="I6" s="521"/>
      <c r="J6" s="521"/>
      <c r="K6" s="521"/>
      <c r="L6" s="521"/>
      <c r="M6" s="521"/>
      <c r="N6" s="521"/>
      <c r="O6" s="521"/>
      <c r="P6" s="521"/>
      <c r="Q6" s="521"/>
    </row>
    <row r="7" spans="1:29" ht="15" thickBot="1">
      <c r="A7" s="1788"/>
      <c r="B7" s="206" t="s">
        <v>2160</v>
      </c>
      <c r="C7" s="1811"/>
      <c r="D7" s="1785"/>
      <c r="E7" s="1812"/>
      <c r="F7" s="1813" t="s">
        <v>2163</v>
      </c>
      <c r="G7" s="1814"/>
      <c r="H7" s="521"/>
      <c r="I7" s="521"/>
      <c r="J7" s="521"/>
      <c r="K7" s="521"/>
      <c r="L7" s="521"/>
      <c r="M7" s="521"/>
      <c r="N7" s="521"/>
      <c r="O7" s="521"/>
      <c r="P7" s="521"/>
      <c r="Q7" s="521"/>
    </row>
    <row r="8" spans="1:29">
      <c r="A8" s="1788"/>
      <c r="B8" s="206" t="s">
        <v>2162</v>
      </c>
      <c r="C8" s="1811"/>
      <c r="D8" s="1785"/>
      <c r="E8" s="1785"/>
      <c r="F8" s="47"/>
      <c r="G8" s="47"/>
      <c r="H8" s="521"/>
      <c r="I8" s="521"/>
      <c r="J8" s="521"/>
      <c r="K8" s="521"/>
      <c r="L8" s="521"/>
      <c r="M8" s="521"/>
      <c r="N8" s="521"/>
      <c r="O8" s="521"/>
      <c r="P8" s="521"/>
      <c r="Q8" s="521"/>
    </row>
    <row r="9" spans="1:29">
      <c r="A9" s="1788"/>
      <c r="B9" s="206" t="s">
        <v>2164</v>
      </c>
      <c r="C9" s="1809"/>
      <c r="D9" s="1806"/>
      <c r="E9" s="1785"/>
      <c r="F9" s="47"/>
      <c r="G9" s="47"/>
      <c r="H9" s="521"/>
      <c r="I9" s="521"/>
      <c r="J9" s="521"/>
      <c r="K9" s="521"/>
      <c r="L9" s="521"/>
      <c r="M9" s="521"/>
      <c r="N9" s="521"/>
      <c r="O9" s="521"/>
      <c r="P9" s="521"/>
      <c r="Q9" s="521"/>
    </row>
    <row r="10" spans="1:29" ht="15" thickBot="1">
      <c r="A10" s="1789"/>
      <c r="B10" s="1815" t="s">
        <v>2165</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2181</v>
      </c>
      <c r="B13" s="1820"/>
      <c r="C13" s="1820"/>
      <c r="D13" s="1819"/>
      <c r="E13" s="1820"/>
      <c r="F13" s="1820"/>
      <c r="G13" s="1820"/>
    </row>
    <row r="14" spans="1:29" ht="15" thickBot="1">
      <c r="A14" s="1825"/>
      <c r="B14" s="1825"/>
      <c r="C14" s="1826" t="s">
        <v>2166</v>
      </c>
      <c r="D14" s="1806"/>
      <c r="E14" s="1827"/>
      <c r="F14" s="1827"/>
      <c r="G14" s="1802" t="s">
        <v>2167</v>
      </c>
    </row>
    <row r="15" spans="1:29" ht="24">
      <c r="A15" s="1790" t="s">
        <v>2168</v>
      </c>
      <c r="B15" s="1828" t="s">
        <v>2155</v>
      </c>
      <c r="C15" s="1829">
        <f>C3</f>
        <v>0</v>
      </c>
      <c r="D15" s="1806"/>
      <c r="E15" s="1791" t="s">
        <v>2169</v>
      </c>
      <c r="F15" s="1828" t="s">
        <v>2170</v>
      </c>
      <c r="G15" s="1830">
        <f>G3</f>
        <v>0</v>
      </c>
    </row>
    <row r="16" spans="1:29">
      <c r="A16" s="1792"/>
      <c r="B16" s="1831" t="s">
        <v>2157</v>
      </c>
      <c r="C16" s="1832">
        <f>C4</f>
        <v>0</v>
      </c>
      <c r="D16" s="1806"/>
      <c r="E16" s="1793"/>
      <c r="F16" s="1833" t="s">
        <v>2158</v>
      </c>
      <c r="G16" s="1834">
        <f>G4</f>
        <v>0</v>
      </c>
    </row>
    <row r="17" spans="1:17">
      <c r="A17" s="1792"/>
      <c r="B17" s="1831" t="s">
        <v>2159</v>
      </c>
      <c r="C17" s="1832">
        <f>C5</f>
        <v>0</v>
      </c>
      <c r="D17" s="1785"/>
      <c r="E17" s="1793"/>
      <c r="F17" s="1833" t="s">
        <v>2171</v>
      </c>
      <c r="G17" s="1835"/>
    </row>
    <row r="18" spans="1:17">
      <c r="A18" s="1792"/>
      <c r="B18" s="1833" t="s">
        <v>2161</v>
      </c>
      <c r="C18" s="1834">
        <f>C6</f>
        <v>0</v>
      </c>
      <c r="D18" s="1785"/>
      <c r="E18" s="1793"/>
      <c r="F18" s="1833" t="s">
        <v>2163</v>
      </c>
      <c r="G18" s="1834">
        <f>G7</f>
        <v>0</v>
      </c>
    </row>
    <row r="19" spans="1:17">
      <c r="A19" s="1792"/>
      <c r="B19" s="1833" t="s">
        <v>2172</v>
      </c>
      <c r="C19" s="1835"/>
      <c r="D19" s="1806"/>
      <c r="E19" s="1793"/>
      <c r="F19" s="206" t="s">
        <v>2160</v>
      </c>
      <c r="G19" s="1834">
        <f>G5</f>
        <v>0</v>
      </c>
    </row>
    <row r="20" spans="1:17">
      <c r="A20" s="1792"/>
      <c r="B20" s="1833" t="s">
        <v>2173</v>
      </c>
      <c r="C20" s="1832">
        <f>C9</f>
        <v>0</v>
      </c>
      <c r="D20" s="1785"/>
      <c r="E20" s="1793"/>
      <c r="F20" s="206" t="s">
        <v>2162</v>
      </c>
      <c r="G20" s="1834">
        <f>G6</f>
        <v>0</v>
      </c>
    </row>
    <row r="21" spans="1:17">
      <c r="A21" s="1792"/>
      <c r="B21" s="206" t="s">
        <v>2160</v>
      </c>
      <c r="C21" s="1834">
        <f>C7</f>
        <v>0</v>
      </c>
      <c r="D21" s="1806"/>
      <c r="E21" s="1793"/>
      <c r="F21" s="1833" t="s">
        <v>2174</v>
      </c>
      <c r="G21" s="1836"/>
    </row>
    <row r="22" spans="1:17" ht="13.5" customHeight="1">
      <c r="A22" s="1792"/>
      <c r="B22" s="206" t="s">
        <v>2162</v>
      </c>
      <c r="C22" s="1834">
        <f>C8</f>
        <v>0</v>
      </c>
      <c r="D22" s="1806"/>
      <c r="E22" s="1793"/>
      <c r="F22" s="1833" t="s">
        <v>2165</v>
      </c>
      <c r="G22" s="1835"/>
    </row>
    <row r="23" spans="1:17" s="521" customFormat="1" ht="15" thickBot="1">
      <c r="A23" s="1792"/>
      <c r="B23" s="1833" t="s">
        <v>2174</v>
      </c>
      <c r="C23" s="1836"/>
      <c r="D23" s="1245"/>
      <c r="E23" s="1794"/>
      <c r="F23" s="1837" t="s">
        <v>2175</v>
      </c>
      <c r="G23" s="1838"/>
      <c r="H23" s="1817"/>
      <c r="I23" s="1817"/>
      <c r="J23" s="1817"/>
      <c r="K23" s="1817"/>
      <c r="L23" s="1817"/>
      <c r="M23" s="1817"/>
      <c r="N23" s="1817"/>
      <c r="O23" s="1817"/>
      <c r="P23" s="1817"/>
      <c r="Q23" s="1817"/>
    </row>
    <row r="24" spans="1:17" s="521" customFormat="1" ht="15" thickBot="1">
      <c r="A24" s="1795"/>
      <c r="B24" s="1837" t="s">
        <v>2176</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138.79</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46050</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1502.0771</v>
      </c>
      <c r="C5" s="1840">
        <f ca="1">ROUND(B5*10000/$B$1,0)</f>
        <v>108227</v>
      </c>
      <c r="D5" s="1840" t="e">
        <f ca="1">ROUND(B5*10000/$B$2,0)</f>
        <v>#DIV/0!</v>
      </c>
      <c r="E5" s="1949"/>
      <c r="F5" s="1950"/>
      <c r="G5" s="1950"/>
      <c r="H5" s="1950"/>
      <c r="I5" s="1950"/>
      <c r="J5" s="1950"/>
      <c r="K5" s="1950"/>
    </row>
    <row r="6" spans="1:11" ht="16.5">
      <c r="A6" s="1840" t="s">
        <v>644</v>
      </c>
      <c r="B6" s="1840">
        <f ca="1">SUM(G14:G23)</f>
        <v>1502.0771</v>
      </c>
      <c r="C6" s="1840">
        <f ca="1">ROUND(B6*10000/$B$1,0)</f>
        <v>108227</v>
      </c>
      <c r="D6" s="1840" t="e">
        <f ca="1">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3232</v>
      </c>
      <c r="D10" s="1840" t="s">
        <v>3233</v>
      </c>
      <c r="E10" s="3622"/>
      <c r="F10" s="2482" t="s">
        <v>3234</v>
      </c>
      <c r="G10" s="3623"/>
      <c r="H10" s="1950"/>
      <c r="I10" s="1950"/>
      <c r="J10" s="1950"/>
      <c r="K10" s="1950"/>
    </row>
    <row r="11" spans="1:11" ht="16.5">
      <c r="A11" s="1840" t="s">
        <v>658</v>
      </c>
      <c r="B11" s="3621"/>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9">
        <f>'数据-汇总表'!E3</f>
        <v>138.79</v>
      </c>
      <c r="C14" s="3619"/>
      <c r="D14" s="3619">
        <f ca="1">典型户型修正!T22/10000</f>
        <v>1502.0771</v>
      </c>
      <c r="E14" s="3619">
        <f ca="1">ROUND(D14*10000/B14,0)</f>
        <v>108227</v>
      </c>
      <c r="F14" s="3619" t="e">
        <f ca="1">ROUND(D14*10000/C14,0)</f>
        <v>#DIV/0!</v>
      </c>
      <c r="G14" s="3619">
        <f ca="1">D14</f>
        <v>1502.0771</v>
      </c>
      <c r="H14" s="3619"/>
      <c r="I14" s="3619"/>
      <c r="J14" s="1950"/>
      <c r="K14" s="1950"/>
    </row>
    <row r="15" spans="1:11" ht="16.5">
      <c r="A15" s="1845" t="s">
        <v>637</v>
      </c>
      <c r="B15" s="3620"/>
      <c r="C15" s="3620"/>
      <c r="D15" s="3620"/>
      <c r="E15" s="3619" t="e">
        <f t="shared" ref="E15:E23" si="0">ROUND(D15*10000/B15,0)</f>
        <v>#DIV/0!</v>
      </c>
      <c r="F15" s="3619" t="e">
        <f t="shared" ref="F15:F23" si="1">ROUND(D15*10000/C15,0)</f>
        <v>#DIV/0!</v>
      </c>
      <c r="G15" s="3621"/>
      <c r="H15" s="3621"/>
      <c r="I15" s="3620"/>
      <c r="J15" s="1950"/>
      <c r="K15" s="1950"/>
    </row>
    <row r="16" spans="1:11" ht="16.5">
      <c r="A16" s="1845" t="s">
        <v>636</v>
      </c>
      <c r="B16" s="3620"/>
      <c r="C16" s="3620"/>
      <c r="D16" s="3620"/>
      <c r="E16" s="3619" t="e">
        <f t="shared" si="0"/>
        <v>#DIV/0!</v>
      </c>
      <c r="F16" s="3619" t="e">
        <f t="shared" si="1"/>
        <v>#DIV/0!</v>
      </c>
      <c r="G16" s="3621"/>
      <c r="H16" s="3621"/>
      <c r="I16" s="3620"/>
      <c r="J16" s="1950"/>
      <c r="K16" s="1950"/>
    </row>
    <row r="17" spans="1:11" ht="16.5">
      <c r="A17" s="1845" t="s">
        <v>635</v>
      </c>
      <c r="B17" s="3620"/>
      <c r="C17" s="3620"/>
      <c r="D17" s="3620"/>
      <c r="E17" s="3619" t="e">
        <f t="shared" si="0"/>
        <v>#DIV/0!</v>
      </c>
      <c r="F17" s="3619" t="e">
        <f t="shared" si="1"/>
        <v>#DIV/0!</v>
      </c>
      <c r="G17" s="3621"/>
      <c r="H17" s="3621"/>
      <c r="I17" s="3620"/>
      <c r="J17" s="1950"/>
      <c r="K17" s="1950"/>
    </row>
    <row r="18" spans="1:11" ht="16.5">
      <c r="A18" s="1845" t="s">
        <v>634</v>
      </c>
      <c r="B18" s="3620"/>
      <c r="C18" s="3620"/>
      <c r="D18" s="3620"/>
      <c r="E18" s="3619" t="e">
        <f t="shared" si="0"/>
        <v>#DIV/0!</v>
      </c>
      <c r="F18" s="3619" t="e">
        <f t="shared" si="1"/>
        <v>#DIV/0!</v>
      </c>
      <c r="G18" s="3620"/>
      <c r="H18" s="3620"/>
      <c r="I18" s="3620"/>
      <c r="J18" s="1950"/>
      <c r="K18" s="1950"/>
    </row>
    <row r="19" spans="1:11" ht="16.5">
      <c r="A19" s="1845" t="s">
        <v>633</v>
      </c>
      <c r="B19" s="3620"/>
      <c r="C19" s="3620"/>
      <c r="D19" s="3620"/>
      <c r="E19" s="3619" t="e">
        <f t="shared" si="0"/>
        <v>#DIV/0!</v>
      </c>
      <c r="F19" s="3619" t="e">
        <f t="shared" si="1"/>
        <v>#DIV/0!</v>
      </c>
      <c r="G19" s="3620"/>
      <c r="H19" s="3620"/>
      <c r="I19" s="3620"/>
      <c r="J19" s="1950"/>
      <c r="K19" s="1950"/>
    </row>
    <row r="20" spans="1:11" ht="16.5">
      <c r="A20" s="1845" t="s">
        <v>632</v>
      </c>
      <c r="B20" s="3620"/>
      <c r="C20" s="3620"/>
      <c r="D20" s="3620"/>
      <c r="E20" s="3619" t="e">
        <f t="shared" si="0"/>
        <v>#DIV/0!</v>
      </c>
      <c r="F20" s="3619" t="e">
        <f t="shared" si="1"/>
        <v>#DIV/0!</v>
      </c>
      <c r="G20" s="3620"/>
      <c r="H20" s="3620"/>
      <c r="I20" s="3620"/>
      <c r="J20" s="1950"/>
      <c r="K20" s="1950"/>
    </row>
    <row r="21" spans="1:11" ht="16.5">
      <c r="A21" s="1845" t="s">
        <v>631</v>
      </c>
      <c r="B21" s="3620"/>
      <c r="C21" s="3620"/>
      <c r="D21" s="3620"/>
      <c r="E21" s="3619" t="e">
        <f t="shared" si="0"/>
        <v>#DIV/0!</v>
      </c>
      <c r="F21" s="3619" t="e">
        <f t="shared" si="1"/>
        <v>#DIV/0!</v>
      </c>
      <c r="G21" s="3620"/>
      <c r="H21" s="3620"/>
      <c r="I21" s="3620"/>
      <c r="J21" s="1950"/>
      <c r="K21" s="1950"/>
    </row>
    <row r="22" spans="1:11" ht="16.5">
      <c r="A22" s="1845" t="s">
        <v>630</v>
      </c>
      <c r="B22" s="3620"/>
      <c r="C22" s="3620"/>
      <c r="D22" s="3620"/>
      <c r="E22" s="3619" t="e">
        <f t="shared" si="0"/>
        <v>#DIV/0!</v>
      </c>
      <c r="F22" s="3619" t="e">
        <f t="shared" si="1"/>
        <v>#DIV/0!</v>
      </c>
      <c r="G22" s="3620"/>
      <c r="H22" s="3620"/>
      <c r="I22" s="3620"/>
      <c r="J22" s="1950"/>
      <c r="K22" s="1950"/>
    </row>
    <row r="23" spans="1:11" ht="16.5">
      <c r="A23" s="1845" t="s">
        <v>629</v>
      </c>
      <c r="B23" s="3620"/>
      <c r="C23" s="3620"/>
      <c r="D23" s="3620"/>
      <c r="E23" s="3621" t="e">
        <f t="shared" si="0"/>
        <v>#DIV/0!</v>
      </c>
      <c r="F23" s="3621" t="e">
        <f t="shared" si="1"/>
        <v>#DIV/0!</v>
      </c>
      <c r="G23" s="3620"/>
      <c r="H23" s="3620"/>
      <c r="I23" s="3620"/>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13" sqref="K13"/>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47" t="str">
        <f>项目基本情况!S2</f>
        <v>北京市房地产</v>
      </c>
      <c r="B2" s="4448"/>
      <c r="C2" s="4448"/>
      <c r="D2" s="4448"/>
      <c r="E2" s="4448"/>
      <c r="F2" s="4448"/>
      <c r="G2" s="4448"/>
      <c r="H2" s="4448"/>
      <c r="I2" s="4449"/>
    </row>
    <row r="3" spans="1:12" ht="12.75">
      <c r="A3" s="4451" t="s">
        <v>1242</v>
      </c>
      <c r="B3" s="4452"/>
      <c r="C3" s="4452"/>
      <c r="D3" s="4452"/>
      <c r="E3" s="4452"/>
      <c r="F3" s="4452"/>
      <c r="G3" s="4452"/>
      <c r="H3" s="4452"/>
      <c r="I3" s="4452"/>
    </row>
    <row r="4" spans="1:12" ht="14.25">
      <c r="A4" s="1255" t="s">
        <v>1243</v>
      </c>
      <c r="B4" s="1256" t="s">
        <v>1244</v>
      </c>
      <c r="C4" s="3543" t="s">
        <v>4140</v>
      </c>
      <c r="D4" s="3543" t="s">
        <v>4081</v>
      </c>
      <c r="E4" s="4453" t="s">
        <v>1245</v>
      </c>
      <c r="F4" s="4454"/>
      <c r="G4" s="4454"/>
      <c r="H4" s="4454"/>
      <c r="I4" s="4455"/>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86" t="s">
        <v>1246</v>
      </c>
      <c r="B5" s="4450">
        <v>25</v>
      </c>
      <c r="C5" s="4429"/>
      <c r="D5" s="4424"/>
      <c r="E5" s="49" t="s">
        <v>1247</v>
      </c>
      <c r="F5" s="1257"/>
      <c r="G5" s="1257"/>
      <c r="H5" s="1257"/>
      <c r="I5" s="924"/>
    </row>
    <row r="6" spans="1:12" ht="12.75">
      <c r="A6" s="4386"/>
      <c r="B6" s="4450"/>
      <c r="C6" s="4430"/>
      <c r="D6" s="4424"/>
      <c r="E6" s="49" t="s">
        <v>1248</v>
      </c>
      <c r="F6" s="1257"/>
      <c r="G6" s="1257"/>
      <c r="H6" s="1257"/>
      <c r="I6" s="924"/>
    </row>
    <row r="7" spans="1:12" ht="12.75">
      <c r="A7" s="4386"/>
      <c r="B7" s="4450"/>
      <c r="C7" s="4431"/>
      <c r="D7" s="4424"/>
      <c r="E7" s="49" t="s">
        <v>1249</v>
      </c>
      <c r="F7" s="1257"/>
      <c r="G7" s="1257"/>
      <c r="H7" s="1257"/>
      <c r="I7" s="924"/>
    </row>
    <row r="8" spans="1:12" ht="12.75">
      <c r="A8" s="4386" t="s">
        <v>1250</v>
      </c>
      <c r="B8" s="4450">
        <v>15</v>
      </c>
      <c r="C8" s="4429"/>
      <c r="D8" s="4424"/>
      <c r="E8" s="49" t="s">
        <v>1251</v>
      </c>
      <c r="F8" s="1257"/>
      <c r="G8" s="1257"/>
      <c r="H8" s="1257"/>
      <c r="I8" s="924"/>
    </row>
    <row r="9" spans="1:12" ht="12.75">
      <c r="A9" s="4386"/>
      <c r="B9" s="4450"/>
      <c r="C9" s="4431"/>
      <c r="D9" s="4424"/>
      <c r="E9" s="49" t="s">
        <v>1252</v>
      </c>
      <c r="F9" s="1257"/>
      <c r="G9" s="1257"/>
      <c r="H9" s="1257"/>
      <c r="I9" s="924"/>
    </row>
    <row r="10" spans="1:12" ht="12.75">
      <c r="A10" s="4386" t="s">
        <v>1253</v>
      </c>
      <c r="B10" s="4450">
        <v>15</v>
      </c>
      <c r="C10" s="4429"/>
      <c r="D10" s="4424"/>
      <c r="E10" s="49" t="s">
        <v>1254</v>
      </c>
      <c r="F10" s="1257"/>
      <c r="G10" s="1257"/>
      <c r="H10" s="1257"/>
      <c r="I10" s="924"/>
    </row>
    <row r="11" spans="1:12" ht="12.75">
      <c r="A11" s="4386"/>
      <c r="B11" s="4450"/>
      <c r="C11" s="4431"/>
      <c r="D11" s="4424"/>
      <c r="E11" s="49" t="s">
        <v>1255</v>
      </c>
      <c r="F11" s="1257"/>
      <c r="G11" s="1257"/>
      <c r="H11" s="1257"/>
      <c r="I11" s="924"/>
    </row>
    <row r="12" spans="1:12" ht="12.75">
      <c r="A12" s="4386" t="s">
        <v>1256</v>
      </c>
      <c r="B12" s="4450">
        <v>15</v>
      </c>
      <c r="C12" s="4429"/>
      <c r="D12" s="4424"/>
      <c r="E12" s="49" t="s">
        <v>1257</v>
      </c>
      <c r="F12" s="1257"/>
      <c r="G12" s="1257"/>
      <c r="H12" s="1257"/>
      <c r="I12" s="924"/>
    </row>
    <row r="13" spans="1:12" ht="12.75">
      <c r="A13" s="4386"/>
      <c r="B13" s="4450"/>
      <c r="C13" s="4431"/>
      <c r="D13" s="4424"/>
      <c r="E13" s="49" t="s">
        <v>1258</v>
      </c>
      <c r="F13" s="1257"/>
      <c r="G13" s="1257"/>
      <c r="H13" s="1257"/>
      <c r="I13" s="924"/>
    </row>
    <row r="14" spans="1:12" ht="12.75">
      <c r="A14" s="4386" t="s">
        <v>1259</v>
      </c>
      <c r="B14" s="4450">
        <v>30</v>
      </c>
      <c r="C14" s="4429">
        <v>7</v>
      </c>
      <c r="D14" s="4424">
        <v>3</v>
      </c>
      <c r="E14" s="49" t="s">
        <v>1260</v>
      </c>
      <c r="F14" s="1257"/>
      <c r="G14" s="1257"/>
      <c r="H14" s="1257"/>
      <c r="I14" s="924"/>
    </row>
    <row r="15" spans="1:12" ht="12.75">
      <c r="A15" s="4386"/>
      <c r="B15" s="4450"/>
      <c r="C15" s="4430"/>
      <c r="D15" s="4424"/>
      <c r="E15" s="49" t="s">
        <v>1261</v>
      </c>
      <c r="F15" s="1257"/>
      <c r="G15" s="1257"/>
      <c r="H15" s="1257"/>
      <c r="I15" s="924"/>
    </row>
    <row r="16" spans="1:12" ht="12.75">
      <c r="A16" s="4386"/>
      <c r="B16" s="4450"/>
      <c r="C16" s="4431"/>
      <c r="D16" s="4424"/>
      <c r="E16" s="49" t="s">
        <v>1262</v>
      </c>
      <c r="F16" s="1257"/>
      <c r="G16" s="1257"/>
      <c r="H16" s="1257"/>
      <c r="I16" s="924"/>
    </row>
    <row r="17" spans="1:36" ht="15">
      <c r="A17" s="1258" t="s">
        <v>1263</v>
      </c>
      <c r="B17" s="3542"/>
      <c r="C17" s="3624">
        <f>SUM(C5:C16)</f>
        <v>7</v>
      </c>
      <c r="D17" s="3624">
        <f>SUM(D5:D16)</f>
        <v>3</v>
      </c>
      <c r="E17" s="47"/>
      <c r="F17" s="47"/>
      <c r="G17" s="47"/>
      <c r="H17" s="47"/>
      <c r="I17" s="47"/>
      <c r="K17" s="186"/>
      <c r="L17" s="186" t="s">
        <v>1264</v>
      </c>
      <c r="M17" s="186" t="s">
        <v>1265</v>
      </c>
    </row>
    <row r="18" spans="1:36" ht="31.9" customHeight="1" thickBot="1">
      <c r="A18" s="1259" t="s">
        <v>1266</v>
      </c>
      <c r="B18" s="1182"/>
      <c r="C18" s="3625">
        <f>ROUND(C17/SUM(C17:D17),2)</f>
        <v>0.7</v>
      </c>
      <c r="D18" s="3625">
        <f>1-C18</f>
        <v>0.30000000000000004</v>
      </c>
      <c r="E18" s="4438" t="s">
        <v>2034</v>
      </c>
      <c r="F18" s="4439"/>
      <c r="G18" s="4439"/>
      <c r="H18" s="4439"/>
      <c r="I18" s="4439"/>
      <c r="K18" s="186" t="s">
        <v>1267</v>
      </c>
      <c r="L18" s="2665">
        <f>IF(C1="",'数据-汇总表'!E3,SUMIF(项目类型,C1,'数据-汇总表'!E17:E26)+SUMIF(项目类型,C1,'数据-汇总表'!I17:I26))</f>
        <v>138.79</v>
      </c>
      <c r="M18" s="2665">
        <f>IF(C1="",'数据-汇总表'!E3,SUMIF(项目类型,C1,'数据-汇总表'!E17:E26))</f>
        <v>138.79</v>
      </c>
    </row>
    <row r="19" spans="1:36" ht="15">
      <c r="A19" s="1260" t="s">
        <v>1268</v>
      </c>
      <c r="B19" s="1261" t="s">
        <v>1269</v>
      </c>
      <c r="C19" s="3626">
        <f ca="1">SUMIF(INDIRECT("'"&amp;C4&amp;"'"&amp;"!A:A"),结果表!B19,INDIRECT("'"&amp;C4&amp;"'"&amp;"!B:B"))</f>
        <v>552.91160000000002</v>
      </c>
      <c r="D19" s="3627">
        <f ca="1">SUMIF(INDIRECT("'"&amp;D4&amp;"'"&amp;"!A:A"),结果表!B19,INDIRECT("'"&amp;D4&amp;"'"&amp;"!B:B"))</f>
        <v>296.44799999999998</v>
      </c>
      <c r="E19" s="1260" t="s">
        <v>1270</v>
      </c>
      <c r="F19" s="1261" t="s">
        <v>1269</v>
      </c>
      <c r="G19" s="3632">
        <f ca="1">ROUND(C19*$C$18+D19*$D$18,0)</f>
        <v>476</v>
      </c>
      <c r="H19" s="1262" t="s">
        <v>1271</v>
      </c>
      <c r="I19" s="47">
        <f ca="1">ROUND(C19*$C$18+D19*$D$18,4)</f>
        <v>475.97250000000003</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28">
        <f ca="1">SUMIF(INDIRECT("'"&amp;C4&amp;"'"&amp;"!A:A"),结果表!B20,INDIRECT("'"&amp;C4&amp;"'"&amp;"!B:B"))</f>
        <v>39838</v>
      </c>
      <c r="D20" s="3629">
        <f ca="1">SUMIF(INDIRECT("'"&amp;D4&amp;"'"&amp;"!A:A"),结果表!B20,INDIRECT("'"&amp;D4&amp;"'"&amp;"!B:B"))</f>
        <v>21359</v>
      </c>
      <c r="E20" s="1263"/>
      <c r="F20" s="25" t="s">
        <v>1273</v>
      </c>
      <c r="G20" s="3633">
        <f ca="1">ROUND(C20*$C$18+D20*$D$18,0)</f>
        <v>34294</v>
      </c>
      <c r="H20" s="527" t="s">
        <v>1274</v>
      </c>
      <c r="I20" s="47"/>
    </row>
    <row r="21" spans="1:36" ht="15" customHeight="1" thickBot="1">
      <c r="A21" s="312"/>
      <c r="B21" s="3384" t="s">
        <v>3618</v>
      </c>
      <c r="C21" s="3630">
        <f ca="1">SUMIF(INDIRECT("'"&amp;C4&amp;"'"&amp;"!A:A"),结果表!B21,INDIRECT("'"&amp;C4&amp;"'"&amp;"!B:B"))</f>
        <v>0</v>
      </c>
      <c r="D21" s="3631">
        <f ca="1">SUMIF(INDIRECT("'"&amp;D4&amp;"'"&amp;"!A:A"),结果表!B21,INDIRECT("'"&amp;D4&amp;"'"&amp;"!B:B"))</f>
        <v>0</v>
      </c>
      <c r="E21" s="1263"/>
      <c r="F21" s="26" t="s">
        <v>1275</v>
      </c>
      <c r="G21" s="3633">
        <f ca="1">ROUND(C21*$C$18+D21*$D$18,0)</f>
        <v>0</v>
      </c>
      <c r="H21" s="527" t="s">
        <v>1274</v>
      </c>
      <c r="I21" s="47"/>
    </row>
    <row r="22" spans="1:36" ht="15" thickBot="1">
      <c r="A22" s="1200" t="s">
        <v>1276</v>
      </c>
      <c r="B22" s="1264"/>
      <c r="C22" s="2588"/>
      <c r="D22" s="3881">
        <f ca="1">IF(C19&lt;D19,D19/C19-1,C19/D19-1)</f>
        <v>0.86512170768566521</v>
      </c>
      <c r="E22" s="3375"/>
      <c r="F22" s="3377"/>
      <c r="G22" s="3634" t="e">
        <f ca="1">ROUND(G19/('数据-汇总表'!D3/666.67),0)</f>
        <v>#DIV/0!</v>
      </c>
      <c r="H22" s="3376" t="s">
        <v>3616</v>
      </c>
      <c r="I22" s="47"/>
    </row>
    <row r="23" spans="1:36" ht="13.5" thickBot="1">
      <c r="A23" s="464"/>
      <c r="B23" s="464"/>
      <c r="C23" s="464"/>
      <c r="D23" s="464"/>
      <c r="E23" s="47"/>
      <c r="F23" s="47"/>
      <c r="G23" s="47"/>
      <c r="H23" s="47"/>
      <c r="I23" s="47"/>
    </row>
    <row r="24" spans="1:36" ht="14.25">
      <c r="A24" s="4471" t="s">
        <v>1277</v>
      </c>
      <c r="B24" s="1261" t="s">
        <v>1269</v>
      </c>
      <c r="C24" s="3632">
        <f>IF(B30=0,0,D30)</f>
        <v>0</v>
      </c>
      <c r="D24" s="3635"/>
      <c r="E24" s="47"/>
      <c r="F24" s="47"/>
      <c r="G24" s="47"/>
      <c r="H24" s="47"/>
      <c r="I24" s="47"/>
    </row>
    <row r="25" spans="1:36" ht="14.25">
      <c r="A25" s="4472"/>
      <c r="B25" s="3385" t="s">
        <v>3619</v>
      </c>
      <c r="C25" s="3636">
        <f>IF(B30=0,0,C30)</f>
        <v>0</v>
      </c>
      <c r="D25" s="3637"/>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8">
        <v>0</v>
      </c>
      <c r="C27" s="3638">
        <v>0</v>
      </c>
      <c r="D27" s="3639">
        <f>ROUND(C27*B27/10000,0)</f>
        <v>0</v>
      </c>
      <c r="E27" s="47"/>
      <c r="F27" s="47"/>
      <c r="G27" s="47"/>
      <c r="H27" s="47"/>
      <c r="I27" s="47"/>
    </row>
    <row r="28" spans="1:36" ht="14.25">
      <c r="A28" s="1265"/>
      <c r="B28" s="3638"/>
      <c r="C28" s="3638"/>
      <c r="D28" s="3639"/>
      <c r="E28" s="47"/>
      <c r="F28" s="47"/>
      <c r="G28" s="47"/>
      <c r="H28" s="47"/>
      <c r="I28" s="47"/>
    </row>
    <row r="29" spans="1:36" ht="14.25">
      <c r="A29" s="1265"/>
      <c r="B29" s="3638"/>
      <c r="C29" s="3638"/>
      <c r="D29" s="3639"/>
      <c r="E29" s="47"/>
      <c r="F29" s="47"/>
      <c r="G29" s="47"/>
      <c r="H29" s="47"/>
      <c r="I29" s="47"/>
    </row>
    <row r="30" spans="1:36" ht="15" thickBot="1">
      <c r="A30" s="53" t="s">
        <v>1282</v>
      </c>
      <c r="B30" s="3638"/>
      <c r="C30" s="3638"/>
      <c r="D30" s="3638"/>
      <c r="E30" s="1685" t="s">
        <v>2035</v>
      </c>
      <c r="F30" s="47"/>
      <c r="G30" s="47"/>
      <c r="H30" s="47"/>
      <c r="I30" s="47"/>
    </row>
    <row r="31" spans="1:36" s="1691" customFormat="1" ht="26.45" customHeight="1" thickTop="1" thickBot="1">
      <c r="A31" s="1686"/>
      <c r="B31" s="1687"/>
      <c r="C31" s="1687"/>
      <c r="D31" s="1687"/>
      <c r="E31" s="1687"/>
      <c r="F31" s="1687"/>
      <c r="G31" s="1687"/>
      <c r="H31" s="1687"/>
      <c r="I31" s="1688" t="s">
        <v>2036</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40">
        <f ca="1">IF(D32="总价",G19-C24,G20-C25)</f>
        <v>34294</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41" t="e">
        <f ca="1">IF(C33="自定义",F34,C32-C35)</f>
        <v>#REF!</v>
      </c>
      <c r="D34" s="3882" t="e">
        <f ca="1">IF(C33="自定义",ROUND(C34/C32,3),IF(C33="收益比率",SUMIF(INDIRECT("'"&amp;D33&amp;"'"&amp;"!b:b"),"土地收益比率",INDIRECT("'"&amp;D33&amp;"'"&amp;"!c:c")),SUMIF(INDIRECT("'"&amp;D33&amp;"'"&amp;"!b:b"),"土地成本比率",INDIRECT("'"&amp;D33&amp;"'"&amp;"!c:c"))))</f>
        <v>#REF!</v>
      </c>
      <c r="E34" s="1274" t="s">
        <v>1287</v>
      </c>
      <c r="F34" s="3643"/>
      <c r="G34" s="47"/>
      <c r="H34" s="47"/>
      <c r="I34" s="47"/>
    </row>
    <row r="35" spans="1:19" ht="15.75" thickBot="1">
      <c r="A35" s="1275"/>
      <c r="B35" s="1276" t="s">
        <v>1288</v>
      </c>
      <c r="C35" s="3642" t="e">
        <f ca="1">IF(C33="自定义",F35,ROUND(C32*D35,0))</f>
        <v>#REF!</v>
      </c>
      <c r="D35" s="3883" t="e">
        <f ca="1">IF(C33="自定义",ROUND(C35/C32,3),IF(C33="收益比率",SUMIF(INDIRECT("'"&amp;D33&amp;"'"&amp;"!b:b"),"建筑物收益比率",INDIRECT("'"&amp;D33&amp;"'"&amp;"!c:c")),SUMIF(INDIRECT("'"&amp;D33&amp;"'"&amp;"!b:b"),"建筑物成本比率",INDIRECT("'"&amp;D33&amp;"'"&amp;"!c:c"))))</f>
        <v>#REF!</v>
      </c>
      <c r="E35" s="1277" t="s">
        <v>1289</v>
      </c>
      <c r="F35" s="3644"/>
      <c r="G35" s="47"/>
      <c r="H35" s="47"/>
      <c r="I35" s="47"/>
    </row>
    <row r="36" spans="1:19" ht="15.75" thickBot="1">
      <c r="A36" s="4443" t="s">
        <v>1290</v>
      </c>
      <c r="B36" s="1278" t="s">
        <v>1291</v>
      </c>
      <c r="C36" s="3645"/>
      <c r="D36" s="1279"/>
      <c r="E36" s="1203"/>
      <c r="F36" s="1280"/>
      <c r="G36" s="47"/>
      <c r="H36" s="47"/>
      <c r="I36" s="47"/>
    </row>
    <row r="37" spans="1:19" ht="15.75" thickBot="1">
      <c r="A37" s="4444"/>
      <c r="B37" s="1191" t="s">
        <v>1292</v>
      </c>
      <c r="C37" s="3646"/>
      <c r="D37" s="763"/>
      <c r="E37" s="763"/>
      <c r="F37" s="1280"/>
      <c r="G37" s="47"/>
      <c r="H37" s="47"/>
      <c r="I37" s="47"/>
    </row>
    <row r="38" spans="1:19" ht="15.75" thickBot="1">
      <c r="A38" s="4445"/>
      <c r="B38" s="1281" t="s">
        <v>1293</v>
      </c>
      <c r="C38" s="3647"/>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8"/>
      <c r="C40" s="3649"/>
      <c r="D40" s="3649"/>
      <c r="E40" s="3643"/>
      <c r="F40" s="1280"/>
      <c r="G40" s="47"/>
      <c r="H40" s="47"/>
      <c r="I40" s="47"/>
    </row>
    <row r="41" spans="1:19" ht="14.25">
      <c r="A41" s="1286" t="s">
        <v>1301</v>
      </c>
      <c r="B41" s="3648"/>
      <c r="C41" s="3649"/>
      <c r="D41" s="3649"/>
      <c r="E41" s="3643"/>
      <c r="F41" s="1280"/>
      <c r="G41" s="47"/>
      <c r="H41" s="47"/>
      <c r="I41" s="47"/>
    </row>
    <row r="42" spans="1:19" ht="15" thickBot="1">
      <c r="A42" s="1287"/>
      <c r="B42" s="3650"/>
      <c r="C42" s="3651"/>
      <c r="D42" s="3651"/>
      <c r="E42" s="3644"/>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68" t="s">
        <v>1304</v>
      </c>
      <c r="B45" s="4469"/>
      <c r="C45" s="4470"/>
      <c r="D45" s="56">
        <f ca="1">ROUND(H101*F45,0)</f>
        <v>476</v>
      </c>
      <c r="E45" s="57" t="s">
        <v>1305</v>
      </c>
      <c r="F45" s="58">
        <v>1</v>
      </c>
      <c r="G45" s="59" t="s">
        <v>1306</v>
      </c>
      <c r="H45" s="47"/>
      <c r="I45" s="47"/>
      <c r="J45" s="4474" t="s">
        <v>1307</v>
      </c>
      <c r="K45" s="4474"/>
      <c r="L45" s="4474"/>
      <c r="M45" s="4474"/>
      <c r="N45" s="4474"/>
      <c r="O45" s="4474"/>
    </row>
    <row r="46" spans="1:19" ht="14.25" customHeight="1">
      <c r="A46" s="4465" t="s">
        <v>1308</v>
      </c>
      <c r="B46" s="4466"/>
      <c r="C46" s="4466"/>
      <c r="D46" s="4466"/>
      <c r="E46" s="4466"/>
      <c r="F46" s="4466"/>
      <c r="G46" s="4467"/>
      <c r="H46" s="1294"/>
      <c r="I46" s="60"/>
      <c r="J46" s="1848">
        <v>1</v>
      </c>
      <c r="K46" s="4475" t="s">
        <v>1309</v>
      </c>
      <c r="L46" s="4475"/>
      <c r="M46" s="4476"/>
      <c r="N46" s="4476"/>
      <c r="O46" s="4476"/>
    </row>
    <row r="47" spans="1:19" ht="12" customHeight="1">
      <c r="A47" s="61" t="s">
        <v>1310</v>
      </c>
      <c r="B47" s="62"/>
      <c r="C47" s="63"/>
      <c r="D47" s="724" t="s">
        <v>1311</v>
      </c>
      <c r="E47" s="186" t="s">
        <v>1312</v>
      </c>
      <c r="F47" s="64" t="s">
        <v>1313</v>
      </c>
      <c r="G47" s="1863" t="s">
        <v>1314</v>
      </c>
      <c r="H47" s="1864"/>
      <c r="I47" s="60"/>
      <c r="J47" s="1848">
        <v>2</v>
      </c>
      <c r="K47" s="4475" t="s">
        <v>1315</v>
      </c>
      <c r="L47" s="4475"/>
      <c r="M47" s="4477">
        <f>'数据-取费表'!B2</f>
        <v>46050</v>
      </c>
      <c r="N47" s="4477"/>
      <c r="O47" s="4477"/>
    </row>
    <row r="48" spans="1:19" ht="25.5">
      <c r="A48" s="4446" t="s">
        <v>1316</v>
      </c>
      <c r="B48" s="4428"/>
      <c r="C48" s="4428"/>
      <c r="D48" s="3652">
        <f>ROUND(IF(H48="情况1",0,IF(H48="情况2",D52,IF(H48="情况3",D53,IF(H48="情况4",D54))))*(1+'数据-取费表'!B44),0)</f>
        <v>0</v>
      </c>
      <c r="E48" s="899" t="str">
        <f>IF(H48="情况4","(销售额-原购置价)×税（费）率","销售额×税（费）率")</f>
        <v>销售额×税（费）率</v>
      </c>
      <c r="F48" s="3535">
        <f>IF(H48="情况1","免征",'数据-取费表'!B42)</f>
        <v>0</v>
      </c>
      <c r="G48" s="1865" t="s">
        <v>1317</v>
      </c>
      <c r="H48" s="1866"/>
      <c r="I48" s="1294"/>
      <c r="J48" s="1848">
        <v>3</v>
      </c>
      <c r="K48" s="4475" t="s">
        <v>1318</v>
      </c>
      <c r="L48" s="4475"/>
      <c r="M48" s="4478">
        <f ca="1">H101</f>
        <v>475.96640000000002</v>
      </c>
      <c r="N48" s="4478"/>
      <c r="O48" s="4478"/>
      <c r="R48" s="3401" t="s">
        <v>3633</v>
      </c>
      <c r="S48" s="3402"/>
    </row>
    <row r="49" spans="1:35" ht="25.5" customHeight="1">
      <c r="A49" s="3536" t="s">
        <v>1319</v>
      </c>
      <c r="B49" s="4412" t="s">
        <v>1320</v>
      </c>
      <c r="C49" s="4412"/>
      <c r="D49" s="3653">
        <v>0</v>
      </c>
      <c r="E49" s="207" t="s">
        <v>1321</v>
      </c>
      <c r="F49" s="3530" t="s">
        <v>26</v>
      </c>
      <c r="G49" s="4404"/>
      <c r="H49" s="3396" t="s">
        <v>2037</v>
      </c>
      <c r="I49" s="3397"/>
      <c r="J49" s="1848">
        <v>4</v>
      </c>
      <c r="K49" s="4475" t="str">
        <f>IF(项目基本情况!E8="房地产抵押价值","房地产抵押价值","抵押担保权已注销时的房地产抵押价值")</f>
        <v>房地产抵押价值</v>
      </c>
      <c r="L49" s="4475"/>
      <c r="M49" s="4478">
        <f ca="1">IF(项目基本情况!E8="房地产抵押价值",H107,H109)</f>
        <v>475.96640000000002</v>
      </c>
      <c r="N49" s="4478"/>
      <c r="O49" s="4478"/>
      <c r="R49" s="3403" t="s">
        <v>3634</v>
      </c>
      <c r="S49" s="3401" t="s">
        <v>3635</v>
      </c>
    </row>
    <row r="50" spans="1:35" ht="25.5" customHeight="1">
      <c r="A50" s="3537"/>
      <c r="B50" s="4412" t="s">
        <v>1322</v>
      </c>
      <c r="C50" s="4412"/>
      <c r="D50" s="3654"/>
      <c r="E50" s="214"/>
      <c r="F50" s="3530"/>
      <c r="G50" s="4405"/>
      <c r="H50" s="1302" t="s">
        <v>2038</v>
      </c>
      <c r="I50" s="3397"/>
      <c r="J50" s="4474" t="s">
        <v>1323</v>
      </c>
      <c r="K50" s="4474"/>
      <c r="L50" s="4474"/>
      <c r="M50" s="4474"/>
      <c r="N50" s="4474"/>
      <c r="O50" s="4474"/>
      <c r="R50" s="3403" t="s">
        <v>3636</v>
      </c>
      <c r="S50" s="3401" t="s">
        <v>3637</v>
      </c>
    </row>
    <row r="51" spans="1:35" ht="20.45" customHeight="1">
      <c r="A51" s="3538"/>
      <c r="B51" s="4412" t="s">
        <v>1324</v>
      </c>
      <c r="C51" s="4412"/>
      <c r="D51" s="709"/>
      <c r="E51" s="210"/>
      <c r="F51" s="3530"/>
      <c r="G51" s="4406"/>
      <c r="H51" s="1302" t="s">
        <v>2039</v>
      </c>
      <c r="I51" s="3397"/>
      <c r="J51" s="1849" t="s">
        <v>1325</v>
      </c>
      <c r="K51" s="4475" t="s">
        <v>1326</v>
      </c>
      <c r="L51" s="4475"/>
      <c r="M51" s="1849" t="s">
        <v>1327</v>
      </c>
      <c r="N51" s="1849" t="s">
        <v>1328</v>
      </c>
      <c r="O51" s="1849" t="s">
        <v>1329</v>
      </c>
      <c r="R51" s="3403" t="s">
        <v>3638</v>
      </c>
      <c r="S51" s="3402" t="s">
        <v>3639</v>
      </c>
    </row>
    <row r="52" spans="1:35" ht="24" customHeight="1">
      <c r="A52" s="1700" t="s">
        <v>1330</v>
      </c>
      <c r="B52" s="4412" t="s">
        <v>1331</v>
      </c>
      <c r="C52" s="4412"/>
      <c r="D52" s="709">
        <f ca="1">ROUND(D45*F52/(1+F52),0)</f>
        <v>14</v>
      </c>
      <c r="E52" s="899" t="s">
        <v>1332</v>
      </c>
      <c r="F52" s="1867">
        <v>0.03</v>
      </c>
      <c r="G52" s="894" t="s">
        <v>3680</v>
      </c>
      <c r="H52" s="1861"/>
      <c r="I52" s="1295"/>
      <c r="J52" s="1848">
        <v>1</v>
      </c>
      <c r="K52" s="4401" t="s">
        <v>1333</v>
      </c>
      <c r="L52" s="4401"/>
      <c r="M52" s="3656">
        <f>IF(D48&lt;=0,0,D48)</f>
        <v>0</v>
      </c>
      <c r="N52" s="1848" t="str">
        <f>E48</f>
        <v>销售额×税（费）率</v>
      </c>
      <c r="O52" s="3563">
        <f>F48</f>
        <v>0</v>
      </c>
      <c r="R52" s="3401" t="s">
        <v>3640</v>
      </c>
      <c r="S52" s="3401" t="s">
        <v>3644</v>
      </c>
    </row>
    <row r="53" spans="1:35" ht="12" customHeight="1">
      <c r="A53" s="1700" t="s">
        <v>1334</v>
      </c>
      <c r="B53" s="4413" t="s">
        <v>2185</v>
      </c>
      <c r="C53" s="4414"/>
      <c r="D53" s="709">
        <f ca="1">IF(G53="2016年5月1日之前项目",ROUND(D45*F53/(1+F53),0),H63)</f>
        <v>39</v>
      </c>
      <c r="E53" s="899" t="str">
        <f>IF(G53="2016年5月1日之前项目","全额计税","进销项计算")</f>
        <v>进销项计算</v>
      </c>
      <c r="F53" s="1867">
        <f>IF(G53="2016年5月1日之前项目",5%,9%)</f>
        <v>0.09</v>
      </c>
      <c r="G53" s="3617"/>
      <c r="H53" s="1861"/>
      <c r="I53" s="1295"/>
      <c r="J53" s="1848">
        <v>2</v>
      </c>
      <c r="K53" s="4401" t="s">
        <v>1335</v>
      </c>
      <c r="L53" s="4401"/>
      <c r="M53" s="3656">
        <f t="shared" ref="M53:O54" ca="1" si="0">D55</f>
        <v>0</v>
      </c>
      <c r="N53" s="1848" t="str">
        <f t="shared" si="0"/>
        <v>销售额×税（费）率</v>
      </c>
      <c r="O53" s="3563" t="str">
        <f t="shared" si="0"/>
        <v>免征</v>
      </c>
      <c r="R53" s="3401" t="s">
        <v>3641</v>
      </c>
      <c r="S53" s="3402" t="s">
        <v>3648</v>
      </c>
    </row>
    <row r="54" spans="1:35" ht="12" customHeight="1">
      <c r="A54" s="1700" t="s">
        <v>1336</v>
      </c>
      <c r="B54" s="4413" t="s">
        <v>2186</v>
      </c>
      <c r="C54" s="4414"/>
      <c r="D54" s="709">
        <f ca="1">IF(G54="2016年5月1日之前项目",C68,H63)</f>
        <v>39</v>
      </c>
      <c r="E54" s="3550" t="str">
        <f>IF(G54="2016年5月1日之前项目","差额计税","进销项计算")</f>
        <v>进销项计算</v>
      </c>
      <c r="F54" s="1867">
        <f>IF(G54="2016年5月1日之前项目",5%,9%)</f>
        <v>0.09</v>
      </c>
      <c r="G54" s="3617"/>
      <c r="H54" s="1869"/>
      <c r="I54" s="1295"/>
      <c r="J54" s="1848">
        <v>3</v>
      </c>
      <c r="K54" s="4401" t="s">
        <v>1337</v>
      </c>
      <c r="L54" s="4401"/>
      <c r="M54" s="3656" t="e">
        <f t="shared" ca="1" si="0"/>
        <v>#VALUE!</v>
      </c>
      <c r="N54" s="1848" t="str">
        <f t="shared" si="0"/>
        <v>增值额×税（费）率</v>
      </c>
      <c r="O54" s="3564" t="str">
        <f t="shared" si="0"/>
        <v>免征</v>
      </c>
      <c r="P54" s="47"/>
      <c r="R54" s="3403" t="s">
        <v>3642</v>
      </c>
      <c r="S54" s="3402" t="s">
        <v>3645</v>
      </c>
    </row>
    <row r="55" spans="1:35" ht="24" customHeight="1">
      <c r="A55" s="4427" t="s">
        <v>1338</v>
      </c>
      <c r="B55" s="4428"/>
      <c r="C55" s="4428"/>
      <c r="D55" s="3652">
        <f ca="1">IF(H55="个人住宅",0,ROUND(D45*I55,0))</f>
        <v>0</v>
      </c>
      <c r="E55" s="899" t="s">
        <v>1339</v>
      </c>
      <c r="F55" s="1867" t="str">
        <f>IF(H55="正常",I55,"免征")</f>
        <v>免征</v>
      </c>
      <c r="G55" s="1868"/>
      <c r="H55" s="1866"/>
      <c r="I55" s="65">
        <f>'数据-取费表'!B50</f>
        <v>5.0000000000000001E-4</v>
      </c>
      <c r="J55" s="1848">
        <f>IF(H59="非个人房产","",4)</f>
        <v>4</v>
      </c>
      <c r="K55" s="4401" t="str">
        <f>IF(H59="非个人房产","——","个人所得税")</f>
        <v>个人所得税</v>
      </c>
      <c r="L55" s="4401"/>
      <c r="M55" s="3657">
        <f ca="1">D59</f>
        <v>5</v>
      </c>
      <c r="N55" s="1478" t="str">
        <f>E59</f>
        <v>差额计税</v>
      </c>
      <c r="O55" s="3565">
        <f>F59</f>
        <v>0.01</v>
      </c>
      <c r="R55" s="3403" t="s">
        <v>3643</v>
      </c>
      <c r="S55" s="3402" t="s">
        <v>3646</v>
      </c>
    </row>
    <row r="56" spans="1:35" ht="24.75">
      <c r="A56" s="4427" t="s">
        <v>1340</v>
      </c>
      <c r="B56" s="4428"/>
      <c r="C56" s="4428"/>
      <c r="D56" s="4256" t="e">
        <f ca="1">IF(H56="个人住宅",D57,IF(H56="正常",D58,IF(H56="按预征率计算-自建",ROUND(C85*F56,0),ROUND(C72*F56,0))))</f>
        <v>#VALUE!</v>
      </c>
      <c r="E56" s="899" t="s">
        <v>1341</v>
      </c>
      <c r="F56" s="1867" t="str">
        <f>IF(H56="正常",F58,IF(H56="按预征率计算",5%,"免征"))</f>
        <v>免征</v>
      </c>
      <c r="G56" s="1870" t="s">
        <v>1342</v>
      </c>
      <c r="H56" s="1871"/>
      <c r="I56" s="1296"/>
      <c r="J56" s="1848" t="str">
        <f>IF(项目基本情况!K6="上海银行",IF(J55="",4,J55+1),"")</f>
        <v/>
      </c>
      <c r="K56" s="4365" t="str">
        <f>IF(项目基本情况!K6="上海银行","其他处置费用","")</f>
        <v/>
      </c>
      <c r="L56" s="4366"/>
      <c r="M56" s="3656" t="str">
        <f>IF(项目基本情况!K6="上海银行",M69,"")</f>
        <v/>
      </c>
      <c r="N56" s="4365" t="str">
        <f>IF(项目基本情况!K6="上海银行","包含处置中涉及的律师、诉讼、拍卖、评估等费用","")</f>
        <v/>
      </c>
      <c r="O56" s="4369"/>
      <c r="R56" s="3402"/>
      <c r="S56" s="3402" t="s">
        <v>3647</v>
      </c>
    </row>
    <row r="57" spans="1:35" ht="12.75">
      <c r="A57" s="1700" t="s">
        <v>1319</v>
      </c>
      <c r="B57" s="4413" t="s">
        <v>1343</v>
      </c>
      <c r="C57" s="4414"/>
      <c r="D57" s="3653">
        <v>0</v>
      </c>
      <c r="E57" s="207" t="s">
        <v>1321</v>
      </c>
      <c r="F57" s="186"/>
      <c r="G57" s="1868"/>
      <c r="H57" s="1872"/>
      <c r="I57" s="1296"/>
      <c r="J57" s="4401">
        <f>IF(AND(J55="",J56=""),4,IF(项目基本情况!K6="上海银行",结果表!J56+1,结果表!J55+1))</f>
        <v>5</v>
      </c>
      <c r="K57" s="4401" t="s">
        <v>1344</v>
      </c>
      <c r="L57" s="1850" t="s">
        <v>1345</v>
      </c>
      <c r="M57" s="1851"/>
      <c r="N57" s="3658">
        <f ca="1">SUMIF(M52:M56,"&lt;9e307")</f>
        <v>5</v>
      </c>
      <c r="O57" s="1852"/>
      <c r="P57" s="1952">
        <f ca="1">N57/M49</f>
        <v>1.050494320607505E-2</v>
      </c>
      <c r="R57" s="4456" t="s">
        <v>3691</v>
      </c>
      <c r="S57" s="4457"/>
    </row>
    <row r="58" spans="1:35" ht="24.75">
      <c r="A58" s="1700" t="s">
        <v>1330</v>
      </c>
      <c r="B58" s="4413" t="s">
        <v>1346</v>
      </c>
      <c r="C58" s="4412"/>
      <c r="D58" s="3652">
        <f ca="1">IF(H58="转让取得",C81,C97)</f>
        <v>143</v>
      </c>
      <c r="E58" s="899" t="s">
        <v>1341</v>
      </c>
      <c r="F58" s="186" t="s">
        <v>26</v>
      </c>
      <c r="G58" s="1868"/>
      <c r="H58" s="1871"/>
      <c r="I58" s="1296"/>
      <c r="J58" s="4401"/>
      <c r="K58" s="4401"/>
      <c r="L58" s="1850" t="s">
        <v>1347</v>
      </c>
      <c r="M58" s="1853"/>
      <c r="N58" s="1854" t="str">
        <f ca="1">NUMBERSTRING(INT(N57*10000),2)&amp;"元整"</f>
        <v>伍万元整</v>
      </c>
      <c r="O58" s="1855"/>
      <c r="R58" s="4458"/>
      <c r="S58" s="4459"/>
    </row>
    <row r="59" spans="1:35" ht="24.75" thickBot="1">
      <c r="A59" s="4402" t="s">
        <v>1348</v>
      </c>
      <c r="B59" s="4403"/>
      <c r="C59" s="4403"/>
      <c r="D59" s="3655">
        <f ca="1">IF(H59="非个人房产","——",IF(H59="个人住宅（满五唯一有凭证）",0,IF(H59="个人其他（无凭证）",ROUND(D45/(1+'数据-取费表'!C43)*F59,0),ROUND(C67*F59,0))))</f>
        <v>5</v>
      </c>
      <c r="E59" s="3208" t="str">
        <f>IF(H59="非个人房产","——",IF(H59="个人其他（无凭证）","销售额×税（费）率",IF(H59="个人住宅（满五唯一有凭证）","免征","差额计税")))</f>
        <v>差额计税</v>
      </c>
      <c r="F59" s="3398">
        <f>IF(OR(H59="非个人房产",H59="个人住宅（满五唯一有凭证）"),"——",IF(H59="个人其他（有凭证）",20%,1%))</f>
        <v>0.01</v>
      </c>
      <c r="G59" s="1873" t="s">
        <v>1342</v>
      </c>
      <c r="H59" s="3399"/>
      <c r="I59" s="3400" t="s">
        <v>2040</v>
      </c>
      <c r="J59" s="4399">
        <f>J57+1</f>
        <v>6</v>
      </c>
      <c r="K59" s="4401" t="s">
        <v>1349</v>
      </c>
      <c r="L59" s="1848" t="s">
        <v>1345</v>
      </c>
      <c r="M59" s="1856"/>
      <c r="N59" s="2589">
        <f ca="1">M49-N57</f>
        <v>470.96640000000002</v>
      </c>
      <c r="O59" s="1857"/>
      <c r="R59" s="3401" t="s">
        <v>3649</v>
      </c>
      <c r="S59" s="3401" t="s">
        <v>3650</v>
      </c>
    </row>
    <row r="60" spans="1:35" ht="12" customHeight="1" thickBot="1">
      <c r="A60" s="1297"/>
      <c r="B60" s="464"/>
      <c r="C60" s="464"/>
      <c r="D60" s="464"/>
      <c r="E60" s="1110"/>
      <c r="F60" s="1296"/>
      <c r="G60" s="1296"/>
      <c r="H60" s="60"/>
      <c r="I60" s="47"/>
      <c r="J60" s="4400"/>
      <c r="K60" s="4401"/>
      <c r="L60" s="1850" t="s">
        <v>1347</v>
      </c>
      <c r="M60" s="1853"/>
      <c r="N60" s="1854" t="str">
        <f ca="1">NUMBERSTRING(INT(N59*10000),2)&amp;"元整"</f>
        <v>肆佰柒拾万玖仟陆佰陆拾肆元整</v>
      </c>
      <c r="O60" s="1855"/>
      <c r="R60" s="3401" t="s">
        <v>3651</v>
      </c>
      <c r="S60" s="3401" t="s">
        <v>3690</v>
      </c>
    </row>
    <row r="61" spans="1:35" ht="14.25" thickBot="1">
      <c r="A61" s="4463" t="s">
        <v>3688</v>
      </c>
      <c r="B61" s="4464"/>
      <c r="C61" s="4464"/>
      <c r="D61" s="4464"/>
      <c r="E61" s="3555"/>
      <c r="F61" s="4440" t="s">
        <v>3689</v>
      </c>
      <c r="G61" s="4441"/>
      <c r="H61" s="4441"/>
      <c r="I61" s="4442"/>
      <c r="J61" s="3539">
        <f>J59+1</f>
        <v>7</v>
      </c>
      <c r="K61" s="4401" t="s">
        <v>1350</v>
      </c>
      <c r="L61" s="4401"/>
      <c r="M61" s="1858"/>
      <c r="N61" s="2590">
        <f ca="1">ROUND(N59*10000/'数据-汇总表'!E3,0)</f>
        <v>33934</v>
      </c>
      <c r="O61" s="1859"/>
    </row>
    <row r="62" spans="1:35" ht="13.5" customHeight="1">
      <c r="A62" s="3561" t="s">
        <v>3701</v>
      </c>
      <c r="B62" s="3562" t="s">
        <v>3702</v>
      </c>
      <c r="C62" s="2409" t="s">
        <v>3700</v>
      </c>
      <c r="D62" s="3551" t="s">
        <v>3692</v>
      </c>
      <c r="E62" s="3556" t="s">
        <v>3694</v>
      </c>
      <c r="F62" s="3567" t="s">
        <v>3703</v>
      </c>
      <c r="G62" s="3568" t="s">
        <v>3683</v>
      </c>
      <c r="H62" s="3569" t="s">
        <v>3704</v>
      </c>
      <c r="I62" s="3570" t="s">
        <v>3685</v>
      </c>
    </row>
    <row r="63" spans="1:35" ht="12.75">
      <c r="A63" s="70" t="s">
        <v>328</v>
      </c>
      <c r="B63" s="3558" t="s">
        <v>3696</v>
      </c>
      <c r="C63" s="3659">
        <f ca="1">ROUND(C64+C65,0)</f>
        <v>476</v>
      </c>
      <c r="D63" s="3552"/>
      <c r="E63" s="4460" t="s">
        <v>3693</v>
      </c>
      <c r="F63" s="4253">
        <v>1</v>
      </c>
      <c r="G63" s="4254" t="s">
        <v>4057</v>
      </c>
      <c r="H63" s="3178">
        <f ca="1">H64-H66</f>
        <v>39</v>
      </c>
      <c r="I63" s="2680"/>
      <c r="J63" s="4367" t="s">
        <v>1354</v>
      </c>
      <c r="K63" s="889" t="s">
        <v>1355</v>
      </c>
      <c r="L63" s="3674">
        <f ca="1">IF(M49&gt;10000,M49*0.5%,IF(AND(M49&gt;1000,M49&lt;=10000),M49*1%,IF(AND(M49&gt;100,M49&lt;=1000),M49*3%,IF(AND(M49&gt;10,M49&lt;=100),M49*5%,M49*8%))))</f>
        <v>14.278992000000001</v>
      </c>
      <c r="M63" s="2665">
        <f ca="1">ROUND(L63,1)</f>
        <v>14.3</v>
      </c>
      <c r="N63" s="1860"/>
      <c r="Z63" s="1254"/>
      <c r="AI63" s="1197"/>
    </row>
    <row r="64" spans="1:35" ht="14.25" customHeight="1">
      <c r="A64" s="67" t="s">
        <v>323</v>
      </c>
      <c r="B64" s="3559" t="s">
        <v>3697</v>
      </c>
      <c r="C64" s="3541">
        <f ca="1">D45</f>
        <v>476</v>
      </c>
      <c r="D64" s="4238" t="s">
        <v>4052</v>
      </c>
      <c r="E64" s="4461"/>
      <c r="F64" s="4253">
        <v>2</v>
      </c>
      <c r="G64" s="4254" t="s">
        <v>3681</v>
      </c>
      <c r="H64" s="3178">
        <f ca="1">ROUND(H65*I64/(1+I64),0)</f>
        <v>39</v>
      </c>
      <c r="I64" s="3571">
        <v>0.09</v>
      </c>
      <c r="J64" s="4367"/>
      <c r="K64" s="889" t="s">
        <v>1356</v>
      </c>
      <c r="L64" s="3674">
        <f ca="1">IF(M49&gt;2000,M49*0.5%,IF(AND(M49&gt;1000,M49&lt;=2000),M49*0.6%,IF(AND(M49&gt;500,M49&lt;=1000),M49*0.7%,IF(AND(M49&gt;200,M49&lt;=500),M49*0.8%,IF(AND(M49&gt;100,M49&lt;=200),M49*0.9%,IF(AND(M49&gt;50,M49&lt;=100),M49*1%,IF(AND(M49&gt;20,M49&lt;=50),M49*1.5%,IF(AND(M49&gt;10,M49&lt;=20),M49*2%,IF(AND(M49&gt;1,M49&lt;=10),M49*2.5%)))))))))</f>
        <v>3.8077312000000001</v>
      </c>
      <c r="M64" s="2665">
        <f t="shared" ref="M64:M65" ca="1" si="1">ROUND(L64,1)</f>
        <v>3.8</v>
      </c>
      <c r="N64" s="1861" t="s">
        <v>1357</v>
      </c>
      <c r="Z64" s="1254"/>
      <c r="AI64" s="1197"/>
    </row>
    <row r="65" spans="1:35" ht="14.25" customHeight="1">
      <c r="A65" s="67" t="s">
        <v>324</v>
      </c>
      <c r="B65" s="3559" t="s">
        <v>3698</v>
      </c>
      <c r="C65" s="3660"/>
      <c r="D65" s="3553"/>
      <c r="E65" s="4461"/>
      <c r="F65" s="67" t="s">
        <v>323</v>
      </c>
      <c r="G65" s="3572" t="s">
        <v>3684</v>
      </c>
      <c r="H65" s="3178">
        <f ca="1">D45</f>
        <v>476</v>
      </c>
      <c r="I65" s="4240" t="s">
        <v>4053</v>
      </c>
      <c r="J65" s="4367"/>
      <c r="K65" s="889" t="s">
        <v>1358</v>
      </c>
      <c r="L65" s="3674">
        <f ca="1">IF(M49&gt;1000,M49*0.1%,IF(AND(M49&gt;500,M49&lt;=1000),M49*0.5%,IF(AND(M49&gt;50,M49&lt;=500),M49*1%,IF(AND(M49&gt;1,M49&lt;=50),M49*1.5%))))</f>
        <v>4.7596639999999999</v>
      </c>
      <c r="M65" s="2665">
        <f t="shared" ca="1" si="1"/>
        <v>4.8</v>
      </c>
      <c r="N65" s="1861" t="s">
        <v>1357</v>
      </c>
      <c r="Z65" s="1254"/>
      <c r="AI65" s="1197"/>
    </row>
    <row r="66" spans="1:35" ht="14.25" customHeight="1">
      <c r="A66" s="70" t="s">
        <v>325</v>
      </c>
      <c r="B66" s="3560" t="s">
        <v>3699</v>
      </c>
      <c r="C66" s="3660"/>
      <c r="D66" s="4239" t="s">
        <v>4052</v>
      </c>
      <c r="E66" s="4461"/>
      <c r="F66" s="4255">
        <v>3</v>
      </c>
      <c r="G66" s="4254" t="s">
        <v>3682</v>
      </c>
      <c r="H66" s="3213">
        <f>ROUND(H67*I67,0)+ROUND(H68*I68,0)</f>
        <v>0</v>
      </c>
      <c r="I66" s="4094"/>
      <c r="J66" s="4367"/>
      <c r="K66" s="889" t="s">
        <v>1359</v>
      </c>
      <c r="L66" s="3674">
        <f ca="1">M49*0.5%</f>
        <v>2.3798319999999999</v>
      </c>
      <c r="M66" s="2665">
        <f ca="1">IF(L66&gt;0.5,0.5,ROUND(L66,0))</f>
        <v>0.5</v>
      </c>
      <c r="N66" s="1861" t="s">
        <v>1360</v>
      </c>
      <c r="Z66" s="1254"/>
      <c r="AI66" s="1197"/>
    </row>
    <row r="67" spans="1:35" ht="14.25" customHeight="1">
      <c r="A67" s="70" t="s">
        <v>326</v>
      </c>
      <c r="B67" s="3557" t="s">
        <v>3695</v>
      </c>
      <c r="C67" s="3541">
        <f ca="1">C63-C66</f>
        <v>476</v>
      </c>
      <c r="D67" s="3553"/>
      <c r="E67" s="4461"/>
      <c r="F67" s="67" t="s">
        <v>323</v>
      </c>
      <c r="G67" s="3572" t="s">
        <v>3686</v>
      </c>
      <c r="H67" s="3649"/>
      <c r="I67" s="3571">
        <v>0.09</v>
      </c>
      <c r="J67" s="4367"/>
      <c r="K67" s="889" t="s">
        <v>1361</v>
      </c>
      <c r="L67" s="3674">
        <f ca="1">IF(M49&gt;=10000,(8.25+(M49-10000)*0.01%),IF(AND(M49&gt;=8000,M49&lt;10000),(7.85+(M49-8000)*0.02%),IF(AND(M49&gt;=5000,M49&lt;8000),(6.65+(M49-5000)*0.04%),IF(AND(M49&gt;=2000,M49&lt;5000),(4.25+(PM49-2000)*0.08%),IF(AND(M49&gt;=1000,M49&lt;2000),(2.75+(M49-1000)*0.15%),IF(AND(M49&gt;=100,M49&lt;1000),(0.5+(M49-100)*0.25%),IF(AND(M49&gt;0,M49&lt;100),M49*0.5%)))))))</f>
        <v>1.4399160000000002</v>
      </c>
      <c r="M67" s="2665">
        <f ca="1">ROUND(L67*0.9,1)</f>
        <v>1.3</v>
      </c>
      <c r="N67" s="1860"/>
      <c r="Z67" s="1254"/>
      <c r="AI67" s="1197"/>
    </row>
    <row r="68" spans="1:35" ht="14.25" customHeight="1" thickBot="1">
      <c r="A68" s="72" t="s">
        <v>327</v>
      </c>
      <c r="B68" s="4252" t="s">
        <v>4056</v>
      </c>
      <c r="C68" s="3547">
        <f ca="1">IF(C67&lt;=0,0,ROUND(C67*D68/(1+D68),0))</f>
        <v>23</v>
      </c>
      <c r="D68" s="3554">
        <v>0.05</v>
      </c>
      <c r="E68" s="4462"/>
      <c r="F68" s="3566" t="s">
        <v>324</v>
      </c>
      <c r="G68" s="3573" t="s">
        <v>3687</v>
      </c>
      <c r="H68" s="3651"/>
      <c r="I68" s="3574">
        <v>0.06</v>
      </c>
      <c r="J68" s="4367"/>
      <c r="K68" s="889" t="s">
        <v>1362</v>
      </c>
      <c r="L68" s="3674">
        <f ca="1">IF(M49&gt;10000,M49*0.5%,IF(AND(M49&gt;5000,M49&lt;=10000),M49*1%,IF(AND(M49&gt;1000,M49&lt;=5000),M49*2%,IF(AND(M49&gt;200,M49&lt;=1000),M49*3%,M49*5%))))</f>
        <v>14.278992000000001</v>
      </c>
      <c r="M68" s="2665">
        <f ca="1">ROUND(L68,1)</f>
        <v>14.3</v>
      </c>
      <c r="N68" s="1860"/>
      <c r="Z68" s="1254"/>
      <c r="AI68" s="1197"/>
    </row>
    <row r="69" spans="1:35" ht="16.5" customHeight="1">
      <c r="A69" s="1298"/>
      <c r="B69" s="1299"/>
      <c r="C69" s="1300"/>
      <c r="D69" s="1301"/>
      <c r="E69" s="1302"/>
      <c r="F69" s="1110"/>
      <c r="G69" s="1110"/>
      <c r="H69" s="1111"/>
      <c r="I69" s="464"/>
      <c r="J69" s="4368"/>
      <c r="K69" s="889" t="s">
        <v>1363</v>
      </c>
      <c r="L69" s="3674"/>
      <c r="M69" s="2665">
        <f ca="1">ROUND(SUM(M63:M68),0)</f>
        <v>39</v>
      </c>
      <c r="N69" s="1862">
        <f ca="1">M69/M49</f>
        <v>8.1938557007385393E-2</v>
      </c>
      <c r="Z69" s="1254"/>
      <c r="AI69" s="1197"/>
    </row>
    <row r="70" spans="1:35" s="463" customFormat="1" ht="15" thickBot="1">
      <c r="A70" s="4418" t="s">
        <v>1364</v>
      </c>
      <c r="B70" s="4419"/>
      <c r="C70" s="4419"/>
      <c r="D70" s="4419"/>
      <c r="E70" s="4419"/>
      <c r="F70" s="4419"/>
      <c r="G70" s="4419"/>
      <c r="H70" s="4419"/>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15" t="s">
        <v>1351</v>
      </c>
      <c r="B71" s="4416"/>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5">
        <f ca="1">ROUND(D45-D54,0)</f>
        <v>437</v>
      </c>
      <c r="D72" s="4246"/>
      <c r="E72" s="4247" t="s">
        <v>4055</v>
      </c>
      <c r="F72" s="4248"/>
      <c r="G72" s="4248"/>
      <c r="H72" s="4249"/>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1">
        <f ca="1">C74+C78</f>
        <v>-39</v>
      </c>
      <c r="D73" s="3541"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1">
        <f>ROUND(IF(G77="2016年5月1日后购买",C75/(1+D72)+C76+C77,C75+C76+C77),0)</f>
        <v>0</v>
      </c>
      <c r="D74" s="3541" t="s">
        <v>24</v>
      </c>
      <c r="E74" s="8" t="s">
        <v>3679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60"/>
      <c r="D75" s="3541" t="s">
        <v>24</v>
      </c>
      <c r="E75" s="79" t="s">
        <v>1369</v>
      </c>
      <c r="F75" s="1875"/>
      <c r="G75" s="79" t="s">
        <v>1370</v>
      </c>
      <c r="H75" s="3663"/>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1">
        <f>IF(F75="购房发票",ROUND(C75*H75*D76,0),0)</f>
        <v>0</v>
      </c>
      <c r="D76" s="3544">
        <v>0.05</v>
      </c>
      <c r="E76" s="4413" t="s">
        <v>1372</v>
      </c>
      <c r="F76" s="4412"/>
      <c r="G76" s="4412"/>
      <c r="H76" s="4417"/>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1">
        <f>ROUND(IF(G77="个人住宅",0,IF(G77="2016年5月1日前购买",C75*D77,C75*D77/(1+D72))),0)</f>
        <v>0</v>
      </c>
      <c r="D77" s="3545">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41" t="s">
        <v>324</v>
      </c>
      <c r="B78" s="4242" t="s">
        <v>1375</v>
      </c>
      <c r="C78" s="4243">
        <f ca="1">D48-D54</f>
        <v>-39</v>
      </c>
      <c r="D78" s="4244">
        <f>'数据-取费表'!B44</f>
        <v>0.12000000000000001</v>
      </c>
      <c r="E78" s="4473" t="s">
        <v>1376</v>
      </c>
      <c r="F78" s="4433"/>
      <c r="G78" s="4433"/>
      <c r="H78" s="4434"/>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1">
        <f ca="1">C72-C73</f>
        <v>476</v>
      </c>
      <c r="D79" s="3541"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4">
        <f ca="1">IF(C79&lt;=0,0,C79/C73)</f>
        <v>-12.205128205128204</v>
      </c>
      <c r="D80" s="3541"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2">
        <f ca="1">ROUND(IF(C79&lt;=0,0,IF(C80&gt;=200%,C79*60%-C73*35%,IF(C80&gt;=100%,C79*50%-C73*15%,IF(C80&gt;=50%,C79*40%-C73*5%,IF(C80&lt;50%,C79*30%,0))))),0)</f>
        <v>143</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18" t="s">
        <v>1380</v>
      </c>
      <c r="B83" s="4419"/>
      <c r="C83" s="4419"/>
      <c r="D83" s="4419"/>
      <c r="E83" s="4419"/>
      <c r="F83" s="4419"/>
      <c r="G83" s="4419"/>
      <c r="H83" s="4419"/>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15" t="s">
        <v>1351</v>
      </c>
      <c r="B84" s="4416"/>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5">
        <f ca="1">ROUND(D45-D53,0)</f>
        <v>437</v>
      </c>
      <c r="D85" s="4246"/>
      <c r="E85" s="4251" t="s">
        <v>4054</v>
      </c>
      <c r="F85" s="4248"/>
      <c r="G85" s="4248"/>
      <c r="H85" s="4250"/>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1">
        <f ca="1">IF(H88="仅含出让金",C87+C90+C91+C92+C93+C94,C87+C91+C92+C93+C94)</f>
        <v>-39</v>
      </c>
      <c r="D86" s="3548"/>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1">
        <f>C88+C89</f>
        <v>0</v>
      </c>
      <c r="D87" s="3546"/>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60"/>
      <c r="D88" s="3546"/>
      <c r="E88" s="88" t="s">
        <v>1383</v>
      </c>
      <c r="F88" s="1696"/>
      <c r="G88" s="89" t="s">
        <v>1384</v>
      </c>
      <c r="H88" s="1310" t="s">
        <v>3677</v>
      </c>
      <c r="I88" s="1307"/>
      <c r="J88" s="1846" t="s">
        <v>2182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1">
        <f>ROUND(C88*D89,0)</f>
        <v>0</v>
      </c>
      <c r="D89" s="3546">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60"/>
      <c r="D90" s="3546"/>
      <c r="E90" s="88" t="str">
        <f>IF(H88="-","土地取得成本中已包含该笔费用"," ")</f>
        <v xml:space="preserve"> </v>
      </c>
      <c r="F90" s="1696"/>
      <c r="G90" s="4370" t="s">
        <v>2032</v>
      </c>
      <c r="H90" s="4371"/>
      <c r="I90" s="1307"/>
      <c r="J90" s="1846" t="s">
        <v>2183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1">
        <f>IF(H91="——",成本法!C9,I91)</f>
        <v>0</v>
      </c>
      <c r="D91" s="3546"/>
      <c r="E91" s="4407" t="s">
        <v>1389</v>
      </c>
      <c r="F91" s="4408"/>
      <c r="G91" s="4408"/>
      <c r="H91" s="3533" t="s">
        <v>3675</v>
      </c>
      <c r="I91" s="3664"/>
      <c r="J91" s="1304" t="s">
        <v>3676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1">
        <f>ROUND((C87+C90+C91)*D92,0)</f>
        <v>0</v>
      </c>
      <c r="D92" s="3549"/>
      <c r="E92" s="4407" t="s">
        <v>1392</v>
      </c>
      <c r="F92" s="4408"/>
      <c r="G92" s="4408"/>
      <c r="H92" s="4409"/>
      <c r="I92" s="1307"/>
      <c r="J92" s="1847" t="s">
        <v>2184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41" t="s">
        <v>1393</v>
      </c>
      <c r="B93" s="4242" t="s">
        <v>1375</v>
      </c>
      <c r="C93" s="4243">
        <f ca="1">ROUND(D48-D53,0)</f>
        <v>-39</v>
      </c>
      <c r="D93" s="4244">
        <f>'数据-取费表'!B44</f>
        <v>0.12000000000000001</v>
      </c>
      <c r="E93" s="4432" t="s">
        <v>3678</v>
      </c>
      <c r="F93" s="4433"/>
      <c r="G93" s="4433"/>
      <c r="H93" s="4434"/>
      <c r="I93" s="3534"/>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0">
        <f>ROUND((C87+C90+C91)*D94,0)</f>
        <v>0</v>
      </c>
      <c r="D94" s="3546">
        <v>0.2</v>
      </c>
      <c r="E94" s="4435" t="s">
        <v>1396</v>
      </c>
      <c r="F94" s="4436"/>
      <c r="G94" s="4436"/>
      <c r="H94" s="4437"/>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1">
        <f ca="1">ROUND(C85-C86,0)</f>
        <v>476</v>
      </c>
      <c r="D95" s="3541"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1">
        <f ca="1">IF(C95&lt;=0,0,C95/C86)</f>
        <v>-12.205128205128204</v>
      </c>
      <c r="D96" s="3541"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2">
        <f ca="1">ROUND(IF(C95&lt;=0,0,IF(C96&gt;=200%,C95*60%-C86*35%,IF(C96&gt;=100%,C95*50%-C86*15%,IF(C96&gt;=50%,C95*40%-C86*5%,IF(C96&lt;50%,C95*30%,0))))),0)</f>
        <v>143</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7" t="s">
        <v>1398</v>
      </c>
      <c r="B100" s="4358"/>
      <c r="C100" s="4358"/>
      <c r="D100" s="4372"/>
      <c r="E100" s="4358" t="s">
        <v>1399</v>
      </c>
      <c r="F100" s="4358"/>
      <c r="G100" s="4358"/>
      <c r="H100" s="4372"/>
      <c r="I100" s="47"/>
    </row>
    <row r="101" spans="1:35" ht="18.75" customHeight="1">
      <c r="A101" s="4378" t="s">
        <v>1400</v>
      </c>
      <c r="B101" s="4379"/>
      <c r="C101" s="1877" t="str">
        <f>C4</f>
        <v>比较法-商业</v>
      </c>
      <c r="D101" s="1878" t="str">
        <f>D4</f>
        <v>收益法 (元)</v>
      </c>
      <c r="E101" s="4363" t="s">
        <v>1401</v>
      </c>
      <c r="F101" s="4364"/>
      <c r="G101" s="1311" t="s">
        <v>1402</v>
      </c>
      <c r="H101" s="3669">
        <f ca="1">I118</f>
        <v>475.96640000000002</v>
      </c>
      <c r="I101" s="47"/>
    </row>
    <row r="102" spans="1:35" ht="18.75" customHeight="1">
      <c r="A102" s="4380" t="s">
        <v>1403</v>
      </c>
      <c r="B102" s="1876" t="s">
        <v>1402</v>
      </c>
      <c r="C102" s="3665">
        <f ca="1">C19</f>
        <v>552.91160000000002</v>
      </c>
      <c r="D102" s="3666">
        <f ca="1">D19</f>
        <v>296.44799999999998</v>
      </c>
      <c r="E102" s="4363"/>
      <c r="F102" s="4364"/>
      <c r="G102" s="1311" t="s">
        <v>1404</v>
      </c>
      <c r="H102" s="2766">
        <f ca="1">H118</f>
        <v>2470927</v>
      </c>
      <c r="I102" s="47"/>
    </row>
    <row r="103" spans="1:35" ht="42.75" customHeight="1">
      <c r="A103" s="4380"/>
      <c r="B103" s="1876" t="s">
        <v>1404</v>
      </c>
      <c r="C103" s="3667">
        <f ca="1">C20</f>
        <v>39838</v>
      </c>
      <c r="D103" s="3668">
        <f ca="1">D20</f>
        <v>21359</v>
      </c>
      <c r="E103" s="4425" t="s">
        <v>1405</v>
      </c>
      <c r="F103" s="4426"/>
      <c r="G103" s="1312" t="s">
        <v>1406</v>
      </c>
      <c r="H103" s="3669">
        <f>IF(D36="正常操作",H104+H105+H106,H105+H106)</f>
        <v>0</v>
      </c>
      <c r="I103" s="47"/>
    </row>
    <row r="104" spans="1:35" ht="18.75" customHeight="1">
      <c r="A104" s="4380" t="s">
        <v>1407</v>
      </c>
      <c r="B104" s="1879" t="s">
        <v>1402</v>
      </c>
      <c r="C104" s="4389">
        <f ca="1">I118</f>
        <v>475.96640000000002</v>
      </c>
      <c r="D104" s="4390"/>
      <c r="E104" s="1191" t="s">
        <v>1408</v>
      </c>
      <c r="F104" s="1188"/>
      <c r="G104" s="1312" t="s">
        <v>1406</v>
      </c>
      <c r="H104" s="3670">
        <f>IF(D36="同一抵押权人同一抵押物续贷",C36&amp;"（续贷，未扣减，详见特别提示）",C36)</f>
        <v>0</v>
      </c>
      <c r="I104" s="47"/>
    </row>
    <row r="105" spans="1:35" ht="18.75" customHeight="1" thickBot="1">
      <c r="A105" s="4410"/>
      <c r="B105" s="1880" t="s">
        <v>1404</v>
      </c>
      <c r="C105" s="4391">
        <f ca="1">H118</f>
        <v>2470927</v>
      </c>
      <c r="D105" s="4392"/>
      <c r="E105" s="1191" t="s">
        <v>1409</v>
      </c>
      <c r="F105" s="1188"/>
      <c r="G105" s="1312" t="s">
        <v>1406</v>
      </c>
      <c r="H105" s="3671">
        <f>C37</f>
        <v>0</v>
      </c>
      <c r="I105" s="47"/>
    </row>
    <row r="106" spans="1:35" ht="18.75" customHeight="1">
      <c r="A106" s="464" t="s">
        <v>1410</v>
      </c>
      <c r="B106" s="464"/>
      <c r="C106" s="464"/>
      <c r="D106" s="464"/>
      <c r="E106" s="1313" t="s">
        <v>1411</v>
      </c>
      <c r="F106" s="1188"/>
      <c r="G106" s="1312" t="s">
        <v>1406</v>
      </c>
      <c r="H106" s="3671">
        <f>C38</f>
        <v>0</v>
      </c>
      <c r="I106" s="47"/>
    </row>
    <row r="107" spans="1:35" ht="18.75" customHeight="1">
      <c r="A107" s="47"/>
      <c r="B107" s="47"/>
      <c r="C107" s="47"/>
      <c r="D107" s="47"/>
      <c r="E107" s="4381" t="str">
        <f>IF(项目基本情况!E8="已注销","——","3.房地产抵押价值")</f>
        <v>3.房地产抵押价值</v>
      </c>
      <c r="F107" s="4364"/>
      <c r="G107" s="1311" t="s">
        <v>1402</v>
      </c>
      <c r="H107" s="3669">
        <f ca="1">IF(E107="——","——",H101-H103)</f>
        <v>475.96640000000002</v>
      </c>
      <c r="I107" s="47"/>
    </row>
    <row r="108" spans="1:35" ht="18.75" customHeight="1">
      <c r="A108" s="47"/>
      <c r="B108" s="47"/>
      <c r="C108" s="47"/>
      <c r="D108" s="47"/>
      <c r="E108" s="4381"/>
      <c r="F108" s="4364"/>
      <c r="G108" s="1311" t="s">
        <v>1404</v>
      </c>
      <c r="H108" s="2766">
        <f ca="1">IF(H107=H101,H102,ROUND(H107*10000/'数据-汇总表'!E3,0))</f>
        <v>2470927</v>
      </c>
      <c r="I108" s="47"/>
    </row>
    <row r="109" spans="1:35" ht="18.75" customHeight="1">
      <c r="A109" s="47"/>
      <c r="B109" s="47"/>
      <c r="C109" s="47"/>
      <c r="D109" s="47"/>
      <c r="E109" s="4381" t="str">
        <f>IF(项目基本情况!E8="已注销及未注销","4.抵押担保权已注销时的房地产抵押价值",IF(项目基本情况!E8="已注销","3.抵押担保权已注销时的房地产抵押价值","——"))</f>
        <v>——</v>
      </c>
      <c r="F109" s="4364"/>
      <c r="G109" s="1311" t="s">
        <v>1402</v>
      </c>
      <c r="H109" s="2761" t="str">
        <f>IF(E109="——","——",H101-H105-H106)</f>
        <v>——</v>
      </c>
      <c r="I109" s="47"/>
    </row>
    <row r="110" spans="1:35" ht="18.75" customHeight="1">
      <c r="A110" s="47"/>
      <c r="B110" s="47"/>
      <c r="C110" s="47"/>
      <c r="D110" s="47"/>
      <c r="E110" s="4381"/>
      <c r="F110" s="4364"/>
      <c r="G110" s="1311" t="s">
        <v>1404</v>
      </c>
      <c r="H110" s="2766" t="str">
        <f>IF(H109="——","——",ROUND(H109*10000/'数据-汇总表'!E3,0))</f>
        <v>——</v>
      </c>
      <c r="I110" s="47"/>
    </row>
    <row r="111" spans="1:35" ht="18.75" customHeight="1">
      <c r="A111" s="47"/>
      <c r="B111" s="47"/>
      <c r="C111" s="47"/>
      <c r="D111" s="47"/>
      <c r="E111" s="4382" t="str">
        <f>IF(项目基本情况!E9="抵押净值",IF(OR(项目基本情况!E8="已注销",项目基本情况!E8="房地产抵押价值"),"4.抵押净值","5.抵押净值"),"——")</f>
        <v>——</v>
      </c>
      <c r="F111" s="4383"/>
      <c r="G111" s="1311" t="s">
        <v>1402</v>
      </c>
      <c r="H111" s="3669" t="str">
        <f>IF(E111="——","——",N59)</f>
        <v>——</v>
      </c>
      <c r="I111" s="47"/>
    </row>
    <row r="112" spans="1:35" ht="18.75" customHeight="1" thickBot="1">
      <c r="A112" s="47"/>
      <c r="B112" s="47"/>
      <c r="C112" s="47"/>
      <c r="D112" s="47"/>
      <c r="E112" s="4384"/>
      <c r="F112" s="4385"/>
      <c r="G112" s="1314" t="s">
        <v>1404</v>
      </c>
      <c r="H112" s="3631" t="str">
        <f>IF(E111="——","——",N61)</f>
        <v>——</v>
      </c>
      <c r="I112" s="47"/>
    </row>
    <row r="113" spans="1:27" ht="18.75" customHeight="1">
      <c r="A113" s="47"/>
      <c r="B113" s="47"/>
      <c r="C113" s="47"/>
      <c r="D113" s="47"/>
      <c r="E113" s="4411" t="s">
        <v>1410</v>
      </c>
      <c r="F113" s="4411"/>
      <c r="G113" s="4411"/>
      <c r="H113" s="4411"/>
      <c r="I113" s="47"/>
    </row>
    <row r="114" spans="1:27" ht="3.75" customHeight="1">
      <c r="A114" s="464"/>
      <c r="B114" s="464"/>
      <c r="C114" s="464"/>
      <c r="D114" s="464"/>
      <c r="E114" s="1297"/>
      <c r="F114" s="1297"/>
      <c r="G114" s="1297"/>
      <c r="H114" s="1297"/>
      <c r="I114" s="464"/>
    </row>
    <row r="115" spans="1:27" ht="18.75" customHeight="1">
      <c r="A115" s="4421" t="s">
        <v>1412</v>
      </c>
      <c r="B115" s="4422"/>
      <c r="C115" s="4422"/>
      <c r="D115" s="4422"/>
      <c r="E115" s="4422"/>
      <c r="F115" s="4422"/>
      <c r="G115" s="4422"/>
      <c r="H115" s="4422"/>
      <c r="I115" s="4423"/>
    </row>
    <row r="116" spans="1:27" ht="27" customHeight="1">
      <c r="A116" s="4386" t="s">
        <v>1413</v>
      </c>
      <c r="B116" s="4387" t="s">
        <v>1414</v>
      </c>
      <c r="C116" s="4387" t="s">
        <v>1415</v>
      </c>
      <c r="D116" s="4374" t="s">
        <v>1416</v>
      </c>
      <c r="E116" s="4375"/>
      <c r="F116" s="4420"/>
      <c r="G116" s="4420"/>
      <c r="H116" s="4386" t="s">
        <v>1417</v>
      </c>
      <c r="I116" s="4386"/>
      <c r="K116" s="3032"/>
      <c r="L116" s="3033" t="s">
        <v>3469</v>
      </c>
      <c r="M116" s="3033" t="s">
        <v>3470</v>
      </c>
      <c r="N116" s="3033" t="s">
        <v>3471</v>
      </c>
    </row>
    <row r="117" spans="1:27" ht="18.75" customHeight="1">
      <c r="A117" s="4386"/>
      <c r="B117" s="4388"/>
      <c r="C117" s="4388"/>
      <c r="D117" s="1698" t="s">
        <v>1419</v>
      </c>
      <c r="E117" s="1698" t="s">
        <v>1418</v>
      </c>
      <c r="F117" s="1698" t="s">
        <v>1420</v>
      </c>
      <c r="G117" s="1698" t="s">
        <v>1418</v>
      </c>
      <c r="H117" s="1698" t="s">
        <v>1420</v>
      </c>
      <c r="I117" s="1698" t="s">
        <v>1418</v>
      </c>
      <c r="K117" s="3033" t="s">
        <v>3467</v>
      </c>
      <c r="L117" s="3672" t="e">
        <f ca="1">C34</f>
        <v>#REF!</v>
      </c>
      <c r="M117" s="3673" t="e">
        <f ca="1">C35</f>
        <v>#REF!</v>
      </c>
      <c r="N117" s="3673">
        <f ca="1">C32</f>
        <v>34294</v>
      </c>
    </row>
    <row r="118" spans="1:27" ht="24.75" customHeight="1">
      <c r="A118" s="1881" t="str">
        <f>项目基本情况!S2</f>
        <v>北京市房地产</v>
      </c>
      <c r="B118" s="2597">
        <f>M18</f>
        <v>138.79</v>
      </c>
      <c r="C118" s="2597">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2470927</v>
      </c>
      <c r="I118" s="679">
        <f ca="1">ROUND(IF(D32="总价",C32,N119*B118/10000),4)</f>
        <v>475.96640000000002</v>
      </c>
      <c r="K118" s="3032"/>
      <c r="L118" s="3032"/>
      <c r="M118" s="3032"/>
      <c r="N118" s="3032"/>
    </row>
    <row r="119" spans="1:27" ht="18.75" customHeight="1">
      <c r="A119" s="4386" t="s">
        <v>1421</v>
      </c>
      <c r="B119" s="4386"/>
      <c r="C119" s="4386"/>
      <c r="D119" s="4376" t="e">
        <f ca="1">NUMBERSTRING(INT(E118*10000),2)&amp;"元整"</f>
        <v>#REF!</v>
      </c>
      <c r="E119" s="4377"/>
      <c r="F119" s="4376" t="e">
        <f ca="1">NUMBERSTRING(INT(G118*10000),2)&amp;"元整"</f>
        <v>#REF!</v>
      </c>
      <c r="G119" s="4377"/>
      <c r="H119" s="4376" t="str">
        <f ca="1">NUMBERSTRING(INT(I118*10000),2)&amp;"元整"</f>
        <v>肆佰柒拾伍万玖仟陆佰陆拾肆元整</v>
      </c>
      <c r="I119" s="4377"/>
      <c r="K119" s="3033" t="s">
        <v>3468</v>
      </c>
      <c r="L119" s="3673" t="e">
        <f ca="1">C34</f>
        <v>#REF!</v>
      </c>
      <c r="M119" s="3673" t="e">
        <f ca="1">C35</f>
        <v>#REF!</v>
      </c>
      <c r="N119" s="3673">
        <f ca="1">C32</f>
        <v>34294</v>
      </c>
    </row>
    <row r="120" spans="1:27" ht="18.75" hidden="1" customHeight="1">
      <c r="A120" s="4395" t="str">
        <f>IF(项目基本情况!B9="房地产市场价值","",MID(E103,3,LEN(E103)-2))</f>
        <v>估价师知悉的法定优先受偿款</v>
      </c>
      <c r="B120" s="4396"/>
      <c r="C120" s="4396"/>
      <c r="D120" s="4396"/>
      <c r="E120" s="4396"/>
      <c r="F120" s="4396"/>
      <c r="G120" s="4397"/>
      <c r="H120" s="4479">
        <f>H103</f>
        <v>0</v>
      </c>
      <c r="I120" s="4480"/>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76" t="s">
        <v>1421</v>
      </c>
      <c r="B121" s="4398"/>
      <c r="C121" s="4398"/>
      <c r="D121" s="4398"/>
      <c r="E121" s="4398"/>
      <c r="F121" s="4398"/>
      <c r="G121" s="4377"/>
      <c r="H121" s="4481" t="str">
        <f>IF(H120=0,"零元整",NUMBERSTRING(INT(H120*10000),2)&amp;"元整")</f>
        <v>零元整</v>
      </c>
      <c r="I121" s="4482"/>
      <c r="AA121" s="493"/>
    </row>
    <row r="122" spans="1:27" ht="18.75" hidden="1" customHeight="1">
      <c r="A122" s="4395" t="str">
        <f>IF(项目基本情况!B9="房地产市场价值","",MID(E107,3,LEN(E107)-2))</f>
        <v>房地产抵押价值</v>
      </c>
      <c r="B122" s="4396"/>
      <c r="C122" s="4396"/>
      <c r="D122" s="4396"/>
      <c r="E122" s="4396"/>
      <c r="F122" s="4396"/>
      <c r="G122" s="4397"/>
      <c r="H122" s="4393">
        <f ca="1">H107</f>
        <v>475.96640000000002</v>
      </c>
      <c r="I122" s="4394"/>
      <c r="AA122" s="493"/>
    </row>
    <row r="123" spans="1:27" ht="18.75" hidden="1" customHeight="1">
      <c r="A123" s="4376" t="s">
        <v>1421</v>
      </c>
      <c r="B123" s="4398"/>
      <c r="C123" s="4398"/>
      <c r="D123" s="4398"/>
      <c r="E123" s="4398"/>
      <c r="F123" s="4398"/>
      <c r="G123" s="4377"/>
      <c r="H123" s="4376" t="str">
        <f ca="1">NUMBERSTRING(INT(H122*10000),2)&amp;"元整"</f>
        <v>肆佰柒拾伍万玖仟陆佰陆拾肆元整</v>
      </c>
      <c r="I123" s="4377"/>
      <c r="AA123" s="493"/>
    </row>
    <row r="124" spans="1:27" ht="18.75" hidden="1" customHeight="1">
      <c r="A124" s="4395" t="str">
        <f>IF(项目基本情况!B9="房地产市场价值","",MID(E109,3,LEN(E109)-2))</f>
        <v/>
      </c>
      <c r="B124" s="4396"/>
      <c r="C124" s="4396"/>
      <c r="D124" s="4396"/>
      <c r="E124" s="4396"/>
      <c r="F124" s="4396"/>
      <c r="G124" s="4397"/>
      <c r="H124" s="4393" t="str">
        <f>H109</f>
        <v>——</v>
      </c>
      <c r="I124" s="4394"/>
      <c r="AA124" s="493"/>
    </row>
    <row r="125" spans="1:27" ht="18.75" hidden="1" customHeight="1">
      <c r="A125" s="4376" t="s">
        <v>1421</v>
      </c>
      <c r="B125" s="4398"/>
      <c r="C125" s="4398"/>
      <c r="D125" s="4398"/>
      <c r="E125" s="4398"/>
      <c r="F125" s="4398"/>
      <c r="G125" s="4377"/>
      <c r="H125" s="4376" t="e">
        <f>NUMBERSTRING(INT(H124*10000),2)&amp;"元整"</f>
        <v>#VALUE!</v>
      </c>
      <c r="I125" s="4377"/>
      <c r="AA125" s="493"/>
    </row>
    <row r="126" spans="1:27" ht="18.75" hidden="1" customHeight="1">
      <c r="A126" s="4395" t="str">
        <f>IF(项目基本情况!B9="房地产市场价值","",MID(E111,3,LEN(E111)-2))</f>
        <v/>
      </c>
      <c r="B126" s="4396"/>
      <c r="C126" s="4396"/>
      <c r="D126" s="4396"/>
      <c r="E126" s="4396"/>
      <c r="F126" s="4396"/>
      <c r="G126" s="4397"/>
      <c r="H126" s="4393" t="str">
        <f>H111</f>
        <v>——</v>
      </c>
      <c r="I126" s="4394"/>
      <c r="AA126" s="493"/>
    </row>
    <row r="127" spans="1:27" ht="18.75" hidden="1" customHeight="1">
      <c r="A127" s="4376" t="s">
        <v>1421</v>
      </c>
      <c r="B127" s="4398"/>
      <c r="C127" s="4398"/>
      <c r="D127" s="4398"/>
      <c r="E127" s="4398"/>
      <c r="F127" s="4398"/>
      <c r="G127" s="4377"/>
      <c r="H127" s="4376" t="e">
        <f>NUMBERSTRING(INT(H126*10000),2)&amp;"元整"</f>
        <v>#VALUE!</v>
      </c>
      <c r="I127" s="4377"/>
      <c r="AA127" s="493"/>
    </row>
    <row r="128" spans="1:27" ht="21.75" hidden="1" customHeight="1">
      <c r="A128" s="4373" t="s">
        <v>1422</v>
      </c>
      <c r="B128" s="4373"/>
      <c r="C128" s="4373"/>
      <c r="D128" s="4373"/>
      <c r="E128" s="4373"/>
      <c r="F128" s="4373"/>
      <c r="G128" s="4373"/>
      <c r="H128" s="4373"/>
      <c r="I128" s="4373"/>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58" priority="4" stopIfTrue="1">
      <formula>$H$88&lt;&gt;"仅含出让金"</formula>
    </cfRule>
  </conditionalFormatting>
  <conditionalFormatting sqref="C91">
    <cfRule type="expression" dxfId="157" priority="3" stopIfTrue="1">
      <formula>$H$91="由企业提供"</formula>
    </cfRule>
  </conditionalFormatting>
  <conditionalFormatting sqref="C5:D7">
    <cfRule type="cellIs" dxfId="156" priority="11" stopIfTrue="1" operator="equal">
      <formula>25</formula>
    </cfRule>
  </conditionalFormatting>
  <conditionalFormatting sqref="C8:D13">
    <cfRule type="cellIs" dxfId="155" priority="9" stopIfTrue="1" operator="equal">
      <formula>15</formula>
    </cfRule>
  </conditionalFormatting>
  <conditionalFormatting sqref="C14:D16">
    <cfRule type="cellIs" dxfId="154" priority="7" stopIfTrue="1" operator="equal">
      <formula>30</formula>
    </cfRule>
  </conditionalFormatting>
  <conditionalFormatting sqref="E36">
    <cfRule type="expression" dxfId="153" priority="2" stopIfTrue="1">
      <formula>$D$36="同一抵押权人同一抵押物续贷"</formula>
    </cfRule>
  </conditionalFormatting>
  <conditionalFormatting sqref="H66">
    <cfRule type="expression" dxfId="152"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8" t="str">
        <f>项目基本情况!B1</f>
        <v>北京市房地产抵押价值预评估</v>
      </c>
      <c r="C37" s="4268"/>
      <c r="D37" s="4268"/>
      <c r="E37" s="4268"/>
      <c r="F37" s="4268"/>
      <c r="G37" s="4268"/>
      <c r="H37" s="4268"/>
      <c r="I37" s="4268"/>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c r="C1" s="3324"/>
      <c r="D1" s="93"/>
      <c r="E1" s="93"/>
      <c r="F1" s="93"/>
      <c r="G1" s="756">
        <f>MATCH(B1,'数据-取费表'!A6:A16,0)+5</f>
        <v>7</v>
      </c>
    </row>
    <row r="2" spans="1:9" s="95" customFormat="1" ht="15.75">
      <c r="A2" s="96" t="s">
        <v>1431</v>
      </c>
      <c r="B2" s="2522">
        <f ca="1">IF(C1="含税",E2+C33,E2+C32)</f>
        <v>149</v>
      </c>
      <c r="C2" s="94" t="s">
        <v>1432</v>
      </c>
      <c r="D2" s="1335" t="s">
        <v>41</v>
      </c>
      <c r="E2" s="3411">
        <f ca="1">IF(D2="——",0,SUMIF(INDIRECT("'"&amp;G2&amp;"'"&amp;"!A:A"),"承租人权益价值",INDIRECT("'"&amp;G2&amp;"'"&amp;"!c:c")))</f>
        <v>0</v>
      </c>
      <c r="F2" s="1336" t="s">
        <v>1432</v>
      </c>
      <c r="G2" s="1337"/>
    </row>
    <row r="3" spans="1:9" s="95" customFormat="1" ht="16.5" thickBot="1">
      <c r="A3" s="98" t="s">
        <v>1433</v>
      </c>
      <c r="B3" s="2523">
        <f ca="1">ROUND(B2*10000/(IF(B1="",'数据-汇总表'!E3,INDIRECT("'数据-取费表'!k"&amp;$G$1))),0)</f>
        <v>10736</v>
      </c>
      <c r="C3" s="94" t="s">
        <v>1434</v>
      </c>
      <c r="D3" s="94"/>
      <c r="E3" s="2510"/>
      <c r="F3" s="94"/>
      <c r="G3" s="94"/>
    </row>
    <row r="4" spans="1:9" s="95" customFormat="1" ht="16.5" thickBot="1">
      <c r="A4" s="2567" t="s">
        <v>3319</v>
      </c>
      <c r="B4" s="2568" t="s">
        <v>3320</v>
      </c>
      <c r="C4" s="2507" t="s">
        <v>3941</v>
      </c>
      <c r="D4" s="2543" t="s">
        <v>3325</v>
      </c>
      <c r="E4" s="2544" t="s">
        <v>3326</v>
      </c>
      <c r="F4" s="2544" t="s">
        <v>3327</v>
      </c>
      <c r="G4" s="2508" t="s">
        <v>3321</v>
      </c>
    </row>
    <row r="5" spans="1:9" s="103" customFormat="1" ht="15.75">
      <c r="A5" s="2545" t="s">
        <v>3318</v>
      </c>
      <c r="B5" s="2546" t="s">
        <v>3322</v>
      </c>
      <c r="C5" s="2520">
        <f ca="1">ROUND((C6+C9+C21+C24+C25+C28)/(1-F22-C26-C29),0)</f>
        <v>163</v>
      </c>
      <c r="D5" s="2547"/>
      <c r="E5" s="2547"/>
      <c r="F5" s="2547"/>
      <c r="G5" s="2699" t="s">
        <v>3461</v>
      </c>
    </row>
    <row r="6" spans="1:9" s="2533" customFormat="1" ht="15">
      <c r="A6" s="2512" t="s">
        <v>3328</v>
      </c>
      <c r="B6" s="2571" t="s">
        <v>3329</v>
      </c>
      <c r="C6" s="2548">
        <f>C7+C8</f>
        <v>0</v>
      </c>
      <c r="D6" s="2511"/>
      <c r="E6" s="2511"/>
      <c r="F6" s="2511"/>
      <c r="G6" s="2549"/>
    </row>
    <row r="7" spans="1:9" s="109" customFormat="1">
      <c r="A7" s="2550" t="s">
        <v>1441</v>
      </c>
      <c r="B7" s="2572" t="s">
        <v>1442</v>
      </c>
      <c r="C7" s="3020"/>
      <c r="D7" s="2551"/>
      <c r="E7" s="2552"/>
      <c r="F7" s="2552"/>
      <c r="G7" s="156"/>
    </row>
    <row r="8" spans="1:9" s="109" customFormat="1">
      <c r="A8" s="2550" t="s">
        <v>1443</v>
      </c>
      <c r="B8" s="2572" t="s">
        <v>1444</v>
      </c>
      <c r="C8" s="2521">
        <f>ROUND(C7*F8,0)</f>
        <v>0</v>
      </c>
      <c r="D8" s="144"/>
      <c r="E8" s="2552"/>
      <c r="F8" s="2553">
        <f>IF(项目基本情况!B8="出让",0,'数据-取费表'!B49+'数据-取费表'!B50)</f>
        <v>3.0499999999999999E-2</v>
      </c>
      <c r="G8" s="156"/>
    </row>
    <row r="9" spans="1:9" s="2533" customFormat="1" ht="15">
      <c r="A9" s="2554" t="s">
        <v>336</v>
      </c>
      <c r="B9" s="2573" t="s">
        <v>3277</v>
      </c>
      <c r="C9" s="2534">
        <f ca="1">C10+C11+C12+C13+C19+C20</f>
        <v>125.90389999999999</v>
      </c>
      <c r="D9" s="2555"/>
      <c r="E9" s="2556"/>
      <c r="F9" s="2557"/>
      <c r="G9" s="2558"/>
      <c r="I9" s="109"/>
    </row>
    <row r="10" spans="1:9" s="109" customFormat="1">
      <c r="A10" s="2574" t="s">
        <v>344</v>
      </c>
      <c r="B10" s="2575" t="s">
        <v>3312</v>
      </c>
      <c r="C10" s="2521">
        <f ca="1">IF(B1="",IF(F10=100%,'数据-取费表'!M16,'数据-取费表'!O16),IF(F10=100%,INDIRECT("'数据-取费表'!m"&amp;$G$1)+INDIRECT("'数据-取费表'!t"&amp;$G$1),INDIRECT("'数据-取费表'!o"&amp;$G$1)+INDIRECT("'数据-取费表'!aq"&amp;$G$1)))</f>
        <v>57</v>
      </c>
      <c r="D10" s="2551"/>
      <c r="E10" s="144"/>
      <c r="F10" s="2559">
        <f ca="1">IF('数据-取费表'!B24=0,1,IF(B1="",'数据-取费表'!N16,INDIRECT("'数据-取费表'!n"&amp;$G$1)))</f>
        <v>1</v>
      </c>
      <c r="G10" s="156" t="s">
        <v>1467</v>
      </c>
    </row>
    <row r="11" spans="1:9" s="109" customFormat="1">
      <c r="A11" s="2574" t="s">
        <v>349</v>
      </c>
      <c r="B11" s="2575" t="s">
        <v>3313</v>
      </c>
      <c r="C11" s="2521">
        <f ca="1">ROUND(C10*F11,0)</f>
        <v>4</v>
      </c>
      <c r="D11" s="144"/>
      <c r="E11" s="144"/>
      <c r="F11" s="2532">
        <f>'数据-取费表'!B33</f>
        <v>7.0000000000000007E-2</v>
      </c>
      <c r="G11" s="3409" t="s">
        <v>3665</v>
      </c>
    </row>
    <row r="12" spans="1:9" s="109" customFormat="1">
      <c r="A12" s="2574" t="s">
        <v>350</v>
      </c>
      <c r="B12" s="2575" t="s">
        <v>3314</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1" t="s">
        <v>3983</v>
      </c>
    </row>
    <row r="13" spans="1:9" s="109" customFormat="1">
      <c r="A13" s="2574" t="s">
        <v>3278</v>
      </c>
      <c r="B13" s="2575" t="s">
        <v>3315</v>
      </c>
      <c r="C13" s="2521">
        <f ca="1">C14+C17+C18</f>
        <v>63.9039</v>
      </c>
      <c r="D13" s="144"/>
      <c r="E13" s="2552"/>
      <c r="F13" s="2553"/>
      <c r="G13" s="156"/>
    </row>
    <row r="14" spans="1:9" s="118" customFormat="1">
      <c r="A14" s="2505" t="s">
        <v>3279</v>
      </c>
      <c r="B14" s="2576" t="s">
        <v>3311</v>
      </c>
      <c r="C14" s="2521">
        <f ca="1">IF(G14="已包含在土地购买价格中","0",IF(B1="",'数据-取费表'!B29,IF(G15="全部缴纳",C15+C16,H15)))</f>
        <v>56.9039</v>
      </c>
      <c r="D14" s="2560"/>
      <c r="E14" s="144"/>
      <c r="F14" s="2553"/>
      <c r="G14" s="1338"/>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160</v>
      </c>
      <c r="F15" s="2553"/>
      <c r="G15" s="1339"/>
      <c r="H15" s="762"/>
      <c r="I15" s="1340" t="s">
        <v>1448</v>
      </c>
    </row>
    <row r="16" spans="1:9" s="109" customFormat="1">
      <c r="A16" s="2577" t="s">
        <v>354</v>
      </c>
      <c r="B16" s="2578" t="s">
        <v>1449</v>
      </c>
      <c r="C16" s="2561">
        <f ca="1">ROUND(D16*E16/10000,0)</f>
        <v>3</v>
      </c>
      <c r="D16" s="2561">
        <f ca="1">IF(B1="",'数据-汇总表'!E6,IF(INDIRECT("'数据-取费表'!c"&amp;$G$1)="住宅",INDIRECT("'数据-取费表'!s"&amp;$G$1),INDIRECT("'数据-取费表'!k"&amp;$G$1)+INDIRECT("'数据-取费表'!s"&amp;$G$1)))</f>
        <v>138.79</v>
      </c>
      <c r="E16" s="2561">
        <f>'数据-取费表'!B28</f>
        <v>200</v>
      </c>
      <c r="F16" s="2553"/>
      <c r="G16" s="121"/>
    </row>
    <row r="17" spans="1:7" s="109" customFormat="1">
      <c r="A17" s="2505" t="s">
        <v>3280</v>
      </c>
      <c r="B17" s="2579" t="s">
        <v>3285</v>
      </c>
      <c r="C17" s="2521">
        <f ca="1">IF(G17="已包含在土地取得成本中","0",ROUND(D17*E17/10000,0))</f>
        <v>3</v>
      </c>
      <c r="D17" s="2562">
        <f ca="1">D15+D16</f>
        <v>138.79</v>
      </c>
      <c r="E17" s="2562">
        <f>'数据-取费表'!B31</f>
        <v>200</v>
      </c>
      <c r="F17" s="2529"/>
      <c r="G17" s="1338"/>
    </row>
    <row r="18" spans="1:7" s="109" customFormat="1">
      <c r="A18" s="2580" t="s">
        <v>3281</v>
      </c>
      <c r="B18" s="2579" t="s">
        <v>1472</v>
      </c>
      <c r="C18" s="2521">
        <f ca="1">ROUND(E18*D18*F10/10000,0)</f>
        <v>4</v>
      </c>
      <c r="D18" s="2521">
        <f ca="1">D17</f>
        <v>138.79</v>
      </c>
      <c r="E18" s="2521">
        <f>'数据-取费表'!B35</f>
        <v>300</v>
      </c>
      <c r="F18" s="2532"/>
      <c r="G18" s="156" t="str">
        <f ca="1">IF(F10=100%,"","按工程进度计取")</f>
        <v/>
      </c>
    </row>
    <row r="19" spans="1:7" s="109" customFormat="1">
      <c r="A19" s="2574" t="s">
        <v>352</v>
      </c>
      <c r="B19" s="2575" t="s">
        <v>3316</v>
      </c>
      <c r="C19" s="2521">
        <f ca="1">ROUND(C10*F19,0)</f>
        <v>1</v>
      </c>
      <c r="D19" s="144"/>
      <c r="E19" s="144"/>
      <c r="F19" s="2532">
        <f>'数据-取费表'!B36</f>
        <v>0.01</v>
      </c>
      <c r="G19" s="156" t="s">
        <v>1469</v>
      </c>
    </row>
    <row r="20" spans="1:7" s="109" customFormat="1">
      <c r="A20" s="2574" t="s">
        <v>3282</v>
      </c>
      <c r="B20" s="2575" t="s">
        <v>3317</v>
      </c>
      <c r="C20" s="2521">
        <f ca="1">ROUND(C10*F20,0)</f>
        <v>0</v>
      </c>
      <c r="D20" s="2563"/>
      <c r="E20" s="140"/>
      <c r="F20" s="2532">
        <f>'数据-取费表'!B37</f>
        <v>0</v>
      </c>
      <c r="G20" s="156" t="s">
        <v>1469</v>
      </c>
    </row>
    <row r="21" spans="1:7" s="2533" customFormat="1" ht="15">
      <c r="A21" s="2512" t="s">
        <v>3330</v>
      </c>
      <c r="B21" s="2571" t="s">
        <v>3331</v>
      </c>
      <c r="C21" s="2534">
        <f ca="1">ROUND((C6+C9)*F21,0)</f>
        <v>3</v>
      </c>
      <c r="D21" s="2535"/>
      <c r="E21" s="2535"/>
      <c r="F21" s="2539">
        <f>'数据-取费表'!B38</f>
        <v>0.02</v>
      </c>
      <c r="G21" s="2536" t="s">
        <v>3332</v>
      </c>
    </row>
    <row r="22" spans="1:7" s="2533" customFormat="1" ht="15">
      <c r="A22" s="2512" t="s">
        <v>3333</v>
      </c>
      <c r="B22" s="2571" t="s">
        <v>3334</v>
      </c>
      <c r="C22" s="2537" t="str">
        <f>F22&amp;"V"</f>
        <v>0.02V</v>
      </c>
      <c r="D22" s="296"/>
      <c r="E22" s="2535"/>
      <c r="F22" s="2539">
        <f>'数据-取费表'!B39</f>
        <v>0.02</v>
      </c>
      <c r="G22" s="3531" t="s">
        <v>3977</v>
      </c>
    </row>
    <row r="23" spans="1:7" s="2533" customFormat="1" ht="15">
      <c r="A23" s="2512" t="s">
        <v>3335</v>
      </c>
      <c r="B23" s="2573" t="s">
        <v>3286</v>
      </c>
      <c r="C23" s="2513" t="str">
        <f ca="1">SUM(C24:C25)&amp;"+"&amp;C26&amp;"V"</f>
        <v>4+0.0006V</v>
      </c>
      <c r="D23" s="2538"/>
      <c r="E23" s="296"/>
      <c r="F23" s="2539">
        <f ca="1">'数据-取费表'!B41</f>
        <v>3.1300000000000001E-2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0</v>
      </c>
      <c r="D24" s="133"/>
      <c r="E24" s="133"/>
      <c r="F24" s="2528"/>
      <c r="G24" s="3911" t="s">
        <v>3978</v>
      </c>
    </row>
    <row r="25" spans="1:7" s="109" customFormat="1">
      <c r="A25" s="2581" t="s">
        <v>1453</v>
      </c>
      <c r="B25" s="2579" t="s">
        <v>3287</v>
      </c>
      <c r="C25" s="2527">
        <f ca="1">ROUND(IF('数据-取费表'!B22&lt;=1,(C9+C21)*F23*'数据-取费表'!B23/2,(C9+C21)*(POWER((1+F23),'数据-取费表'!B23/2)-1)),0)</f>
        <v>4</v>
      </c>
      <c r="D25" s="133"/>
      <c r="E25" s="133"/>
      <c r="F25" s="2528"/>
      <c r="G25" s="3911" t="s">
        <v>3979</v>
      </c>
    </row>
    <row r="26" spans="1:7" s="109" customFormat="1">
      <c r="A26" s="2581" t="s">
        <v>348</v>
      </c>
      <c r="B26" s="2579" t="s">
        <v>1454</v>
      </c>
      <c r="C26" s="2524">
        <f ca="1">ROUND(IF('数据-取费表'!B22&lt;=1,F22*F23*'数据-取费表'!B23/2,F22*(POWER((1+F23),'数据-取费表'!B23/2)-1)),4)</f>
        <v>5.9999999999999995E-4</v>
      </c>
      <c r="D26" s="133"/>
      <c r="E26" s="136"/>
      <c r="F26" s="2528"/>
      <c r="G26" s="4225" t="s">
        <v>3980</v>
      </c>
    </row>
    <row r="27" spans="1:7" s="2533" customFormat="1" ht="15">
      <c r="A27" s="2512" t="s">
        <v>3336</v>
      </c>
      <c r="B27" s="2573" t="s">
        <v>3288</v>
      </c>
      <c r="C27" s="2540" t="str">
        <f ca="1">C28&amp;"+"&amp;C29&amp;"V"</f>
        <v>26+0.004V</v>
      </c>
      <c r="D27" s="2538"/>
      <c r="E27" s="296"/>
      <c r="F27" s="2541">
        <f ca="1">IF(B1="",'数据-取费表'!Q16,INDIRECT("'数据-取费表'!q"&amp;$G$1))</f>
        <v>0.2</v>
      </c>
      <c r="G27" s="2536" t="s">
        <v>3985</v>
      </c>
    </row>
    <row r="28" spans="1:7" s="109" customFormat="1">
      <c r="A28" s="2574" t="s">
        <v>344</v>
      </c>
      <c r="B28" s="2579" t="s">
        <v>1459</v>
      </c>
      <c r="C28" s="2506">
        <f ca="1">ROUND(C6*F27*'数据-取费表'!B23/'数据-取费表'!B22+(C9+C21)*F27,0)</f>
        <v>26</v>
      </c>
      <c r="D28" s="130"/>
      <c r="E28" s="131"/>
      <c r="F28" s="2529"/>
      <c r="G28" s="3031" t="str">
        <f ca="1">IF(F10=100%,"","其中：土地取得成本产生的利润按已建工期计算")</f>
        <v/>
      </c>
    </row>
    <row r="29" spans="1:7" s="109" customFormat="1">
      <c r="A29" s="2574" t="s">
        <v>345</v>
      </c>
      <c r="B29" s="2579" t="s">
        <v>1460</v>
      </c>
      <c r="C29" s="2524">
        <f ca="1">ROUND(F22*F27,4)</f>
        <v>4.0000000000000001E-3</v>
      </c>
      <c r="D29" s="130"/>
      <c r="E29" s="131"/>
      <c r="F29" s="2529"/>
      <c r="G29" s="142"/>
    </row>
    <row r="30" spans="1:7" s="2533" customFormat="1" ht="15">
      <c r="A30" s="2512" t="s">
        <v>3337</v>
      </c>
      <c r="B30" s="2571" t="s">
        <v>3338</v>
      </c>
      <c r="C30" s="2534">
        <v>0</v>
      </c>
      <c r="D30" s="296"/>
      <c r="E30" s="2514"/>
      <c r="F30" s="2539"/>
      <c r="G30" s="2542" t="s">
        <v>3289</v>
      </c>
    </row>
    <row r="31" spans="1:7" s="109" customFormat="1" ht="15.75">
      <c r="A31" s="2582">
        <v>2</v>
      </c>
      <c r="B31" s="2583" t="s">
        <v>3290</v>
      </c>
      <c r="C31" s="2525">
        <f ca="1">C57</f>
        <v>14</v>
      </c>
      <c r="D31" s="2516"/>
      <c r="E31" s="2516"/>
      <c r="F31" s="2530">
        <f>IF('数据-取费表'!B24=0,'数据-取费表'!N16,1)</f>
        <v>0.83</v>
      </c>
      <c r="G31" s="2517" t="s">
        <v>3799</v>
      </c>
    </row>
    <row r="32" spans="1:7" s="109" customFormat="1" ht="15.75">
      <c r="A32" s="2504" t="s">
        <v>3291</v>
      </c>
      <c r="B32" s="2503" t="s">
        <v>3292</v>
      </c>
      <c r="C32" s="2525">
        <f ca="1">C5-C31</f>
        <v>149</v>
      </c>
      <c r="D32" s="2516"/>
      <c r="E32" s="2516"/>
      <c r="F32" s="2515"/>
      <c r="G32" s="2518" t="s">
        <v>3323</v>
      </c>
    </row>
    <row r="33" spans="1:7" s="109" customFormat="1" ht="16.5" thickBot="1">
      <c r="A33" s="2584">
        <v>4</v>
      </c>
      <c r="B33" s="2585" t="s">
        <v>3324</v>
      </c>
      <c r="C33" s="2526">
        <f ca="1">ROUND(C32*(1+F33),0)</f>
        <v>162</v>
      </c>
      <c r="D33" s="2519"/>
      <c r="E33" s="2519"/>
      <c r="F33" s="2531">
        <f>IF(G33="其他类型公式—成本价值×（1+9%）",9%,3%)</f>
        <v>0.09</v>
      </c>
      <c r="G33" s="3532" t="s">
        <v>3674</v>
      </c>
    </row>
    <row r="34" spans="1:7" s="118" customFormat="1"/>
    <row r="35" spans="1:7" s="109" customFormat="1"/>
    <row r="36" spans="1:7" s="109" customFormat="1"/>
    <row r="37" spans="1:7" s="109" customFormat="1"/>
    <row r="38" spans="1:7" ht="15.75" thickBot="1">
      <c r="A38" s="2770" t="s">
        <v>3293</v>
      </c>
      <c r="B38" s="2771"/>
      <c r="C38" s="2771"/>
      <c r="D38" s="2771"/>
      <c r="E38" s="2771"/>
      <c r="F38" s="2771"/>
      <c r="G38" s="2772"/>
    </row>
    <row r="39" spans="1:7" ht="15.75" thickBot="1">
      <c r="A39" s="2773" t="s">
        <v>3319</v>
      </c>
      <c r="B39" s="2774" t="s">
        <v>3320</v>
      </c>
      <c r="C39" s="2775" t="s">
        <v>3941</v>
      </c>
      <c r="D39" s="2776" t="s">
        <v>3443</v>
      </c>
      <c r="E39" s="2777" t="s">
        <v>3444</v>
      </c>
      <c r="F39" s="2777" t="s">
        <v>3445</v>
      </c>
      <c r="G39" s="2778" t="s">
        <v>3321</v>
      </c>
    </row>
    <row r="40" spans="1:7" ht="15">
      <c r="A40" s="2631" t="s">
        <v>3446</v>
      </c>
      <c r="B40" s="2780" t="s">
        <v>3294</v>
      </c>
      <c r="C40" s="2781">
        <f ca="1">SUM(C41:C46)</f>
        <v>66</v>
      </c>
      <c r="D40" s="2779"/>
      <c r="E40" s="2779"/>
      <c r="F40" s="2779"/>
      <c r="G40" s="3983"/>
    </row>
    <row r="41" spans="1:7" ht="15.75">
      <c r="A41" s="2566" t="s">
        <v>3295</v>
      </c>
      <c r="B41" s="2630" t="str">
        <f t="shared" ref="B41:C43" si="0">B10</f>
        <v xml:space="preserve">  建安费用</v>
      </c>
      <c r="C41" s="2501">
        <f t="shared" ca="1" si="0"/>
        <v>57</v>
      </c>
      <c r="D41" s="2496"/>
      <c r="E41" s="2496"/>
      <c r="F41" s="2497"/>
      <c r="G41" s="3984"/>
    </row>
    <row r="42" spans="1:7" ht="15.75">
      <c r="A42" s="2566" t="s">
        <v>3296</v>
      </c>
      <c r="B42" s="2630" t="str">
        <f t="shared" si="0"/>
        <v xml:space="preserve">  前期费用</v>
      </c>
      <c r="C42" s="2501">
        <f t="shared" ca="1" si="0"/>
        <v>4</v>
      </c>
      <c r="D42" s="2496"/>
      <c r="E42" s="2496"/>
      <c r="F42" s="2497"/>
      <c r="G42" s="3984"/>
    </row>
    <row r="43" spans="1:7" ht="15.75">
      <c r="A43" s="2566" t="s">
        <v>3360</v>
      </c>
      <c r="B43" s="2570" t="str">
        <f t="shared" si="0"/>
        <v xml:space="preserve">  公共配套设施费用</v>
      </c>
      <c r="C43" s="2501">
        <f t="shared" ca="1" si="0"/>
        <v>0</v>
      </c>
      <c r="D43" s="2496"/>
      <c r="E43" s="2496"/>
      <c r="F43" s="2497"/>
      <c r="G43" s="3984"/>
    </row>
    <row r="44" spans="1:7" ht="15.75">
      <c r="A44" s="2566" t="s">
        <v>3278</v>
      </c>
      <c r="B44" s="2570" t="str">
        <f>B18</f>
        <v>红线内市政费用</v>
      </c>
      <c r="C44" s="2501">
        <f ca="1">C18</f>
        <v>4</v>
      </c>
      <c r="D44" s="2496"/>
      <c r="E44" s="2496"/>
      <c r="F44" s="2497"/>
      <c r="G44" s="3984"/>
    </row>
    <row r="45" spans="1:7" ht="15.75">
      <c r="A45" s="2581" t="s">
        <v>3297</v>
      </c>
      <c r="B45" s="2576" t="str">
        <f>B19</f>
        <v xml:space="preserve">  其他工程费</v>
      </c>
      <c r="C45" s="2506">
        <f ca="1">C19</f>
        <v>1</v>
      </c>
      <c r="D45" s="2629"/>
      <c r="E45" s="2629"/>
      <c r="F45" s="2509"/>
      <c r="G45" s="3985"/>
    </row>
    <row r="46" spans="1:7" ht="15.75">
      <c r="A46" s="2581" t="s">
        <v>3359</v>
      </c>
      <c r="B46" s="2576" t="s">
        <v>3298</v>
      </c>
      <c r="C46" s="2506">
        <f ca="1">C20</f>
        <v>0</v>
      </c>
      <c r="D46" s="2629"/>
      <c r="E46" s="2629"/>
      <c r="F46" s="2509"/>
      <c r="G46" s="3985"/>
    </row>
    <row r="47" spans="1:7" ht="15">
      <c r="A47" s="2631" t="s">
        <v>3447</v>
      </c>
      <c r="B47" s="2632" t="s">
        <v>3448</v>
      </c>
      <c r="C47" s="2633">
        <f ca="1">ROUND(C40*F47,0)</f>
        <v>1</v>
      </c>
      <c r="D47" s="2634"/>
      <c r="E47" s="2634"/>
      <c r="F47" s="2635">
        <f>F21</f>
        <v>0.02</v>
      </c>
      <c r="G47" s="2636" t="s">
        <v>3449</v>
      </c>
    </row>
    <row r="48" spans="1:7" ht="15">
      <c r="A48" s="2631" t="s">
        <v>3450</v>
      </c>
      <c r="B48" s="2632" t="s">
        <v>3451</v>
      </c>
      <c r="C48" s="2637" t="str">
        <f>F48&amp;"V建1"</f>
        <v>0.02V建1</v>
      </c>
      <c r="D48" s="2634"/>
      <c r="E48" s="2634"/>
      <c r="F48" s="2635">
        <f>F22</f>
        <v>0.02</v>
      </c>
      <c r="G48" s="4226" t="s">
        <v>3981</v>
      </c>
    </row>
    <row r="49" spans="1:7" ht="15">
      <c r="A49" s="2631" t="s">
        <v>3452</v>
      </c>
      <c r="B49" s="2638" t="s">
        <v>3358</v>
      </c>
      <c r="C49" s="2534" t="str">
        <f ca="1">C50&amp;"+"&amp;C51&amp;"V建1"</f>
        <v>2+0.0006V建1</v>
      </c>
      <c r="D49" s="296"/>
      <c r="E49" s="296"/>
      <c r="F49" s="2647">
        <f ca="1">F23</f>
        <v>3.1300000000000001E-2</v>
      </c>
      <c r="G49" s="3986" t="str">
        <f>IF('数据-取费表'!B22&lt;=1,"单利计息","复利计息")</f>
        <v>复利计息</v>
      </c>
    </row>
    <row r="50" spans="1:7">
      <c r="A50" s="2566" t="s">
        <v>3295</v>
      </c>
      <c r="B50" s="2569" t="s">
        <v>3362</v>
      </c>
      <c r="C50" s="2650">
        <f ca="1">ROUND(IF('数据-取费表'!B22&lt;=1,(C40+C47)*F49*'数据-取费表'!B22/2,(C40+C47)*(POWER((1+F49),'数据-取费表'!B22/2)-1)),0)</f>
        <v>2</v>
      </c>
      <c r="D50" s="1011"/>
      <c r="E50" s="1011"/>
      <c r="F50" s="994"/>
      <c r="G50" s="4483" t="str">
        <f ca="1">IF(F10=100%,"建设期均匀投入","已建工期均匀投入")</f>
        <v>建设期均匀投入</v>
      </c>
    </row>
    <row r="51" spans="1:7">
      <c r="A51" s="2566" t="s">
        <v>3296</v>
      </c>
      <c r="B51" s="2570" t="s">
        <v>3301</v>
      </c>
      <c r="C51" s="2651">
        <f ca="1">ROUND(IF('数据-取费表'!B22&lt;=1,F48*F23*'数据-取费表'!B22/2,F48*(POWER((1+F23),'数据-取费表'!B22/2)-1)),4)</f>
        <v>5.9999999999999995E-4</v>
      </c>
      <c r="D51" s="1011"/>
      <c r="E51" s="1011"/>
      <c r="F51" s="994"/>
      <c r="G51" s="4484"/>
    </row>
    <row r="52" spans="1:7" ht="15">
      <c r="A52" s="2631" t="s">
        <v>3453</v>
      </c>
      <c r="B52" s="2640" t="s">
        <v>3302</v>
      </c>
      <c r="C52" s="2641" t="str">
        <f ca="1">C53&amp;"+"&amp;C54&amp;"V建1"</f>
        <v>13+0.004V建1</v>
      </c>
      <c r="D52" s="2642"/>
      <c r="E52" s="2634"/>
      <c r="F52" s="2643">
        <f ca="1">F27</f>
        <v>0.2</v>
      </c>
      <c r="G52" s="2644" t="s">
        <v>3454</v>
      </c>
    </row>
    <row r="53" spans="1:7">
      <c r="A53" s="2566" t="s">
        <v>3299</v>
      </c>
      <c r="B53" s="2569" t="s">
        <v>3303</v>
      </c>
      <c r="C53" s="2501">
        <f ca="1">ROUND((C40+C47)*F27,0)</f>
        <v>13</v>
      </c>
      <c r="D53" s="2502"/>
      <c r="E53" s="2498"/>
      <c r="F53" s="2499"/>
      <c r="G53" s="2500"/>
    </row>
    <row r="54" spans="1:7">
      <c r="A54" s="2566" t="s">
        <v>3300</v>
      </c>
      <c r="B54" s="2569" t="s">
        <v>3304</v>
      </c>
      <c r="C54" s="2565">
        <f ca="1">ROUND(F48*F27,4)</f>
        <v>4.0000000000000001E-3</v>
      </c>
      <c r="D54" s="2502"/>
      <c r="E54" s="2498"/>
      <c r="F54" s="2499"/>
      <c r="G54" s="2500"/>
    </row>
    <row r="55" spans="1:7" ht="15">
      <c r="A55" s="2512" t="s">
        <v>3455</v>
      </c>
      <c r="B55" s="2649" t="s">
        <v>3456</v>
      </c>
      <c r="C55" s="3987">
        <v>0</v>
      </c>
      <c r="D55" s="2538"/>
      <c r="E55" s="296"/>
      <c r="F55" s="2639"/>
      <c r="G55" s="2646" t="s">
        <v>3307</v>
      </c>
    </row>
    <row r="56" spans="1:7" ht="16.5">
      <c r="A56" s="2512" t="s">
        <v>3460</v>
      </c>
      <c r="B56" s="2645" t="s">
        <v>3457</v>
      </c>
      <c r="C56" s="2534">
        <f ca="1">ROUND((C40+C47+C50+C53)/(1-F48-C51-C54),0)</f>
        <v>84</v>
      </c>
      <c r="D56" s="296"/>
      <c r="E56" s="296"/>
      <c r="F56" s="2647"/>
      <c r="G56" s="2646" t="s">
        <v>3308</v>
      </c>
    </row>
    <row r="57" spans="1:7" ht="15">
      <c r="A57" s="2512" t="s">
        <v>3424</v>
      </c>
      <c r="B57" s="2648" t="s">
        <v>3305</v>
      </c>
      <c r="C57" s="2534">
        <f ca="1">ROUND(C56*(1-F57),0)</f>
        <v>14</v>
      </c>
      <c r="D57" s="296"/>
      <c r="E57" s="296"/>
      <c r="F57" s="2647">
        <f>F31</f>
        <v>0.83</v>
      </c>
      <c r="G57" s="2646" t="s">
        <v>3309</v>
      </c>
    </row>
    <row r="58" spans="1:7" ht="16.5">
      <c r="A58" s="2512" t="s">
        <v>3458</v>
      </c>
      <c r="B58" s="2645" t="s">
        <v>3459</v>
      </c>
      <c r="C58" s="2534">
        <f ca="1">C56-C57</f>
        <v>70</v>
      </c>
      <c r="D58" s="296"/>
      <c r="E58" s="296"/>
      <c r="F58" s="2647"/>
      <c r="G58" s="2646" t="s">
        <v>3310</v>
      </c>
    </row>
    <row r="59" spans="1:7" ht="15.75" thickBot="1">
      <c r="A59" s="3988" t="s">
        <v>3361</v>
      </c>
      <c r="B59" s="3989" t="s">
        <v>3306</v>
      </c>
      <c r="C59" s="3990">
        <f ca="1">ROUND(C58*(1+F59),0)</f>
        <v>76</v>
      </c>
      <c r="D59" s="3991"/>
      <c r="E59" s="3991"/>
      <c r="F59" s="3992">
        <f>F33</f>
        <v>0.09</v>
      </c>
      <c r="G59" s="3993" t="s">
        <v>3982</v>
      </c>
    </row>
    <row r="60" spans="1:7" ht="14.25">
      <c r="A60" s="2494"/>
      <c r="B60" s="2495"/>
    </row>
    <row r="62" spans="1:7" ht="21" customHeight="1">
      <c r="B62" s="2564" t="s">
        <v>1498</v>
      </c>
      <c r="C62" s="166"/>
    </row>
    <row r="63" spans="1:7" ht="21" customHeight="1">
      <c r="B63" s="55" t="s">
        <v>787</v>
      </c>
      <c r="C63" s="4059">
        <f ca="1">1-C64</f>
        <v>0.53</v>
      </c>
    </row>
    <row r="64" spans="1:7" ht="21" customHeight="1">
      <c r="B64" s="55" t="s">
        <v>788</v>
      </c>
      <c r="C64" s="4060">
        <f ca="1">ROUND(C58/C32,3)</f>
        <v>0.47</v>
      </c>
      <c r="D64" s="164" t="s">
        <v>3363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70">
        <f ca="1">ROUND(IF(D2="——",C52/10000,C52/10000-E2),4)</f>
        <v>2803.8593999999998</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202022</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20658368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27758</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27758</v>
      </c>
      <c r="D10" s="538">
        <f ca="1">IF(B1="",'数据-汇总表'!E6,IF(INDIRECT("'数据-取费表'!c"&amp;$G$1)="住宅",INDIRECT("'数据-取费表'!s"&amp;$G$1),INDIRECT("'数据-取费表'!k"&amp;$G$1)+INDIRECT("'数据-取费表'!s"&amp;$G$1)))</f>
        <v>138.79</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27758</v>
      </c>
      <c r="D19" s="107">
        <f ca="1">D9+D10</f>
        <v>138.79</v>
      </c>
      <c r="E19" s="106">
        <f>'数据-取费表'!B31</f>
        <v>200</v>
      </c>
      <c r="F19" s="126"/>
      <c r="G19" s="1338"/>
    </row>
    <row r="20" spans="1:7" s="109" customFormat="1" ht="13.5" customHeight="1">
      <c r="A20" s="150" t="s">
        <v>1510</v>
      </c>
      <c r="B20" s="105" t="s">
        <v>1511</v>
      </c>
      <c r="C20" s="127">
        <f ca="1">ROUND((C5+C19)*F20,0)</f>
        <v>413723</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1328168</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1313453</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1765</v>
      </c>
      <c r="D24" s="133"/>
      <c r="E24" s="133"/>
      <c r="F24" s="134"/>
      <c r="G24" s="135" t="s">
        <v>1522</v>
      </c>
    </row>
    <row r="25" spans="1:7" s="109" customFormat="1" ht="24">
      <c r="A25" s="513" t="s">
        <v>1445</v>
      </c>
      <c r="B25" s="110" t="s">
        <v>1523</v>
      </c>
      <c r="C25" s="133">
        <f ca="1">ROUND(IF('数据-取费表'!B22&lt;=1,C20*F22*'数据-取费表'!B22/2,C20*(POWER((1+F22),'数据-取费表'!B22/2)-1)),0)</f>
        <v>12950</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4.75">
      <c r="A27" s="150" t="s">
        <v>1455</v>
      </c>
      <c r="B27" s="139" t="s">
        <v>1456</v>
      </c>
      <c r="C27" s="140">
        <f ca="1">C28</f>
        <v>4219970</v>
      </c>
      <c r="D27" s="130">
        <f ca="1">C29</f>
        <v>4.0000000000000001E-3</v>
      </c>
      <c r="E27" s="131" t="s">
        <v>1457</v>
      </c>
      <c r="F27" s="141">
        <f ca="1">IF(B1="",'数据-取费表'!Q16,INDIRECT("'数据-取费表'!q"&amp;$G$1))</f>
        <v>0.2</v>
      </c>
      <c r="G27" s="142" t="s">
        <v>1458</v>
      </c>
    </row>
    <row r="28" spans="1:7" s="109" customFormat="1" ht="13.5" customHeight="1">
      <c r="A28" s="513" t="s">
        <v>344</v>
      </c>
      <c r="B28" s="143" t="s">
        <v>1459</v>
      </c>
      <c r="C28" s="144">
        <f ca="1">ROUND((C5+C19+C20)*F27,0)</f>
        <v>4219970</v>
      </c>
      <c r="D28" s="130"/>
      <c r="E28" s="131"/>
      <c r="F28" s="141"/>
      <c r="G28" s="142"/>
    </row>
    <row r="29" spans="1:7" s="109" customFormat="1" ht="13.5" customHeight="1">
      <c r="A29" s="513" t="s">
        <v>345</v>
      </c>
      <c r="B29" s="143" t="s">
        <v>1460</v>
      </c>
      <c r="C29" s="133">
        <f ca="1">ROUND(C21*F27,4)</f>
        <v>4.0000000000000001E-3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21">
        <v>5.5999999999999995E-4</v>
      </c>
      <c r="G30" s="129" t="s">
        <v>1463</v>
      </c>
    </row>
    <row r="31" spans="1:7" ht="16.5" customHeight="1">
      <c r="A31" s="104">
        <v>1</v>
      </c>
      <c r="B31" s="105" t="s">
        <v>1464</v>
      </c>
      <c r="C31" s="106">
        <f ca="1">ROUND((C5+C19+C20+C22+C27)/(1-C21-D22-D27-C30),0)</f>
        <v>27336876</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656199</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569039</v>
      </c>
      <c r="D34" s="112"/>
      <c r="E34" s="115"/>
      <c r="F34" s="152"/>
      <c r="G34" s="114"/>
    </row>
    <row r="35" spans="1:7" ht="13.5" customHeight="1">
      <c r="A35" s="513" t="s">
        <v>349</v>
      </c>
      <c r="B35" s="110" t="s">
        <v>1468</v>
      </c>
      <c r="C35" s="115">
        <f ca="1">ROUND(C34*F35,0)</f>
        <v>39833</v>
      </c>
      <c r="D35" s="115"/>
      <c r="E35" s="115"/>
      <c r="F35" s="154">
        <f>'数据-取费表'!B33</f>
        <v>7.0000000000000007E-2</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41637</v>
      </c>
      <c r="D37" s="112">
        <f ca="1">D19</f>
        <v>138.79</v>
      </c>
      <c r="E37" s="144">
        <f>'数据-取费表'!B35</f>
        <v>300</v>
      </c>
      <c r="F37" s="154"/>
      <c r="G37" s="156"/>
    </row>
    <row r="38" spans="1:7" ht="13.5" customHeight="1">
      <c r="A38" s="513" t="s">
        <v>352</v>
      </c>
      <c r="B38" s="110" t="s">
        <v>1473</v>
      </c>
      <c r="C38" s="115">
        <f ca="1">ROUND(C34*F38,0)</f>
        <v>5690</v>
      </c>
      <c r="D38" s="115"/>
      <c r="E38" s="115"/>
      <c r="F38" s="154">
        <f>'数据-取费表'!B36</f>
        <v>0.01</v>
      </c>
      <c r="G38" s="114" t="s">
        <v>1469</v>
      </c>
    </row>
    <row r="39" spans="1:7" s="109" customFormat="1" ht="13.5" customHeight="1">
      <c r="A39" s="150" t="s">
        <v>1474</v>
      </c>
      <c r="B39" s="105" t="s">
        <v>1475</v>
      </c>
      <c r="C39" s="127">
        <f ca="1">ROUND(C33*F20,0)</f>
        <v>13124</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20950</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20539</v>
      </c>
      <c r="D42" s="133"/>
      <c r="E42" s="133"/>
      <c r="F42" s="134"/>
      <c r="G42" s="4483" t="s">
        <v>1527</v>
      </c>
    </row>
    <row r="43" spans="1:7" ht="13.5" customHeight="1">
      <c r="A43" s="513" t="s">
        <v>345</v>
      </c>
      <c r="B43" s="110" t="s">
        <v>1484</v>
      </c>
      <c r="C43" s="133">
        <f ca="1">ROUND(IF('数据-取费表'!B22&lt;=1,C39*F22*'数据-取费表'!B20/2,C39*(POWER((1+F22),'数据-取费表'!B20/2)-1)),0)</f>
        <v>411</v>
      </c>
      <c r="D43" s="133"/>
      <c r="E43" s="133"/>
      <c r="F43" s="134"/>
      <c r="G43" s="4485"/>
    </row>
    <row r="44" spans="1:7" ht="13.5" customHeight="1">
      <c r="A44" s="513" t="s">
        <v>346</v>
      </c>
      <c r="B44" s="110" t="s">
        <v>1485</v>
      </c>
      <c r="C44" s="133">
        <f ca="1">ROUND(IF('数据-取费表'!B22&lt;=1,C40*F22*'数据-取费表'!B20/2,C40*(POWER((1+F22),'数据-取费表'!B20/2)-1)),4)</f>
        <v>5.9999999999999995E-4</v>
      </c>
      <c r="D44" s="133"/>
      <c r="E44" s="133"/>
      <c r="F44" s="134"/>
      <c r="G44" s="4484"/>
    </row>
    <row r="45" spans="1:7" s="109" customFormat="1" ht="13.5" customHeight="1">
      <c r="A45" s="150" t="s">
        <v>1486</v>
      </c>
      <c r="B45" s="139" t="s">
        <v>1456</v>
      </c>
      <c r="C45" s="140">
        <f ca="1">C46</f>
        <v>133865</v>
      </c>
      <c r="D45" s="130">
        <f ca="1">C47</f>
        <v>4.0000000000000001E-3</v>
      </c>
      <c r="E45" s="131" t="s">
        <v>1479</v>
      </c>
      <c r="F45" s="141">
        <f ca="1">F27</f>
        <v>0.2</v>
      </c>
      <c r="G45" s="142" t="s">
        <v>1487</v>
      </c>
    </row>
    <row r="46" spans="1:7" s="109" customFormat="1" ht="13.5" customHeight="1">
      <c r="A46" s="513" t="s">
        <v>344</v>
      </c>
      <c r="B46" s="143" t="s">
        <v>1488</v>
      </c>
      <c r="C46" s="144">
        <f ca="1">ROUND((C33+C39)*F27,0)</f>
        <v>133865</v>
      </c>
      <c r="D46" s="158"/>
      <c r="E46" s="131"/>
      <c r="F46" s="141"/>
      <c r="G46" s="142"/>
    </row>
    <row r="47" spans="1:7" s="109" customFormat="1" ht="13.5" customHeight="1">
      <c r="A47" s="513" t="s">
        <v>345</v>
      </c>
      <c r="B47" s="143" t="s">
        <v>1489</v>
      </c>
      <c r="C47" s="133">
        <f ca="1">ROUND(C40*F27,4)</f>
        <v>4.0000000000000001E-3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2">
        <f>F30</f>
        <v>5.5999999999999995E-4</v>
      </c>
      <c r="G48" s="129" t="s">
        <v>1491</v>
      </c>
    </row>
    <row r="49" spans="1:7" ht="16.5" customHeight="1">
      <c r="A49" s="150" t="s">
        <v>1461</v>
      </c>
      <c r="B49" s="105" t="s">
        <v>1528</v>
      </c>
      <c r="C49" s="127">
        <f ca="1">ROUND((C33+C39+C41+C45)/(1-C40-D41-D45-C48),0)</f>
        <v>845443</v>
      </c>
      <c r="D49" s="127"/>
      <c r="E49" s="127"/>
      <c r="F49" s="159"/>
      <c r="G49" s="129" t="s">
        <v>1492</v>
      </c>
    </row>
    <row r="50" spans="1:7" s="153" customFormat="1">
      <c r="A50" s="150" t="s">
        <v>1493</v>
      </c>
      <c r="B50" s="105" t="s">
        <v>1494</v>
      </c>
      <c r="C50" s="127"/>
      <c r="D50" s="127"/>
      <c r="E50" s="127"/>
      <c r="F50" s="159">
        <f>IF('数据-取费表'!B24=0,'数据-取费表'!N16,1)</f>
        <v>0.83</v>
      </c>
      <c r="G50" s="142"/>
    </row>
    <row r="51" spans="1:7" ht="16.5" customHeight="1">
      <c r="A51" s="150" t="s">
        <v>1495</v>
      </c>
      <c r="B51" s="105" t="s">
        <v>1529</v>
      </c>
      <c r="C51" s="127">
        <f ca="1">ROUND(C49*F50,0)</f>
        <v>701718</v>
      </c>
      <c r="D51" s="127"/>
      <c r="E51" s="127"/>
      <c r="F51" s="159"/>
      <c r="G51" s="129" t="s">
        <v>1496</v>
      </c>
    </row>
    <row r="52" spans="1:7" s="103" customFormat="1" ht="16.5" thickBot="1">
      <c r="A52" s="160" t="s">
        <v>1497</v>
      </c>
      <c r="B52" s="161"/>
      <c r="C52" s="162">
        <f ca="1">C31+C51</f>
        <v>28038594</v>
      </c>
      <c r="D52" s="161"/>
      <c r="E52" s="161"/>
      <c r="F52" s="161"/>
      <c r="G52" s="163"/>
    </row>
    <row r="55" spans="1:7" ht="15">
      <c r="B55" s="165" t="s">
        <v>1498</v>
      </c>
      <c r="C55" s="166"/>
    </row>
    <row r="56" spans="1:7">
      <c r="B56" s="168" t="s">
        <v>787</v>
      </c>
      <c r="C56" s="170">
        <f ca="1">1-C57</f>
        <v>0.97499999999999998</v>
      </c>
    </row>
    <row r="57" spans="1:7">
      <c r="B57" s="168" t="s">
        <v>788</v>
      </c>
      <c r="C57" s="169">
        <f ca="1">ROUND(C51/C52,3)</f>
        <v>2.5000000000000001E-2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c r="D1" s="914" t="s">
        <v>41</v>
      </c>
      <c r="E1" s="915" t="s">
        <v>665</v>
      </c>
      <c r="F1" s="3412">
        <f ca="1">J62</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t="e">
        <f ca="1">IF(D2="含税",ROUND((C28+J31+L55)*(1+F31),0),C28+J31+L55)</f>
        <v>#DIV/0!</v>
      </c>
      <c r="C2" s="932" t="s">
        <v>790</v>
      </c>
      <c r="D2" s="3323"/>
      <c r="E2" s="937"/>
      <c r="F2" s="938"/>
      <c r="G2" s="1966"/>
      <c r="H2" s="1956"/>
      <c r="I2" s="1956"/>
      <c r="J2" s="1956"/>
      <c r="K2" s="1957"/>
      <c r="L2" s="1956"/>
      <c r="M2" s="1956"/>
    </row>
    <row r="3" spans="1:37" ht="18" customHeight="1" thickBot="1">
      <c r="A3" s="939" t="s">
        <v>791</v>
      </c>
      <c r="B3" s="2754">
        <f ca="1">IF(ISERROR(B2*10000/F32),0,ROUND(B2*10000/F32,0))</f>
        <v>0</v>
      </c>
      <c r="C3" s="932" t="s">
        <v>792</v>
      </c>
      <c r="D3" s="932"/>
      <c r="E3" s="937"/>
      <c r="F3" s="938"/>
      <c r="G3" s="1966"/>
      <c r="H3" s="467" t="s">
        <v>860</v>
      </c>
      <c r="I3" s="933"/>
      <c r="J3" s="933"/>
      <c r="K3" s="934"/>
      <c r="L3" s="933"/>
      <c r="M3" s="933"/>
    </row>
    <row r="4" spans="1:37" s="118" customFormat="1" ht="18" customHeight="1">
      <c r="A4" s="2723" t="s">
        <v>3867</v>
      </c>
      <c r="B4" s="2724" t="s">
        <v>3868</v>
      </c>
      <c r="C4" s="3569" t="s">
        <v>3806</v>
      </c>
      <c r="D4" s="2724" t="s">
        <v>3869</v>
      </c>
      <c r="E4" s="3999" t="s">
        <v>3870</v>
      </c>
      <c r="F4" s="4000"/>
      <c r="G4" s="4001"/>
      <c r="H4" s="2723" t="s">
        <v>3867</v>
      </c>
      <c r="I4" s="2724" t="s">
        <v>3868</v>
      </c>
      <c r="J4" s="3569" t="s">
        <v>3806</v>
      </c>
      <c r="K4" s="2724" t="s">
        <v>3869</v>
      </c>
      <c r="L4" s="3999" t="s">
        <v>3870</v>
      </c>
      <c r="M4" s="4000"/>
      <c r="N4" s="4001"/>
      <c r="O4" s="4001"/>
      <c r="P4" s="4001"/>
      <c r="Q4" s="4001"/>
      <c r="R4" s="4001"/>
      <c r="S4" s="4001"/>
      <c r="T4" s="4001"/>
      <c r="U4" s="4001"/>
      <c r="V4" s="4001"/>
      <c r="W4" s="4001"/>
      <c r="X4" s="4001"/>
      <c r="Y4" s="4001"/>
      <c r="Z4" s="4001"/>
      <c r="AA4" s="4001"/>
      <c r="AB4" s="4001"/>
      <c r="AC4" s="4001"/>
      <c r="AD4" s="4001"/>
      <c r="AE4" s="4001"/>
      <c r="AF4" s="4001"/>
      <c r="AG4" s="4001"/>
      <c r="AH4" s="4001"/>
      <c r="AI4" s="4001"/>
      <c r="AJ4" s="4001"/>
      <c r="AK4" s="4001"/>
    </row>
    <row r="5" spans="1:37" s="118" customFormat="1" ht="18" customHeight="1">
      <c r="A5" s="183">
        <v>1</v>
      </c>
      <c r="B5" s="3913" t="s">
        <v>3393</v>
      </c>
      <c r="C5" s="4093">
        <f ca="1">ROUND(C6+C10+C12,0)</f>
        <v>0</v>
      </c>
      <c r="D5" s="4002" t="s">
        <v>3873</v>
      </c>
      <c r="E5" s="4003"/>
      <c r="F5" s="4004"/>
      <c r="G5" s="4001"/>
      <c r="H5" s="183">
        <v>1</v>
      </c>
      <c r="I5" s="3913" t="s">
        <v>3393</v>
      </c>
      <c r="J5" s="4093">
        <f ca="1">ROUND(J6+J10+J12,0)</f>
        <v>0</v>
      </c>
      <c r="K5" s="4002" t="s">
        <v>3873</v>
      </c>
      <c r="L5" s="4003"/>
      <c r="M5" s="4004"/>
      <c r="N5" s="4001"/>
      <c r="O5" s="4001"/>
      <c r="P5" s="4001"/>
      <c r="Q5" s="4001"/>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3784</v>
      </c>
      <c r="C6" s="3855">
        <f ca="1">C7-C9</f>
        <v>0</v>
      </c>
      <c r="D6" s="2715" t="s">
        <v>3788</v>
      </c>
      <c r="E6" s="2713" t="s">
        <v>3391</v>
      </c>
      <c r="F6" s="3028">
        <f ca="1">INDIRECT("'数据-取费表'!u"&amp;$G$1)</f>
        <v>0</v>
      </c>
      <c r="G6" s="935"/>
      <c r="H6" s="707" t="s">
        <v>392</v>
      </c>
      <c r="I6" s="2714" t="s">
        <v>3784</v>
      </c>
      <c r="J6" s="4087">
        <f ca="1">J7-J9</f>
        <v>0</v>
      </c>
      <c r="K6" s="2715" t="s">
        <v>3788</v>
      </c>
      <c r="L6" s="2713" t="s">
        <v>3391</v>
      </c>
      <c r="M6" s="3028">
        <f ca="1">INDIRECT("'数据-取费表'!z"&amp;$G$1)</f>
        <v>0</v>
      </c>
    </row>
    <row r="7" spans="1:37" ht="18" customHeight="1">
      <c r="A7" s="4495" t="s">
        <v>391</v>
      </c>
      <c r="B7" s="4488" t="s">
        <v>3782</v>
      </c>
      <c r="C7" s="4490">
        <f ca="1">ROUND(F6*F7*F8/10000,2)</f>
        <v>0</v>
      </c>
      <c r="D7" s="4491" t="s">
        <v>3462</v>
      </c>
      <c r="E7" s="714" t="s">
        <v>682</v>
      </c>
      <c r="F7" s="2761">
        <f ca="1">IF(INDIRECT("'数据-取费表'!ah"&amp;$G$1)="",INDIRECT("'数据-取费表'!k"&amp;$G$1),INDIRECT("'数据-取费表'!ah"&amp;$G$1))</f>
        <v>0</v>
      </c>
      <c r="G7" s="935"/>
      <c r="H7" s="4495" t="s">
        <v>391</v>
      </c>
      <c r="I7" s="4488" t="s">
        <v>3782</v>
      </c>
      <c r="J7" s="4497">
        <f ca="1">ROUND(M6*M8*M7/10000,2)</f>
        <v>0</v>
      </c>
      <c r="K7" s="4491" t="s">
        <v>3462</v>
      </c>
      <c r="L7" s="186" t="s">
        <v>682</v>
      </c>
      <c r="M7" s="2761">
        <f ca="1">F7</f>
        <v>0</v>
      </c>
    </row>
    <row r="8" spans="1:37" ht="18" customHeight="1">
      <c r="A8" s="4496"/>
      <c r="B8" s="4489"/>
      <c r="C8" s="4490"/>
      <c r="D8" s="4491"/>
      <c r="E8" s="186" t="str">
        <f ca="1">IF(F8=1,"年",IF(F8=12,"月","天"))</f>
        <v>天</v>
      </c>
      <c r="F8" s="3413">
        <f ca="1">INDIRECT("'数据-取费表'!ai"&amp;$G$1)</f>
        <v>0</v>
      </c>
      <c r="G8" s="935"/>
      <c r="H8" s="4496"/>
      <c r="I8" s="4489"/>
      <c r="J8" s="4497"/>
      <c r="K8" s="4491"/>
      <c r="L8" s="186" t="str">
        <f ca="1">IF(M8=1,"年",IF(M8=12,"月","天"))</f>
        <v>天</v>
      </c>
      <c r="M8" s="3413">
        <f ca="1">INDIRECT("'数据-取费表'!ai"&amp;$G$1)</f>
        <v>0</v>
      </c>
    </row>
    <row r="9" spans="1:37" ht="18" customHeight="1">
      <c r="A9" s="2700" t="s">
        <v>3392</v>
      </c>
      <c r="B9" s="4086" t="s">
        <v>3783</v>
      </c>
      <c r="C9" s="4085">
        <f ca="1">ROUND(C7*F9,2)</f>
        <v>0</v>
      </c>
      <c r="D9" s="2715" t="s">
        <v>3787</v>
      </c>
      <c r="E9" s="186" t="s">
        <v>684</v>
      </c>
      <c r="F9" s="2767">
        <f ca="1">INDIRECT("'数据-取费表'!w"&amp;$G$1)</f>
        <v>0</v>
      </c>
      <c r="G9" s="935"/>
      <c r="H9" s="2700" t="s">
        <v>3392</v>
      </c>
      <c r="I9" s="4086" t="s">
        <v>3783</v>
      </c>
      <c r="J9" s="4087">
        <f ca="1">ROUND(J7*M9,2)</f>
        <v>0</v>
      </c>
      <c r="K9" s="2715" t="s">
        <v>3787</v>
      </c>
      <c r="L9" s="197" t="s">
        <v>684</v>
      </c>
      <c r="M9" s="2829">
        <f ca="1">INDIRECT("'数据-取费表'!ab"&amp;$G$1)</f>
        <v>0</v>
      </c>
    </row>
    <row r="10" spans="1:37" ht="18" customHeight="1">
      <c r="A10" s="707" t="s">
        <v>396</v>
      </c>
      <c r="B10" s="917" t="s">
        <v>685</v>
      </c>
      <c r="C10" s="4087">
        <f ca="1">ROUND(IF(F10="押一",C6/12*F11,IF(F10="押二",C6/12*2*F11,IF(F10="押三",C6/12*3*F11,C11*F11))),2)</f>
        <v>0</v>
      </c>
      <c r="D10" s="59" t="s">
        <v>2020</v>
      </c>
      <c r="E10" s="197" t="s">
        <v>686</v>
      </c>
      <c r="F10" s="2763"/>
      <c r="G10" s="935"/>
      <c r="H10" s="707" t="s">
        <v>396</v>
      </c>
      <c r="I10" s="917" t="s">
        <v>685</v>
      </c>
      <c r="J10" s="4088">
        <f ca="1">ROUND(IF(M10="押一",J6/12*M11,IF(M10="押二",J6/12*2*M11,IF(M10="押三",J6/12*3*M11,J11*M11))),2)</f>
        <v>0</v>
      </c>
      <c r="K10" s="59" t="s">
        <v>2019</v>
      </c>
      <c r="L10" s="197" t="s">
        <v>686</v>
      </c>
      <c r="M10" s="2763"/>
    </row>
    <row r="11" spans="1:37" ht="18" customHeight="1">
      <c r="A11" s="192"/>
      <c r="B11" s="3023" t="str">
        <f>IF(OR(F10="自定义",F10=" "),"（自定义押金）","")</f>
        <v/>
      </c>
      <c r="C11" s="2718"/>
      <c r="D11" s="919"/>
      <c r="E11" s="197" t="s">
        <v>687</v>
      </c>
      <c r="F11" s="2829">
        <f ca="1">'数据-取费表'!B40</f>
        <v>1.4999999999999999E-2</v>
      </c>
      <c r="G11" s="935"/>
      <c r="H11" s="715"/>
      <c r="I11" s="3023" t="str">
        <f>IF(OR(M10="自定义",M10=" "),"（自定义押金）","")</f>
        <v/>
      </c>
      <c r="J11" s="2718"/>
      <c r="K11" s="464"/>
      <c r="L11" s="197" t="s">
        <v>687</v>
      </c>
      <c r="M11" s="3434">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3667</v>
      </c>
      <c r="B13" s="717" t="s">
        <v>3874</v>
      </c>
      <c r="C13" s="3853">
        <f ca="1">ROUND(C14+C22+C24+C26,0)</f>
        <v>0</v>
      </c>
      <c r="D13" s="4005" t="s">
        <v>3875</v>
      </c>
      <c r="E13" s="4006"/>
      <c r="F13" s="4004"/>
      <c r="G13" s="4001"/>
      <c r="H13" s="716" t="s">
        <v>3667</v>
      </c>
      <c r="I13" s="717" t="s">
        <v>3874</v>
      </c>
      <c r="J13" s="3853">
        <f ca="1">ROUND(J14+J22+J24+J26,0)</f>
        <v>0</v>
      </c>
      <c r="K13" s="4007" t="s">
        <v>3876</v>
      </c>
      <c r="L13" s="4006"/>
      <c r="M13" s="4008"/>
      <c r="N13" s="4001"/>
      <c r="O13" s="4001"/>
      <c r="P13" s="4001"/>
      <c r="Q13" s="4001"/>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3958</v>
      </c>
      <c r="C14" s="4087">
        <f ca="1">ROUND(IF(AND(项目基本情况!B11="自然人",项目基本情况!B10="北京市",M56="住宅"),C6*F14,C15+C19+C20),2)</f>
        <v>0</v>
      </c>
      <c r="D14" s="900" t="s">
        <v>3436</v>
      </c>
      <c r="E14" s="900" t="str">
        <f>IF(M56="非住宅","","综合税率")</f>
        <v/>
      </c>
      <c r="F14" s="3837" t="str">
        <f>IF(M56="非住宅","",IF(F6*F7*F8/12/(1+'数据-取费表'!F30)&gt;100000,4%,2.5%))</f>
        <v/>
      </c>
      <c r="G14" s="935"/>
      <c r="H14" s="658" t="s">
        <v>392</v>
      </c>
      <c r="I14" s="2713" t="s">
        <v>3958</v>
      </c>
      <c r="J14" s="4087">
        <f ca="1">ROUND(IF(AND(项目基本情况!B11="自然人",项目基本情况!B10="北京市",M56="住宅"),J6*M14/(1+'数据-取费表'!C43),J15+J19+J20),2)</f>
        <v>0</v>
      </c>
      <c r="K14" s="2740" t="s">
        <v>3435</v>
      </c>
      <c r="L14" s="900" t="str">
        <f>E14</f>
        <v/>
      </c>
      <c r="M14" s="3837" t="str">
        <f>IF(M56="非住宅","",IF(M6*M7*M8/12/(1+'数据-取费表'!F30)&gt;100000,4%,2.5%))</f>
        <v/>
      </c>
    </row>
    <row r="15" spans="1:37" s="946" customFormat="1" ht="18" customHeight="1">
      <c r="A15" s="2700" t="s">
        <v>3394</v>
      </c>
      <c r="B15" s="2713" t="s">
        <v>3954</v>
      </c>
      <c r="C15" s="4087">
        <f ca="1">C18</f>
        <v>0</v>
      </c>
      <c r="D15" s="2430" t="s">
        <v>3963</v>
      </c>
      <c r="E15" s="4090"/>
      <c r="F15" s="4123"/>
      <c r="G15" s="945"/>
      <c r="H15" s="2700" t="s">
        <v>391</v>
      </c>
      <c r="I15" s="2713" t="s">
        <v>3954</v>
      </c>
      <c r="J15" s="4087">
        <f ca="1">J18</f>
        <v>0</v>
      </c>
      <c r="K15" s="2430" t="s">
        <v>3953</v>
      </c>
      <c r="L15" s="4090"/>
      <c r="M15" s="4123"/>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3279</v>
      </c>
      <c r="B16" s="2717" t="s">
        <v>3395</v>
      </c>
      <c r="C16" s="2720">
        <f ca="1">ROUND(C6*F16,2)</f>
        <v>0</v>
      </c>
      <c r="D16" s="994" t="s">
        <v>3845</v>
      </c>
      <c r="E16" s="2721" t="s">
        <v>3397</v>
      </c>
      <c r="F16" s="2765">
        <v>0.09</v>
      </c>
      <c r="G16" s="935"/>
      <c r="H16" s="2505" t="s">
        <v>3279</v>
      </c>
      <c r="I16" s="2717" t="s">
        <v>3395</v>
      </c>
      <c r="J16" s="2720">
        <f ca="1">ROUND(J6*M16,2)</f>
        <v>0</v>
      </c>
      <c r="K16" s="3979" t="s">
        <v>3851</v>
      </c>
      <c r="L16" s="2721" t="s">
        <v>3397</v>
      </c>
      <c r="M16" s="2765">
        <v>0.09</v>
      </c>
    </row>
    <row r="17" spans="1:37" s="946" customFormat="1" ht="18" customHeight="1">
      <c r="A17" s="2505" t="s">
        <v>3280</v>
      </c>
      <c r="B17" s="2717" t="s">
        <v>3396</v>
      </c>
      <c r="C17" s="2741">
        <f ca="1">ROUND(C22*F16+((C24+C26)*F17),2)</f>
        <v>0</v>
      </c>
      <c r="D17" s="3978" t="s">
        <v>3846</v>
      </c>
      <c r="E17" s="2722"/>
      <c r="F17" s="2765">
        <v>0.06</v>
      </c>
      <c r="G17" s="945"/>
      <c r="H17" s="2505" t="s">
        <v>3280</v>
      </c>
      <c r="I17" s="2717" t="s">
        <v>3396</v>
      </c>
      <c r="J17" s="2741">
        <f ca="1">ROUND(J22*M16+((J24+J26)*M17),2)</f>
        <v>0</v>
      </c>
      <c r="K17" s="3978" t="s">
        <v>3846</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3951</v>
      </c>
      <c r="B18" s="2717" t="s">
        <v>3972</v>
      </c>
      <c r="C18" s="2741">
        <f ca="1">ROUND((C16-C17)*F18,2)</f>
        <v>0</v>
      </c>
      <c r="D18" s="2740" t="s">
        <v>3973</v>
      </c>
      <c r="E18" s="186" t="s">
        <v>3974</v>
      </c>
      <c r="F18" s="2765">
        <f>'数据-取费表'!B44</f>
        <v>0.12000000000000001</v>
      </c>
      <c r="G18" s="945"/>
      <c r="H18" s="2505" t="s">
        <v>3951</v>
      </c>
      <c r="I18" s="2717" t="s">
        <v>3950</v>
      </c>
      <c r="J18" s="2741">
        <f ca="1">ROUND((J16-J17)*M18,2)</f>
        <v>0</v>
      </c>
      <c r="K18" s="2740" t="s">
        <v>3973</v>
      </c>
      <c r="L18" s="186" t="s">
        <v>3974</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3959</v>
      </c>
      <c r="C19" s="4087">
        <f ca="1">IF(AND(项目基本情况!B11="自然人",M56="住宅"),"——",IF(D19="按不含税租金收入（有效毛租金收入）计税",ROUND(C6*F19,2),IF(D19="按房产原值计税",ROUND(C51*F19*0.7,2),INDIRECT("'数据-取费表'!Aj"&amp;$G$1))))</f>
        <v>0</v>
      </c>
      <c r="D19" s="2716"/>
      <c r="E19" s="186" t="s">
        <v>697</v>
      </c>
      <c r="F19" s="2765">
        <f>IF(D19="按票据","——",IF(D19="按不含税租金收入（有效毛租金收入）计税",'数据-取费表'!B52,'数据-取费表'!B51))</f>
        <v>1.2E-2</v>
      </c>
      <c r="G19" s="945"/>
      <c r="H19" s="2700" t="s">
        <v>393</v>
      </c>
      <c r="I19" s="2713" t="s">
        <v>3960</v>
      </c>
      <c r="J19" s="4087">
        <f ca="1">IF(K19="按不含税租金收入（有效毛租金收入）计税",ROUND(J6*M19,2),ROUND(C51*M19*0.7,2))</f>
        <v>0</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927" t="s">
        <v>3956</v>
      </c>
      <c r="C20" s="4088">
        <f ca="1">IF(AND(项目基本情况!B11="自然人",M56="住宅"),"——",ROUND(F20*F21/10000,2))</f>
        <v>0</v>
      </c>
      <c r="D20" s="207" t="s">
        <v>716</v>
      </c>
      <c r="E20" s="186" t="s">
        <v>717</v>
      </c>
      <c r="F20" s="2766">
        <f>'数据-取费表'!B53</f>
        <v>24</v>
      </c>
      <c r="G20" s="935"/>
      <c r="H20" s="4091" t="s">
        <v>666</v>
      </c>
      <c r="I20" s="927" t="s">
        <v>3956</v>
      </c>
      <c r="J20" s="4088">
        <f ca="1">ROUND(M20*M21/10000,2)</f>
        <v>0</v>
      </c>
      <c r="K20" s="207" t="s">
        <v>716</v>
      </c>
      <c r="L20" s="186" t="s">
        <v>717</v>
      </c>
      <c r="M20" s="2766">
        <f>'数据-取费表'!B53</f>
        <v>24</v>
      </c>
    </row>
    <row r="21" spans="1:37" s="946" customFormat="1" ht="18" customHeight="1">
      <c r="A21" s="209"/>
      <c r="B21" s="738"/>
      <c r="C21" s="4089"/>
      <c r="D21" s="210"/>
      <c r="E21" s="186" t="s">
        <v>721</v>
      </c>
      <c r="F21" s="2761">
        <f ca="1">INDIRECT("'数据-取费表'!r"&amp;$G$1)</f>
        <v>0</v>
      </c>
      <c r="G21" s="945"/>
      <c r="H21" s="209"/>
      <c r="I21" s="195"/>
      <c r="J21" s="4089"/>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60">
        <f ca="1">ROUND(C51*F22,2)</f>
        <v>0</v>
      </c>
      <c r="D22" s="1776" t="s">
        <v>3807</v>
      </c>
      <c r="E22" s="186" t="s">
        <v>697</v>
      </c>
      <c r="F22" s="2767">
        <f ca="1">INDIRECT("'数据-取费表'!Ak"&amp;$G$1)</f>
        <v>0</v>
      </c>
      <c r="G22" s="945"/>
      <c r="H22" s="3859" t="s">
        <v>396</v>
      </c>
      <c r="I22" s="56" t="s">
        <v>723</v>
      </c>
      <c r="J22" s="3860">
        <f ca="1">ROUND(J35*M22,2)</f>
        <v>0</v>
      </c>
      <c r="K22" s="1776" t="s">
        <v>724</v>
      </c>
      <c r="L22" s="186" t="s">
        <v>697</v>
      </c>
      <c r="M22" s="2767">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1"/>
      <c r="D23" s="3926"/>
      <c r="E23" s="2713" t="s">
        <v>3808</v>
      </c>
      <c r="F23" s="3413">
        <f ca="1">C51</f>
        <v>0</v>
      </c>
      <c r="G23" s="945"/>
      <c r="H23" s="209"/>
      <c r="I23" s="195"/>
      <c r="J23" s="3861"/>
      <c r="K23" s="3926"/>
      <c r="L23" s="2713" t="s">
        <v>3808</v>
      </c>
      <c r="M23" s="3413">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60">
        <f ca="1">ROUND(C53*F24,2)</f>
        <v>0</v>
      </c>
      <c r="D24" s="1776" t="s">
        <v>3433</v>
      </c>
      <c r="E24" s="186" t="s">
        <v>729</v>
      </c>
      <c r="F24" s="2767">
        <f ca="1">INDIRECT("'数据-取费表'!Al"&amp;$G$1)</f>
        <v>0</v>
      </c>
      <c r="G24" s="935"/>
      <c r="H24" s="3859" t="s">
        <v>431</v>
      </c>
      <c r="I24" s="56" t="s">
        <v>727</v>
      </c>
      <c r="J24" s="3860">
        <f ca="1">ROUND(J37*M24,2)</f>
        <v>0</v>
      </c>
      <c r="K24" s="1776" t="s">
        <v>3811</v>
      </c>
      <c r="L24" s="186" t="s">
        <v>729</v>
      </c>
      <c r="M24" s="2767">
        <f ca="1">INDIRECT("'数据-取费表'!Al"&amp;$G$1)</f>
        <v>0</v>
      </c>
    </row>
    <row r="25" spans="1:37" ht="18" customHeight="1">
      <c r="A25" s="209"/>
      <c r="B25" s="195"/>
      <c r="C25" s="3861"/>
      <c r="D25" s="3926"/>
      <c r="E25" s="3925" t="s">
        <v>3809</v>
      </c>
      <c r="F25" s="3413">
        <f ca="1">C53</f>
        <v>0</v>
      </c>
      <c r="G25" s="935"/>
      <c r="H25" s="209"/>
      <c r="I25" s="195"/>
      <c r="J25" s="3861"/>
      <c r="K25" s="3926"/>
      <c r="L25" s="3925" t="s">
        <v>3809</v>
      </c>
      <c r="M25" s="3413">
        <f ca="1">J37</f>
        <v>0</v>
      </c>
    </row>
    <row r="26" spans="1:37" s="946" customFormat="1" ht="18" customHeight="1" thickBot="1">
      <c r="A26" s="726" t="s">
        <v>670</v>
      </c>
      <c r="B26" s="727" t="s">
        <v>713</v>
      </c>
      <c r="C26" s="2719">
        <f ca="1">ROUND(C5*F26,2)</f>
        <v>0</v>
      </c>
      <c r="D26" s="729" t="s">
        <v>3852</v>
      </c>
      <c r="E26" s="727" t="s">
        <v>729</v>
      </c>
      <c r="F26" s="2830">
        <f ca="1">INDIRECT("'数据-取费表'!Am"&amp;$G$1)</f>
        <v>0</v>
      </c>
      <c r="G26" s="945"/>
      <c r="H26" s="726" t="s">
        <v>670</v>
      </c>
      <c r="I26" s="727" t="s">
        <v>713</v>
      </c>
      <c r="J26" s="2719">
        <f ca="1">ROUND(J5*M26,2)</f>
        <v>0</v>
      </c>
      <c r="K26" s="729" t="s">
        <v>3854</v>
      </c>
      <c r="L26" s="727" t="s">
        <v>729</v>
      </c>
      <c r="M26" s="2830">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3668</v>
      </c>
      <c r="B27" s="731" t="s">
        <v>3877</v>
      </c>
      <c r="C27" s="3853">
        <f ca="1">C5-C13</f>
        <v>0</v>
      </c>
      <c r="D27" s="4009" t="s">
        <v>3878</v>
      </c>
      <c r="E27" s="4010"/>
      <c r="F27" s="4011"/>
      <c r="G27" s="498"/>
      <c r="H27" s="716" t="s">
        <v>3291</v>
      </c>
      <c r="I27" s="731" t="s">
        <v>3877</v>
      </c>
      <c r="J27" s="3853">
        <f ca="1">J5-J13</f>
        <v>0</v>
      </c>
      <c r="K27" s="4009" t="s">
        <v>3878</v>
      </c>
      <c r="L27" s="4010"/>
      <c r="M27" s="4012"/>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3669</v>
      </c>
      <c r="B28" s="184" t="s">
        <v>3879</v>
      </c>
      <c r="C28" s="3928">
        <f ca="1">IF(C5&lt;&gt;0,ROUND(C27*(1-((1+F30)/(1+F28))^F29)/(F28-F30),0),0)</f>
        <v>0</v>
      </c>
      <c r="D28" s="4013" t="s">
        <v>3880</v>
      </c>
      <c r="E28" s="2725" t="s">
        <v>3881</v>
      </c>
      <c r="F28" s="2767">
        <f ca="1">INDIRECT("'数据-取费表'!I"&amp;$G$1)</f>
        <v>0</v>
      </c>
      <c r="G28" s="4001"/>
      <c r="H28" s="183" t="s">
        <v>3669</v>
      </c>
      <c r="I28" s="184" t="s">
        <v>3882</v>
      </c>
      <c r="J28" s="3928">
        <f ca="1">IF(J5&lt;&gt;0,ROUND(J27*(1-((1+M30)/(1+M28))^M29)/(M28-M30),0),0)</f>
        <v>0</v>
      </c>
      <c r="K28" s="4013" t="s">
        <v>3880</v>
      </c>
      <c r="L28" s="4014" t="s">
        <v>3881</v>
      </c>
      <c r="M28" s="2829">
        <f ca="1">INDIRECT("'数据-取费表'!I"&amp;$G$1)</f>
        <v>0</v>
      </c>
      <c r="N28" s="4001"/>
      <c r="O28" s="4001"/>
      <c r="P28" s="4001"/>
      <c r="Q28" s="4001"/>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21" customHeight="1">
      <c r="A29" s="188"/>
      <c r="B29" s="189"/>
      <c r="C29" s="3929"/>
      <c r="D29" s="4015" t="s">
        <v>3883</v>
      </c>
      <c r="E29" s="2725" t="s">
        <v>3884</v>
      </c>
      <c r="F29" s="2768">
        <f ca="1">IF(INDIRECT("'数据-取费表'!af"&amp;$G$1)=0,INDIRECT("'数据-取费表'!ae"&amp;$G$1),INDIRECT("'数据-取费表'!af"&amp;$G$1))</f>
        <v>0</v>
      </c>
      <c r="G29" s="4001"/>
      <c r="H29" s="188"/>
      <c r="I29" s="189"/>
      <c r="J29" s="3929"/>
      <c r="K29" s="64" t="s">
        <v>3885</v>
      </c>
      <c r="L29" s="2725" t="s">
        <v>3884</v>
      </c>
      <c r="M29" s="2768">
        <f ca="1">INDIRECT("'数据-取费表'!ag"&amp;$G$1)</f>
        <v>0</v>
      </c>
      <c r="N29" s="4001"/>
      <c r="O29" s="4001"/>
      <c r="P29" s="4001"/>
      <c r="Q29" s="4001"/>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3886</v>
      </c>
      <c r="F30" s="2767">
        <f ca="1">INDIRECT("'数据-取费表'!v"&amp;$G$1)</f>
        <v>0</v>
      </c>
      <c r="G30" s="4001"/>
      <c r="H30" s="192"/>
      <c r="I30" s="193"/>
      <c r="J30" s="3930"/>
      <c r="K30" s="64"/>
      <c r="L30" s="2725" t="s">
        <v>3886</v>
      </c>
      <c r="M30" s="2767">
        <f ca="1">INDIRECT("'数据-取费表'!aa"&amp;$G$1)</f>
        <v>0</v>
      </c>
      <c r="N30" s="4001"/>
      <c r="O30" s="4001"/>
      <c r="P30" s="4001"/>
      <c r="Q30" s="4001"/>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3670</v>
      </c>
      <c r="B31" s="3835" t="s">
        <v>3887</v>
      </c>
      <c r="C31" s="3838">
        <f ca="1">ROUND(C28*(1+F31),0)</f>
        <v>0</v>
      </c>
      <c r="D31" s="4016" t="s">
        <v>3673</v>
      </c>
      <c r="E31" s="4017" t="str">
        <f>IF(D31="其他类型公式—收益价值×（1+9%）","销项税率","征收率")</f>
        <v>销项税率</v>
      </c>
      <c r="F31" s="2767">
        <f>IF(D31="其他类型公式—收益价值×（1+9%）",9%,3%)</f>
        <v>0.09</v>
      </c>
      <c r="G31" s="498"/>
      <c r="H31" s="199" t="s">
        <v>3670</v>
      </c>
      <c r="I31" s="2725" t="s">
        <v>3888</v>
      </c>
      <c r="J31" s="2743">
        <f ca="1">ROUND(J28/(1+F28)^F29,0)</f>
        <v>0</v>
      </c>
      <c r="K31" s="3922" t="s">
        <v>3801</v>
      </c>
      <c r="L31" s="2725"/>
      <c r="M31" s="2768">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t="e">
        <f ca="1">ROUND(C31*10000/F32,0)</f>
        <v>#DIV/0!</v>
      </c>
      <c r="D32" s="4018" t="s">
        <v>3889</v>
      </c>
      <c r="E32" s="217" t="s">
        <v>3890</v>
      </c>
      <c r="F32" s="2769">
        <f ca="1">INDIRECT("'数据-取费表'!k"&amp;$G$1)</f>
        <v>0</v>
      </c>
      <c r="G32" s="498"/>
      <c r="H32" s="3831" t="s">
        <v>3671</v>
      </c>
      <c r="I32" s="3832" t="s">
        <v>3891</v>
      </c>
      <c r="J32" s="3833">
        <f ca="1">ROUND(J31*(1+F31),0)</f>
        <v>0</v>
      </c>
      <c r="K32" s="4019" t="str">
        <f>D31</f>
        <v>其他类型公式—收益价值×（1+9%）</v>
      </c>
      <c r="L32" s="4020"/>
      <c r="M32" s="4021"/>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t="e">
        <f ca="1">1-C27/C5</f>
        <v>#DIV/0!</v>
      </c>
      <c r="G33" s="935"/>
    </row>
    <row r="34" spans="1:37" s="118" customFormat="1" ht="18" customHeight="1">
      <c r="A34" s="3994" t="s">
        <v>3867</v>
      </c>
      <c r="B34" s="3995" t="s">
        <v>3868</v>
      </c>
      <c r="C34" s="3996" t="s">
        <v>3806</v>
      </c>
      <c r="D34" s="3995" t="s">
        <v>3869</v>
      </c>
      <c r="E34" s="3997" t="s">
        <v>3870</v>
      </c>
      <c r="F34" s="3998"/>
      <c r="G34" s="4001"/>
      <c r="H34" s="3994" t="s">
        <v>3867</v>
      </c>
      <c r="I34" s="3995" t="s">
        <v>3868</v>
      </c>
      <c r="J34" s="3996" t="s">
        <v>3806</v>
      </c>
      <c r="K34" s="3995" t="s">
        <v>3869</v>
      </c>
      <c r="L34" s="3997" t="s">
        <v>3870</v>
      </c>
      <c r="M34" s="3998"/>
      <c r="N34" s="4001"/>
      <c r="O34" s="4001"/>
      <c r="P34" s="4001"/>
      <c r="Q34" s="4001"/>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199" t="s">
        <v>3398</v>
      </c>
      <c r="B35" s="2725" t="s">
        <v>3399</v>
      </c>
      <c r="C35" s="2743">
        <f ca="1">SUM(C36:C41)</f>
        <v>0</v>
      </c>
      <c r="D35" s="3922" t="s">
        <v>3406</v>
      </c>
      <c r="E35" s="994"/>
      <c r="F35" s="3277"/>
      <c r="G35" s="935"/>
      <c r="H35" s="3923" t="s">
        <v>3398</v>
      </c>
      <c r="I35" s="3924" t="s">
        <v>3438</v>
      </c>
      <c r="J35" s="2702">
        <f ca="1">C51</f>
        <v>0</v>
      </c>
      <c r="K35" s="2739" t="s">
        <v>3434</v>
      </c>
      <c r="L35" s="55"/>
      <c r="M35" s="2680"/>
    </row>
    <row r="36" spans="1:37" ht="18" customHeight="1">
      <c r="A36" s="2700" t="s">
        <v>3394</v>
      </c>
      <c r="B36" s="2665" t="s">
        <v>692</v>
      </c>
      <c r="C36" s="2610">
        <f ca="1">INDIRECT("'数据-取费表'!m"&amp;$G$1)+INDIRECT("'数据-取费表'!t"&amp;$G$1)</f>
        <v>0</v>
      </c>
      <c r="D36" s="899" t="s">
        <v>693</v>
      </c>
      <c r="E36" s="899"/>
      <c r="F36" s="215"/>
      <c r="G36" s="935"/>
      <c r="H36" s="2747" t="s">
        <v>3439</v>
      </c>
      <c r="I36" s="2752" t="s">
        <v>3426</v>
      </c>
      <c r="J36" s="2650">
        <f ca="1">ROUND(J35*(1-M36),0)</f>
        <v>0</v>
      </c>
      <c r="K36" s="186" t="s">
        <v>3429</v>
      </c>
      <c r="L36" s="2715" t="s">
        <v>3441</v>
      </c>
      <c r="M36" s="2767">
        <f ca="1">INDIRECT("'数据-取费表'!ad"&amp;$G$1)</f>
        <v>0</v>
      </c>
    </row>
    <row r="37" spans="1:37" ht="18" customHeight="1" thickBot="1">
      <c r="A37" s="2700" t="s">
        <v>3400</v>
      </c>
      <c r="B37" s="2717" t="s">
        <v>3853</v>
      </c>
      <c r="C37" s="2702">
        <f ca="1">ROUND(C36*F37,0)</f>
        <v>0</v>
      </c>
      <c r="D37" s="186" t="s">
        <v>696</v>
      </c>
      <c r="E37" s="186" t="s">
        <v>697</v>
      </c>
      <c r="F37" s="2765">
        <f>'数据-取费表'!B33</f>
        <v>7.0000000000000007E-2</v>
      </c>
      <c r="G37" s="935"/>
      <c r="H37" s="2748" t="s">
        <v>3440</v>
      </c>
      <c r="I37" s="3927" t="s">
        <v>3810</v>
      </c>
      <c r="J37" s="2754">
        <f ca="1">J35-J36</f>
        <v>0</v>
      </c>
      <c r="K37" s="2734" t="s">
        <v>3463</v>
      </c>
      <c r="L37" s="219"/>
      <c r="M37" s="2755"/>
    </row>
    <row r="38" spans="1:37" ht="18" customHeight="1">
      <c r="A38" s="2700" t="s">
        <v>3401</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3402</v>
      </c>
      <c r="B39" s="2665" t="s">
        <v>701</v>
      </c>
      <c r="C39" s="2702">
        <f ca="1">ROUND(F39*(F32+INDIRECT("'数据-取费表'!S"&amp;$G$1))/10000,0)</f>
        <v>0</v>
      </c>
      <c r="D39" s="186" t="s">
        <v>702</v>
      </c>
      <c r="E39" s="186" t="s">
        <v>3803</v>
      </c>
      <c r="F39" s="2766">
        <f>'数据-取费表'!B35</f>
        <v>300</v>
      </c>
      <c r="G39" s="935"/>
    </row>
    <row r="40" spans="1:37" ht="18" customHeight="1">
      <c r="A40" s="2700" t="s">
        <v>3403</v>
      </c>
      <c r="B40" s="2717" t="s">
        <v>3404</v>
      </c>
      <c r="C40" s="2702">
        <f ca="1">ROUND(C36*F40,0)</f>
        <v>0</v>
      </c>
      <c r="D40" s="186" t="s">
        <v>696</v>
      </c>
      <c r="E40" s="186" t="s">
        <v>697</v>
      </c>
      <c r="F40" s="2765">
        <f>'数据-取费表'!B36</f>
        <v>0.01</v>
      </c>
      <c r="G40" s="935"/>
      <c r="H40" s="47"/>
      <c r="I40" s="47"/>
      <c r="J40" s="47"/>
      <c r="K40" s="1861"/>
      <c r="L40" s="47"/>
      <c r="M40" s="47"/>
    </row>
    <row r="41" spans="1:37" ht="18" customHeight="1">
      <c r="A41" s="2700" t="s">
        <v>3403</v>
      </c>
      <c r="B41" s="2717" t="s">
        <v>3405</v>
      </c>
      <c r="C41" s="2702">
        <f ca="1">ROUND(C36*F41,0)</f>
        <v>0</v>
      </c>
      <c r="D41" s="186" t="s">
        <v>696</v>
      </c>
      <c r="E41" s="186" t="s">
        <v>697</v>
      </c>
      <c r="F41" s="2765">
        <f>'数据-取费表'!B37</f>
        <v>0</v>
      </c>
      <c r="G41" s="935"/>
      <c r="H41" s="47"/>
      <c r="I41" s="47"/>
      <c r="J41" s="47"/>
      <c r="K41" s="1861"/>
      <c r="L41" s="47"/>
      <c r="M41" s="47"/>
    </row>
    <row r="42" spans="1:37" ht="18" customHeight="1">
      <c r="A42" s="199" t="s">
        <v>3413</v>
      </c>
      <c r="B42" s="2725" t="s">
        <v>3414</v>
      </c>
      <c r="C42" s="2743">
        <f ca="1">ROUND(C35*F42,0)</f>
        <v>0</v>
      </c>
      <c r="D42" s="2726" t="s">
        <v>3415</v>
      </c>
      <c r="E42" s="2725" t="s">
        <v>3416</v>
      </c>
      <c r="F42" s="2767">
        <f>'数据-取费表'!B38</f>
        <v>0.02</v>
      </c>
      <c r="G42" s="935"/>
      <c r="H42" s="47"/>
      <c r="I42" s="47"/>
      <c r="J42" s="47"/>
      <c r="K42" s="1861"/>
      <c r="L42" s="47"/>
      <c r="M42" s="47"/>
    </row>
    <row r="43" spans="1:37" ht="18" customHeight="1">
      <c r="A43" s="199" t="s">
        <v>3417</v>
      </c>
      <c r="B43" s="2725" t="s">
        <v>3418</v>
      </c>
      <c r="C43" s="2790" t="str">
        <f>F43&amp;"V建"</f>
        <v>0.02V建</v>
      </c>
      <c r="D43" s="2726" t="s">
        <v>3804</v>
      </c>
      <c r="E43" s="2725" t="s">
        <v>3805</v>
      </c>
      <c r="F43" s="2767">
        <f>'数据-取费表'!B39</f>
        <v>0.02</v>
      </c>
      <c r="G43" s="935"/>
      <c r="H43" s="47"/>
      <c r="I43" s="47"/>
      <c r="J43" s="47"/>
      <c r="K43" s="1861"/>
      <c r="L43" s="47"/>
      <c r="M43" s="47"/>
    </row>
    <row r="44" spans="1:37" ht="18" customHeight="1">
      <c r="A44" s="199" t="s">
        <v>3421</v>
      </c>
      <c r="B44" s="2728" t="s">
        <v>3407</v>
      </c>
      <c r="C44" s="3416" t="str">
        <f ca="1">C45&amp;"+"&amp;C46&amp;"V建"</f>
        <v>0+0.0006V建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730</v>
      </c>
      <c r="B46" s="186" t="s">
        <v>731</v>
      </c>
      <c r="C46" s="3414">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3422</v>
      </c>
      <c r="B47" s="2728" t="s">
        <v>3408</v>
      </c>
      <c r="C47" s="3416" t="str">
        <f ca="1">C48&amp;"+"&amp;C49&amp;"V建"</f>
        <v>0+0V建</v>
      </c>
      <c r="D47" s="2684" t="s">
        <v>3423</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18" ht="18" customHeight="1">
      <c r="A49" s="2700" t="s">
        <v>393</v>
      </c>
      <c r="B49" s="186" t="s">
        <v>745</v>
      </c>
      <c r="C49" s="3417">
        <f ca="1">ROUND(F43*F48,4)</f>
        <v>0</v>
      </c>
      <c r="D49" s="206" t="s">
        <v>746</v>
      </c>
      <c r="E49" s="186"/>
      <c r="F49" s="2765"/>
      <c r="G49" s="935"/>
      <c r="H49" s="47"/>
      <c r="I49" s="47"/>
      <c r="J49" s="47"/>
      <c r="K49" s="1861"/>
      <c r="L49" s="47"/>
      <c r="M49" s="47"/>
    </row>
    <row r="50" spans="1:18" ht="18" customHeight="1">
      <c r="A50" s="199" t="s">
        <v>3409</v>
      </c>
      <c r="B50" s="2725" t="s">
        <v>3410</v>
      </c>
      <c r="C50" s="2743">
        <f>ROUND(F50/(1+'数据-取费表'!C43),4)</f>
        <v>0</v>
      </c>
      <c r="D50" s="3981" t="s">
        <v>3859</v>
      </c>
      <c r="E50" s="2725"/>
      <c r="F50" s="2767"/>
      <c r="G50" s="935"/>
      <c r="H50" s="47"/>
      <c r="I50" s="47"/>
      <c r="J50" s="47"/>
      <c r="K50" s="1861"/>
      <c r="L50" s="47"/>
      <c r="M50" s="47"/>
    </row>
    <row r="51" spans="1:18" s="935" customFormat="1" ht="18" customHeight="1">
      <c r="A51" s="199" t="s">
        <v>3411</v>
      </c>
      <c r="B51" s="2725" t="s">
        <v>3412</v>
      </c>
      <c r="C51" s="2743">
        <f ca="1">ROUND((C35+C42+C45+C48)/(1-F43-C46-C49-C50),0)</f>
        <v>0</v>
      </c>
      <c r="D51" s="2739" t="s">
        <v>3434</v>
      </c>
      <c r="E51" s="2725"/>
      <c r="F51" s="2767"/>
      <c r="K51" s="951"/>
    </row>
    <row r="52" spans="1:18" s="935" customFormat="1" ht="18" customHeight="1">
      <c r="A52" s="2729" t="s">
        <v>3425</v>
      </c>
      <c r="B52" s="2728" t="s">
        <v>3426</v>
      </c>
      <c r="C52" s="2743">
        <f ca="1">ROUND(C51*(1-F52),0)</f>
        <v>0</v>
      </c>
      <c r="D52" s="2725" t="s">
        <v>3871</v>
      </c>
      <c r="E52" s="2725" t="s">
        <v>3872</v>
      </c>
      <c r="F52" s="2767">
        <f ca="1">INDIRECT("'数据-取费表'!y"&amp;$G$1)</f>
        <v>0</v>
      </c>
      <c r="K52" s="951"/>
    </row>
    <row r="53" spans="1:18" s="935" customFormat="1" ht="18" customHeight="1" thickBot="1">
      <c r="A53" s="2730" t="s">
        <v>3427</v>
      </c>
      <c r="B53" s="2738" t="s">
        <v>3432</v>
      </c>
      <c r="C53" s="2754">
        <f ca="1">C51-C52</f>
        <v>0</v>
      </c>
      <c r="D53" s="2734" t="s">
        <v>3463</v>
      </c>
      <c r="E53" s="217"/>
      <c r="F53" s="2735"/>
      <c r="K53" s="951"/>
    </row>
    <row r="54" spans="1:18" s="935" customFormat="1" ht="18" customHeight="1" thickBot="1">
      <c r="A54" s="949"/>
      <c r="B54" s="949"/>
      <c r="C54" s="950"/>
      <c r="D54" s="949"/>
      <c r="E54" s="949"/>
      <c r="F54" s="949"/>
      <c r="I54" s="2756" t="s">
        <v>3442</v>
      </c>
      <c r="J54" s="494"/>
      <c r="O54" s="1965" t="s">
        <v>793</v>
      </c>
      <c r="P54" s="1008"/>
      <c r="Q54" s="1008"/>
      <c r="R54" s="1008"/>
    </row>
    <row r="55" spans="1:18" s="935" customFormat="1" ht="13.5" thickBot="1">
      <c r="A55" s="953" t="s">
        <v>794</v>
      </c>
      <c r="C55" s="3878" t="e">
        <f ca="1">IF(D2="含税",C83-C31,C80-C28)</f>
        <v>#DIV/0!</v>
      </c>
      <c r="D55" s="955" t="str">
        <f>C2</f>
        <v>万元</v>
      </c>
      <c r="E55" s="949"/>
      <c r="F55" s="949"/>
      <c r="I55" s="956" t="s">
        <v>795</v>
      </c>
      <c r="J55" s="957"/>
      <c r="K55" s="958"/>
      <c r="L55" s="3897" t="e">
        <f ca="1">IF(M56="住宅",0,IF(L57&gt;J60,L69,J69))</f>
        <v>#DIV/0!</v>
      </c>
      <c r="O55" s="4035" t="s">
        <v>1325</v>
      </c>
      <c r="P55" s="4036" t="s">
        <v>3896</v>
      </c>
      <c r="Q55" s="4037" t="s">
        <v>3897</v>
      </c>
      <c r="R55" s="4037" t="s">
        <v>3898</v>
      </c>
    </row>
    <row r="56" spans="1:18" s="935" customFormat="1" ht="13.5" thickBot="1">
      <c r="A56" s="4022" t="s">
        <v>3867</v>
      </c>
      <c r="B56" s="4023" t="s">
        <v>3868</v>
      </c>
      <c r="C56" s="3996" t="s">
        <v>3806</v>
      </c>
      <c r="D56" s="4023" t="s">
        <v>3869</v>
      </c>
      <c r="E56" s="4024" t="s">
        <v>3870</v>
      </c>
      <c r="F56" s="701"/>
      <c r="G56" s="490"/>
      <c r="I56" s="963" t="s">
        <v>800</v>
      </c>
      <c r="J56" s="964"/>
      <c r="K56" s="965" t="s">
        <v>801</v>
      </c>
      <c r="L56" s="3898">
        <f ca="1">INDIRECT("'数据-取费表'!d"&amp;$G$1)</f>
        <v>0</v>
      </c>
      <c r="M56" s="931" t="str">
        <f>IF(ISNUMBER(FIND("住宅",C1)),"住宅","非住宅")</f>
        <v>非住宅</v>
      </c>
      <c r="O56" s="4038" t="s">
        <v>397</v>
      </c>
      <c r="P56" s="4039" t="s">
        <v>3899</v>
      </c>
      <c r="Q56" s="4041">
        <f ca="1">C28+J31</f>
        <v>0</v>
      </c>
      <c r="R56" s="4040" t="s">
        <v>3900</v>
      </c>
    </row>
    <row r="57" spans="1:18" s="935" customFormat="1" ht="42.75" thickBot="1">
      <c r="A57" s="653" t="s">
        <v>432</v>
      </c>
      <c r="B57" s="184" t="s">
        <v>3892</v>
      </c>
      <c r="C57" s="4025">
        <f ca="1">ROUND(C58+C62+C64,0)</f>
        <v>0</v>
      </c>
      <c r="D57" s="4002" t="s">
        <v>3893</v>
      </c>
      <c r="E57" s="4026"/>
      <c r="F57" s="638"/>
      <c r="G57" s="490"/>
      <c r="H57" s="491"/>
      <c r="I57" s="970" t="s">
        <v>804</v>
      </c>
      <c r="J57" s="971"/>
      <c r="K57" s="972" t="s">
        <v>805</v>
      </c>
      <c r="L57" s="3887">
        <f ca="1">INDIRECT("'数据-取费表'!f"&amp;$G$1)</f>
        <v>0</v>
      </c>
      <c r="O57" s="4038" t="s">
        <v>398</v>
      </c>
      <c r="P57" s="4039" t="s">
        <v>3901</v>
      </c>
      <c r="Q57" s="4041" t="e">
        <f ca="1">J69</f>
        <v>#DIV/0!</v>
      </c>
      <c r="R57" s="4040" t="s">
        <v>3902</v>
      </c>
    </row>
    <row r="58" spans="1:18" s="935" customFormat="1" ht="15.75" thickBot="1">
      <c r="A58" s="3864" t="s">
        <v>3793</v>
      </c>
      <c r="B58" s="2714" t="s">
        <v>3784</v>
      </c>
      <c r="C58" s="3856">
        <f ca="1">C59-C61</f>
        <v>0</v>
      </c>
      <c r="D58" s="2715" t="s">
        <v>3788</v>
      </c>
      <c r="E58" s="2737" t="s">
        <v>3431</v>
      </c>
      <c r="F58" s="3418"/>
      <c r="H58" s="491"/>
      <c r="I58" s="970" t="s">
        <v>808</v>
      </c>
      <c r="J58" s="3885"/>
      <c r="K58" s="972" t="s">
        <v>809</v>
      </c>
      <c r="L58" s="3899"/>
      <c r="O58" s="976" t="s">
        <v>399</v>
      </c>
      <c r="P58" s="968" t="s">
        <v>810</v>
      </c>
      <c r="Q58" s="3433">
        <f ca="1">C51</f>
        <v>0</v>
      </c>
      <c r="R58" s="969" t="s">
        <v>803</v>
      </c>
    </row>
    <row r="59" spans="1:18" s="935" customFormat="1" ht="13.5" thickBot="1">
      <c r="A59" s="3871" t="s">
        <v>3394</v>
      </c>
      <c r="B59" s="4492" t="s">
        <v>3782</v>
      </c>
      <c r="C59" s="4493">
        <f ca="1">ROUND(F58*F60*F59/10000,2)</f>
        <v>0</v>
      </c>
      <c r="D59" s="4491" t="s">
        <v>3462</v>
      </c>
      <c r="E59" s="698" t="s">
        <v>682</v>
      </c>
      <c r="F59" s="2760">
        <f ca="1">F7</f>
        <v>0</v>
      </c>
      <c r="H59" s="491"/>
      <c r="I59" s="970" t="s">
        <v>811</v>
      </c>
      <c r="J59" s="3886">
        <f>SUMPRODUCT((I72:I74=J56)*(J71:L71=J57)*(J72:L74))</f>
        <v>0</v>
      </c>
      <c r="K59" s="972" t="s">
        <v>812</v>
      </c>
      <c r="L59" s="3899"/>
      <c r="M59" s="978"/>
      <c r="O59" s="976" t="s">
        <v>400</v>
      </c>
      <c r="P59" s="968" t="s">
        <v>813</v>
      </c>
      <c r="Q59" s="3430" t="e">
        <f ca="1">J67</f>
        <v>#DIV/0!</v>
      </c>
      <c r="R59" s="969"/>
    </row>
    <row r="60" spans="1:18" s="935" customFormat="1" ht="13.5" thickBot="1">
      <c r="A60" s="3872"/>
      <c r="B60" s="4492"/>
      <c r="C60" s="4494"/>
      <c r="D60" s="4491"/>
      <c r="E60" s="657" t="str">
        <f ca="1">IF(F60=1,"年",IF(F60=12,"月","天"))</f>
        <v>天</v>
      </c>
      <c r="F60" s="3413">
        <f ca="1">F8</f>
        <v>0</v>
      </c>
      <c r="I60" s="980" t="s">
        <v>814</v>
      </c>
      <c r="J60" s="3887">
        <f>IF(J58="",J59,J58+J59-YEAR('数据-取费表'!B2))</f>
        <v>0</v>
      </c>
      <c r="K60" s="981" t="s">
        <v>815</v>
      </c>
      <c r="L60" s="3876">
        <f ca="1">ROUND(-PV(INDIRECT("'数据-取费表'!h"&amp;$G$1),J60,(C27-C52*C88),0),0)</f>
        <v>0</v>
      </c>
      <c r="M60" s="983"/>
      <c r="O60" s="976" t="s">
        <v>401</v>
      </c>
      <c r="P60" s="968" t="s">
        <v>816</v>
      </c>
      <c r="Q60" s="3430">
        <f>J61</f>
        <v>0</v>
      </c>
      <c r="R60" s="969"/>
    </row>
    <row r="61" spans="1:18" s="935" customFormat="1" ht="13.5" thickBot="1">
      <c r="A61" s="3873" t="s">
        <v>3392</v>
      </c>
      <c r="B61" s="3572" t="s">
        <v>3783</v>
      </c>
      <c r="C61" s="3857">
        <f ca="1">ROUND(C59*F61,2)</f>
        <v>0</v>
      </c>
      <c r="D61" s="2715" t="s">
        <v>3787</v>
      </c>
      <c r="E61" s="657" t="s">
        <v>684</v>
      </c>
      <c r="F61" s="2762"/>
      <c r="I61" s="984" t="s">
        <v>817</v>
      </c>
      <c r="J61" s="3888"/>
      <c r="K61" s="984" t="s">
        <v>818</v>
      </c>
      <c r="L61" s="3888"/>
      <c r="O61" s="976" t="s">
        <v>402</v>
      </c>
      <c r="P61" s="968" t="s">
        <v>819</v>
      </c>
      <c r="Q61" s="3429">
        <f ca="1">J62</f>
        <v>0</v>
      </c>
      <c r="R61" s="969" t="s">
        <v>820</v>
      </c>
    </row>
    <row r="62" spans="1:18" s="935" customFormat="1" ht="25.5" thickBot="1">
      <c r="A62" s="3874" t="s">
        <v>3439</v>
      </c>
      <c r="B62" s="924" t="s">
        <v>685</v>
      </c>
      <c r="C62" s="4087">
        <f ca="1">ROUND(IF(F62="押一",C58/12*F11,IF(F62="押二",C58/12*2*F11,IF(F62="押三",C58/12*3*F11,C63*F11))),2)</f>
        <v>0</v>
      </c>
      <c r="D62" s="59" t="s">
        <v>2019</v>
      </c>
      <c r="E62" s="197" t="s">
        <v>686</v>
      </c>
      <c r="F62" s="3419"/>
      <c r="I62" s="986" t="s">
        <v>821</v>
      </c>
      <c r="J62" s="3889">
        <f ca="1">IF(M56="住宅",IF(D1="——",MAX(J60,L57),MAX(J60,L57-'数据-取费表'!B24)),IF(D1="——",MIN(J60,L57),MIN(J60,L57-'数据-取费表'!B24)))</f>
        <v>0</v>
      </c>
      <c r="K62" s="4486" t="s">
        <v>822</v>
      </c>
      <c r="L62" s="4487"/>
      <c r="O62" s="4038" t="s">
        <v>403</v>
      </c>
      <c r="P62" s="4042" t="s">
        <v>3906</v>
      </c>
      <c r="Q62" s="4041" t="e">
        <f ca="1">ROUND((Q56+Q57)*(1+F31),0)</f>
        <v>#DIV/0!</v>
      </c>
      <c r="R62" s="4040" t="s">
        <v>3907</v>
      </c>
    </row>
    <row r="63" spans="1:18" s="935" customFormat="1" ht="13.5" thickBot="1">
      <c r="A63" s="3865"/>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0"/>
      <c r="K63" s="989"/>
      <c r="L63" s="989"/>
      <c r="O63" s="952" t="s">
        <v>824</v>
      </c>
      <c r="P63" s="932"/>
      <c r="Q63" s="932"/>
      <c r="R63" s="932"/>
    </row>
    <row r="64" spans="1:18" s="935" customFormat="1" ht="13.5" thickBot="1">
      <c r="A64" s="3866" t="s">
        <v>3794</v>
      </c>
      <c r="B64" s="920" t="s">
        <v>688</v>
      </c>
      <c r="C64" s="3854"/>
      <c r="D64" s="59"/>
      <c r="E64" s="925"/>
      <c r="F64" s="987"/>
      <c r="I64" s="990" t="s">
        <v>825</v>
      </c>
      <c r="J64" s="3891" t="e">
        <f ca="1">ROUND(IF(J56="钢混",J66/J59,1-(1-2%)*(J59-J66)/J59),3)</f>
        <v>#DIV/0!</v>
      </c>
      <c r="K64" s="992" t="s">
        <v>826</v>
      </c>
      <c r="L64" s="993"/>
      <c r="O64" s="4035" t="s">
        <v>1325</v>
      </c>
      <c r="P64" s="4036" t="s">
        <v>3896</v>
      </c>
      <c r="Q64" s="4037" t="s">
        <v>3897</v>
      </c>
      <c r="R64" s="4037" t="s">
        <v>3898</v>
      </c>
    </row>
    <row r="65" spans="1:18" s="935" customFormat="1" ht="25.5" thickTop="1" thickBot="1">
      <c r="A65" s="199" t="s">
        <v>3667</v>
      </c>
      <c r="B65" s="634" t="s">
        <v>3874</v>
      </c>
      <c r="C65" s="2743">
        <f ca="1">ROUND(C66+C74+C76+C78,0)</f>
        <v>0</v>
      </c>
      <c r="D65" s="634" t="s">
        <v>3894</v>
      </c>
      <c r="E65" s="637"/>
      <c r="F65" s="638"/>
      <c r="I65" s="996" t="s">
        <v>827</v>
      </c>
      <c r="J65" s="3892"/>
      <c r="K65" s="970" t="s">
        <v>828</v>
      </c>
      <c r="L65" s="3887">
        <f ca="1">IF(L57&lt;J60,"——",L57-J62)</f>
        <v>0</v>
      </c>
      <c r="O65" s="4038" t="s">
        <v>397</v>
      </c>
      <c r="P65" s="4039" t="s">
        <v>3899</v>
      </c>
      <c r="Q65" s="4041">
        <f ca="1">C28+J31</f>
        <v>0</v>
      </c>
      <c r="R65" s="4040" t="s">
        <v>3900</v>
      </c>
    </row>
    <row r="66" spans="1:18" s="935" customFormat="1" ht="24.75" thickBot="1">
      <c r="A66" s="519" t="s">
        <v>392</v>
      </c>
      <c r="B66" s="2695" t="s">
        <v>3958</v>
      </c>
      <c r="C66" s="4087">
        <f ca="1">ROUND(IF(AND(项目基本情况!B11="自然人",项目基本情况!B10="北京市",M56="住宅"),C58*F66,C67+C71+C72),2)</f>
        <v>0</v>
      </c>
      <c r="D66" s="639" t="s">
        <v>3436</v>
      </c>
      <c r="E66" s="639" t="str">
        <f>E14</f>
        <v/>
      </c>
      <c r="F66" s="3837" t="str">
        <f>IF(M56="非住宅","",IF(F58*F59*F60/12/(1+'数据-取费表'!F30)&gt;100000,4%,2.5%))</f>
        <v/>
      </c>
      <c r="I66" s="1002" t="s">
        <v>829</v>
      </c>
      <c r="J66" s="3893">
        <f ca="1">IF(OR(M56="住宅",J60&lt;L57,J65="是"),"——",J60-L57)</f>
        <v>0</v>
      </c>
      <c r="K66" s="970" t="s">
        <v>830</v>
      </c>
      <c r="L66" s="3900">
        <f ca="1">IF(L57&lt;J60,"——",IF(L64="比较法",L58,IF(L64="基准地价",L59,L60)))</f>
        <v>0</v>
      </c>
      <c r="O66" s="4038" t="s">
        <v>398</v>
      </c>
      <c r="P66" s="4039" t="s">
        <v>3903</v>
      </c>
      <c r="Q66" s="4043" t="e">
        <f ca="1">L69</f>
        <v>#DIV/0!</v>
      </c>
      <c r="R66" s="4040" t="s">
        <v>3904</v>
      </c>
    </row>
    <row r="67" spans="1:18" s="935" customFormat="1" ht="24.75" thickBot="1">
      <c r="A67" s="4091" t="s">
        <v>391</v>
      </c>
      <c r="B67" s="2713" t="s">
        <v>3954</v>
      </c>
      <c r="C67" s="4087">
        <f ca="1">C70</f>
        <v>0</v>
      </c>
      <c r="D67" s="2430" t="s">
        <v>3953</v>
      </c>
      <c r="E67" s="4090"/>
      <c r="F67" s="4123"/>
      <c r="I67" s="1002" t="s">
        <v>832</v>
      </c>
      <c r="J67" s="3894" t="e">
        <f ca="1">IF(J64&lt;0.4,0.4,J64)</f>
        <v>#DIV/0!</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3279</v>
      </c>
      <c r="B68" s="2717" t="s">
        <v>3395</v>
      </c>
      <c r="C68" s="4087">
        <f ca="1">ROUND(C58*F68,2)</f>
        <v>0</v>
      </c>
      <c r="D68" s="994" t="s">
        <v>3857</v>
      </c>
      <c r="E68" s="2721" t="s">
        <v>3397</v>
      </c>
      <c r="F68" s="2765">
        <f>F16</f>
        <v>0.09</v>
      </c>
      <c r="I68" s="1002" t="s">
        <v>835</v>
      </c>
      <c r="J68" s="3895"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3280</v>
      </c>
      <c r="B69" s="2717" t="s">
        <v>3396</v>
      </c>
      <c r="C69" s="4087">
        <f ca="1">ROUND(C74*F68+((C76+C78)*F69),2)</f>
        <v>0</v>
      </c>
      <c r="D69" s="3978" t="s">
        <v>3858</v>
      </c>
      <c r="E69" s="2722"/>
      <c r="F69" s="2765">
        <f t="shared" ref="F69" si="0">F17</f>
        <v>0.06</v>
      </c>
      <c r="I69" s="1005" t="s">
        <v>837</v>
      </c>
      <c r="J69" s="3896" t="e">
        <f ca="1">IF(OR(M56="住宅",J60&lt;L57,J65="是"),"0",ROUND(J68/(1+J61)^J62,0))</f>
        <v>#DIV/0!</v>
      </c>
      <c r="K69" s="1007" t="s">
        <v>838</v>
      </c>
      <c r="L69" s="3896" t="e">
        <f ca="1">IF(OR(M56="住宅",L57&lt;J60),0,ROUND(L66*(L67/L68-1),0))</f>
        <v>#DIV/0!</v>
      </c>
      <c r="O69" s="976" t="s">
        <v>401</v>
      </c>
      <c r="P69" s="968" t="s">
        <v>839</v>
      </c>
      <c r="Q69" s="3432" t="e">
        <f ca="1">L67</f>
        <v>#DIV/0!</v>
      </c>
      <c r="R69" s="969" t="s">
        <v>840</v>
      </c>
    </row>
    <row r="70" spans="1:18" s="935" customFormat="1" ht="13.5" thickBot="1">
      <c r="A70" s="2505" t="s">
        <v>3951</v>
      </c>
      <c r="B70" s="2717" t="s">
        <v>3950</v>
      </c>
      <c r="C70" s="4087">
        <f ca="1">ROUND((C68-C69)*F70,2)</f>
        <v>0</v>
      </c>
      <c r="D70" s="2740" t="s">
        <v>3973</v>
      </c>
      <c r="E70" s="186" t="s">
        <v>3974</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25.5" thickBot="1">
      <c r="A71" s="3867" t="s">
        <v>766</v>
      </c>
      <c r="B71" s="2695" t="s">
        <v>3961</v>
      </c>
      <c r="C71" s="4087">
        <f ca="1">IF(项目基本情况!B11="自然人","——",IF(D71="按不含税租金收入（有效毛租金收入）计税",ROUND(C58*F71/(1+'数据-取费表'!C43),2),IF(D71="按房产原值计税",ROUND(F74*F71*0.7,2),INDIRECT("'数据-取费表'!Aj"&amp;$G$1))))</f>
        <v>0</v>
      </c>
      <c r="D71" s="921"/>
      <c r="E71" s="626" t="s">
        <v>768</v>
      </c>
      <c r="F71" s="2765">
        <f t="shared" ref="F71:F73" si="1">F19</f>
        <v>1.2E-2</v>
      </c>
      <c r="I71" s="1009" t="s">
        <v>842</v>
      </c>
      <c r="J71" s="1010" t="s">
        <v>843</v>
      </c>
      <c r="K71" s="1010" t="s">
        <v>844</v>
      </c>
      <c r="L71" s="1010" t="s">
        <v>845</v>
      </c>
      <c r="M71" s="1011" t="s">
        <v>846</v>
      </c>
      <c r="O71" s="4038" t="s">
        <v>403</v>
      </c>
      <c r="P71" s="4042" t="s">
        <v>3906</v>
      </c>
      <c r="Q71" s="4043" t="e">
        <f ca="1">ROUND((Q65+Q66)*(1+F31),0)</f>
        <v>#DIV/0!</v>
      </c>
      <c r="R71" s="4040" t="s">
        <v>3907</v>
      </c>
    </row>
    <row r="72" spans="1:18" s="935" customFormat="1" ht="13.5" thickBot="1">
      <c r="A72" s="4091" t="s">
        <v>769</v>
      </c>
      <c r="B72" s="4083" t="s">
        <v>3956</v>
      </c>
      <c r="C72" s="4088">
        <f ca="1">IF(项目基本情况!B11="自然人","——",ROUND(F72*F73/10000,2))</f>
        <v>0</v>
      </c>
      <c r="D72" s="641" t="s">
        <v>771</v>
      </c>
      <c r="E72" s="626" t="s">
        <v>772</v>
      </c>
      <c r="F72" s="3420">
        <f t="shared" si="1"/>
        <v>24</v>
      </c>
      <c r="I72" s="1009" t="s">
        <v>848</v>
      </c>
      <c r="J72" s="223">
        <v>70</v>
      </c>
      <c r="K72" s="223">
        <v>50</v>
      </c>
      <c r="L72" s="223">
        <v>80</v>
      </c>
      <c r="M72" s="1012">
        <v>0.02</v>
      </c>
      <c r="O72" s="952" t="s">
        <v>849</v>
      </c>
      <c r="P72" s="932"/>
      <c r="Q72" s="932"/>
      <c r="R72" s="932"/>
    </row>
    <row r="73" spans="1:18" s="935" customFormat="1" ht="13.5" thickBot="1">
      <c r="A73" s="209"/>
      <c r="B73" s="3858"/>
      <c r="C73" s="4089"/>
      <c r="D73" s="642"/>
      <c r="E73" s="626" t="s">
        <v>773</v>
      </c>
      <c r="F73" s="3028">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8" t="s">
        <v>774</v>
      </c>
      <c r="B74" s="625" t="s">
        <v>775</v>
      </c>
      <c r="C74" s="3860">
        <f ca="1">ROUND(F74*F75,2)</f>
        <v>0</v>
      </c>
      <c r="D74" s="3862" t="s">
        <v>3430</v>
      </c>
      <c r="E74" s="3875" t="s">
        <v>3789</v>
      </c>
      <c r="F74" s="3876">
        <f ca="1">C51</f>
        <v>0</v>
      </c>
      <c r="I74" s="1009" t="s">
        <v>851</v>
      </c>
      <c r="J74" s="223">
        <v>40</v>
      </c>
      <c r="K74" s="223">
        <v>30</v>
      </c>
      <c r="L74" s="223">
        <v>50</v>
      </c>
      <c r="M74" s="1012">
        <v>0.02</v>
      </c>
      <c r="O74" s="4038" t="s">
        <v>397</v>
      </c>
      <c r="P74" s="4039" t="s">
        <v>3899</v>
      </c>
      <c r="Q74" s="4041">
        <f ca="1">C28+J31</f>
        <v>0</v>
      </c>
      <c r="R74" s="4040" t="s">
        <v>3900</v>
      </c>
    </row>
    <row r="75" spans="1:18" s="935" customFormat="1" ht="15" thickBot="1">
      <c r="A75" s="3869"/>
      <c r="B75" s="632"/>
      <c r="C75" s="3861"/>
      <c r="D75" s="3863"/>
      <c r="E75" s="626" t="s">
        <v>768</v>
      </c>
      <c r="F75" s="2767">
        <f ca="1">F22</f>
        <v>0</v>
      </c>
      <c r="O75" s="4038" t="s">
        <v>398</v>
      </c>
      <c r="P75" s="4039" t="s">
        <v>3903</v>
      </c>
      <c r="Q75" s="4043" t="e">
        <f ca="1">L69</f>
        <v>#DIV/0!</v>
      </c>
      <c r="R75" s="4040" t="s">
        <v>3905</v>
      </c>
    </row>
    <row r="76" spans="1:18" s="935" customFormat="1" ht="13.5" thickBot="1">
      <c r="A76" s="3868" t="s">
        <v>777</v>
      </c>
      <c r="B76" s="625" t="s">
        <v>727</v>
      </c>
      <c r="C76" s="3860">
        <f ca="1">ROUND(F76*F77,2)</f>
        <v>0</v>
      </c>
      <c r="D76" s="3862" t="s">
        <v>3433</v>
      </c>
      <c r="E76" s="3875" t="s">
        <v>3790</v>
      </c>
      <c r="F76" s="3877">
        <f ca="1">C53</f>
        <v>0</v>
      </c>
      <c r="O76" s="967"/>
      <c r="P76" s="968"/>
      <c r="Q76" s="3429"/>
      <c r="R76" s="969"/>
    </row>
    <row r="77" spans="1:18" s="935" customFormat="1" ht="16.5" thickBot="1">
      <c r="A77" s="3870"/>
      <c r="B77" s="632"/>
      <c r="C77" s="3861"/>
      <c r="D77" s="3863"/>
      <c r="E77" s="626" t="s">
        <v>729</v>
      </c>
      <c r="F77" s="2767">
        <f ca="1">F24</f>
        <v>0</v>
      </c>
      <c r="O77" s="976" t="s">
        <v>399</v>
      </c>
      <c r="P77" s="968" t="s">
        <v>834</v>
      </c>
      <c r="Q77" s="3433">
        <f ca="1">L60</f>
        <v>0</v>
      </c>
      <c r="R77" s="969" t="s">
        <v>854</v>
      </c>
    </row>
    <row r="78" spans="1:18" s="935" customFormat="1" ht="13.5" thickBot="1">
      <c r="A78" s="3870" t="s">
        <v>778</v>
      </c>
      <c r="B78" s="626" t="s">
        <v>713</v>
      </c>
      <c r="C78" s="4087">
        <f ca="1">ROUND(C57*F78,2)</f>
        <v>0</v>
      </c>
      <c r="D78" s="640" t="s">
        <v>3855</v>
      </c>
      <c r="E78" s="626" t="s">
        <v>697</v>
      </c>
      <c r="F78" s="2767">
        <f ca="1">F26</f>
        <v>0</v>
      </c>
      <c r="O78" s="976"/>
      <c r="P78" s="968"/>
      <c r="Q78" s="3433"/>
      <c r="R78" s="969"/>
    </row>
    <row r="79" spans="1:18" s="935" customFormat="1" ht="16.5" thickBot="1">
      <c r="A79" s="633" t="s">
        <v>3791</v>
      </c>
      <c r="B79" s="643" t="s">
        <v>737</v>
      </c>
      <c r="C79" s="2743">
        <f ca="1">C57-C65</f>
        <v>0</v>
      </c>
      <c r="D79" s="643" t="s">
        <v>3895</v>
      </c>
      <c r="E79" s="4027"/>
      <c r="F79" s="4028"/>
      <c r="O79" s="976" t="s">
        <v>400</v>
      </c>
      <c r="P79" s="1014" t="s">
        <v>855</v>
      </c>
      <c r="Q79" s="3433">
        <f ca="1">ROUND(Q80-Q81*Q82,0)</f>
        <v>0</v>
      </c>
      <c r="R79" s="969" t="s">
        <v>408</v>
      </c>
    </row>
    <row r="80" spans="1:18" s="935" customFormat="1" ht="13.5" thickBot="1">
      <c r="A80" s="3201" t="s">
        <v>3792</v>
      </c>
      <c r="B80" s="624" t="s">
        <v>759</v>
      </c>
      <c r="C80" s="3912" t="e">
        <f ca="1">ROUND(C79*(1-((1+F82)/(1+F80))^F81)/(F80-F82),0)</f>
        <v>#DIV/0!</v>
      </c>
      <c r="D80" s="4029" t="s">
        <v>3880</v>
      </c>
      <c r="E80" s="634" t="s">
        <v>3881</v>
      </c>
      <c r="F80" s="2767">
        <f ca="1">F28</f>
        <v>0</v>
      </c>
      <c r="O80" s="976" t="s">
        <v>405</v>
      </c>
      <c r="P80" s="1014" t="s">
        <v>856</v>
      </c>
      <c r="Q80" s="3433">
        <f ca="1">C27</f>
        <v>0</v>
      </c>
      <c r="R80" s="969" t="s">
        <v>803</v>
      </c>
    </row>
    <row r="81" spans="1:18" s="935" customFormat="1" ht="13.5" thickBot="1">
      <c r="A81" s="3202"/>
      <c r="B81" s="628"/>
      <c r="C81" s="4093"/>
      <c r="D81" s="4030" t="s">
        <v>3885</v>
      </c>
      <c r="E81" s="634" t="s">
        <v>3884</v>
      </c>
      <c r="F81" s="2768">
        <f ca="1">F29</f>
        <v>0</v>
      </c>
      <c r="O81" s="976" t="s">
        <v>406</v>
      </c>
      <c r="P81" s="1014" t="s">
        <v>857</v>
      </c>
      <c r="Q81" s="3433">
        <f ca="1">C52</f>
        <v>0</v>
      </c>
      <c r="R81" s="969" t="s">
        <v>803</v>
      </c>
    </row>
    <row r="82" spans="1:18" s="935" customFormat="1" ht="13.5" thickBot="1">
      <c r="A82" s="3203"/>
      <c r="B82" s="2783"/>
      <c r="C82" s="2783"/>
      <c r="D82" s="4031"/>
      <c r="E82" s="634" t="s">
        <v>3886</v>
      </c>
      <c r="F82" s="2762"/>
      <c r="O82" s="976" t="s">
        <v>407</v>
      </c>
      <c r="P82" s="1014" t="s">
        <v>858</v>
      </c>
      <c r="Q82" s="3430">
        <f ca="1">C88</f>
        <v>0</v>
      </c>
      <c r="R82" s="969"/>
    </row>
    <row r="83" spans="1:18" s="935" customFormat="1" ht="13.5" thickBot="1">
      <c r="A83" s="630" t="s">
        <v>3795</v>
      </c>
      <c r="B83" s="2742" t="s">
        <v>3437</v>
      </c>
      <c r="C83" s="3853" t="e">
        <f ca="1">ROUND(C80*(1+F31),0)</f>
        <v>#DIV/0!</v>
      </c>
      <c r="D83" s="4032" t="str">
        <f>D31</f>
        <v>其他类型公式—收益价值×（1+9%）</v>
      </c>
      <c r="E83" s="1018"/>
      <c r="F83" s="4033"/>
      <c r="O83" s="976" t="s">
        <v>401</v>
      </c>
      <c r="P83" s="968" t="s">
        <v>836</v>
      </c>
      <c r="Q83" s="3430">
        <f>L61</f>
        <v>0</v>
      </c>
      <c r="R83" s="969"/>
    </row>
    <row r="84" spans="1:18" ht="16.5" thickBot="1">
      <c r="A84" s="647" t="s">
        <v>390</v>
      </c>
      <c r="B84" s="648" t="s">
        <v>761</v>
      </c>
      <c r="C84" s="2754" t="e">
        <f ca="1">ROUND(C83*10000/F84,0)</f>
        <v>#DIV/0!</v>
      </c>
      <c r="D84" s="4034" t="s">
        <v>3889</v>
      </c>
      <c r="E84" s="648" t="s">
        <v>3890</v>
      </c>
      <c r="F84" s="2769">
        <f ca="1">F32</f>
        <v>0</v>
      </c>
      <c r="G84" s="935"/>
      <c r="H84" s="935"/>
      <c r="O84" s="976" t="s">
        <v>402</v>
      </c>
      <c r="P84" s="968" t="s">
        <v>839</v>
      </c>
      <c r="Q84" s="4044" t="e">
        <f ca="1">L67</f>
        <v>#DIV/0!</v>
      </c>
      <c r="R84" s="969" t="s">
        <v>840</v>
      </c>
    </row>
    <row r="85" spans="1:18" ht="13.5" thickBot="1">
      <c r="A85" s="935"/>
      <c r="B85" s="494"/>
      <c r="C85" s="494"/>
      <c r="D85" s="935"/>
      <c r="E85" s="935"/>
      <c r="F85" s="935"/>
      <c r="O85" s="976" t="s">
        <v>409</v>
      </c>
      <c r="P85" s="968" t="str">
        <f>K68</f>
        <v>建筑物剩余耐用年限下的土地年期修正系数Kn</v>
      </c>
      <c r="Q85" s="4044" t="e">
        <f ca="1">L68</f>
        <v>#DIV/0!</v>
      </c>
      <c r="R85" s="969" t="s">
        <v>841</v>
      </c>
    </row>
    <row r="86" spans="1:18" ht="25.5" thickBot="1">
      <c r="A86" s="935"/>
      <c r="B86" s="168" t="s">
        <v>859</v>
      </c>
      <c r="C86" s="1016"/>
      <c r="D86" s="935"/>
      <c r="E86" s="935"/>
      <c r="F86" s="935"/>
      <c r="K86" s="951"/>
      <c r="L86" s="935"/>
      <c r="O86" s="4038" t="s">
        <v>403</v>
      </c>
      <c r="P86" s="4042" t="s">
        <v>3906</v>
      </c>
      <c r="Q86" s="4041" t="e">
        <f ca="1">ROUND((Q74+Q75)*(1+F31),0)</f>
        <v>#DIV/0!</v>
      </c>
      <c r="R86" s="4040" t="s">
        <v>3907</v>
      </c>
    </row>
    <row r="87" spans="1:18">
      <c r="A87" s="935"/>
      <c r="B87" s="222" t="s">
        <v>780</v>
      </c>
      <c r="C87" s="2831">
        <f ca="1">ROUND(C53*C88,0)</f>
        <v>0</v>
      </c>
      <c r="D87" s="935"/>
      <c r="E87" s="935"/>
      <c r="F87" s="935"/>
      <c r="I87" s="935"/>
      <c r="J87" s="935"/>
      <c r="K87" s="951"/>
      <c r="L87" s="935"/>
    </row>
    <row r="88" spans="1:18">
      <c r="B88" s="224" t="s">
        <v>781</v>
      </c>
      <c r="C88" s="2727">
        <f ca="1">INDIRECT("'数据-取费表'!j"&amp;$G$1)</f>
        <v>0</v>
      </c>
      <c r="I88" s="935"/>
      <c r="J88" s="935"/>
      <c r="K88" s="951"/>
      <c r="L88" s="935"/>
    </row>
    <row r="89" spans="1:18">
      <c r="B89" s="226" t="s">
        <v>782</v>
      </c>
      <c r="C89" s="227"/>
    </row>
    <row r="90" spans="1:18">
      <c r="B90" s="165" t="s">
        <v>783</v>
      </c>
      <c r="C90" s="228"/>
    </row>
    <row r="91" spans="1:18">
      <c r="B91" s="222" t="s">
        <v>784</v>
      </c>
      <c r="C91" s="2832" t="e">
        <f ca="1">1-C92</f>
        <v>#DIV/0!</v>
      </c>
    </row>
    <row r="92" spans="1:18">
      <c r="B92" s="222" t="s">
        <v>785</v>
      </c>
      <c r="C92" s="2832" t="e">
        <f ca="1">ROUND(C87/C27,3)</f>
        <v>#DIV/0!</v>
      </c>
    </row>
    <row r="93" spans="1:18">
      <c r="B93" s="165" t="s">
        <v>786</v>
      </c>
      <c r="C93" s="133"/>
    </row>
    <row r="94" spans="1:18">
      <c r="B94" s="168" t="s">
        <v>787</v>
      </c>
      <c r="C94" s="2833" t="e">
        <f ca="1">1-C95</f>
        <v>#DIV/0!</v>
      </c>
    </row>
    <row r="95" spans="1:18">
      <c r="B95" s="168" t="s">
        <v>788</v>
      </c>
      <c r="C95" s="2832"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51" priority="3">
      <formula>$F$10="自定义"</formula>
    </cfRule>
  </conditionalFormatting>
  <conditionalFormatting sqref="C63">
    <cfRule type="expression" dxfId="150" priority="1">
      <formula>$F$62="自定义"</formula>
    </cfRule>
  </conditionalFormatting>
  <conditionalFormatting sqref="I64 I69">
    <cfRule type="expression" dxfId="149" priority="57">
      <formula>$J$60&gt;$L$57</formula>
    </cfRule>
  </conditionalFormatting>
  <conditionalFormatting sqref="J11">
    <cfRule type="expression" dxfId="148" priority="2">
      <formula>$M$10="自定义"</formula>
    </cfRule>
  </conditionalFormatting>
  <conditionalFormatting sqref="K64 K69">
    <cfRule type="expression" dxfId="147"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8" zoomScale="85" zoomScaleNormal="70" zoomScaleSheetLayoutView="85" workbookViewId="0">
      <selection activeCell="C42" sqref="C42:J4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4" t="s">
        <v>1673</v>
      </c>
      <c r="C1" s="826" t="s">
        <v>1569</v>
      </c>
      <c r="D1" s="813" t="s">
        <v>4067</v>
      </c>
      <c r="E1" s="2472" t="s">
        <v>4118</v>
      </c>
      <c r="F1" s="1353" t="s">
        <v>4119</v>
      </c>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4">
        <f>IF(C2="含税",D2,ROUND(D2/(1+F3),0))</f>
        <v>552.91160000000002</v>
      </c>
      <c r="C2" s="2784" t="s">
        <v>4120</v>
      </c>
      <c r="D2" s="3737">
        <f>IF(E1="项目模式",IF(E2="——",ROUND(C49*D3/10000,0),ROUND(C49*D3/10000,0)-F2),IF(E1="单套模式",IF(E2="——",ROUND(C49*D3/10000,4),ROUND(C49*D3/10000,4)-F2)))</f>
        <v>552.91160000000002</v>
      </c>
      <c r="E2" s="1355" t="s">
        <v>41</v>
      </c>
      <c r="F2" s="3738"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39838</v>
      </c>
      <c r="C3" s="234" t="s">
        <v>1675</v>
      </c>
      <c r="D3" s="2880">
        <f>IF(D1="",'数据-汇总表'!E3,SUMIF('数据-汇总表'!$C19:$C33,D1,'数据-汇总表'!$E19:$E33))</f>
        <v>138.79</v>
      </c>
      <c r="E3" s="3847" t="s">
        <v>3466</v>
      </c>
      <c r="F3" s="3848">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18" t="s">
        <v>1677</v>
      </c>
      <c r="D4" s="4519"/>
      <c r="E4" s="4520" t="s">
        <v>1678</v>
      </c>
      <c r="F4" s="4521"/>
      <c r="G4" s="4518" t="s">
        <v>1679</v>
      </c>
      <c r="H4" s="4519"/>
      <c r="I4" s="4518" t="s">
        <v>1680</v>
      </c>
      <c r="J4" s="4519"/>
      <c r="K4" s="2863" t="s">
        <v>1681</v>
      </c>
      <c r="L4" s="1974"/>
      <c r="M4" s="1975"/>
      <c r="N4" s="1975"/>
      <c r="O4" s="1975"/>
      <c r="P4" s="4522" t="s">
        <v>1682</v>
      </c>
      <c r="Q4" s="4523"/>
      <c r="R4" s="4504" t="s">
        <v>1678</v>
      </c>
      <c r="S4" s="4505"/>
      <c r="T4" s="4504" t="s">
        <v>1679</v>
      </c>
      <c r="U4" s="4505"/>
      <c r="V4" s="4530" t="s">
        <v>1680</v>
      </c>
      <c r="W4" s="4530"/>
      <c r="X4" s="909"/>
      <c r="Y4" s="4533" t="s">
        <v>1682</v>
      </c>
      <c r="Z4" s="4534"/>
      <c r="AA4" s="4498" t="s">
        <v>1678</v>
      </c>
      <c r="AB4" s="4501" t="s">
        <v>1679</v>
      </c>
      <c r="AC4" s="4498" t="s">
        <v>1680</v>
      </c>
    </row>
    <row r="5" spans="1:29" ht="15">
      <c r="A5" s="238"/>
      <c r="B5" s="239"/>
      <c r="C5" s="4510" t="s">
        <v>1580</v>
      </c>
      <c r="D5" s="4511"/>
      <c r="E5" s="4508" t="s">
        <v>4121</v>
      </c>
      <c r="F5" s="4509"/>
      <c r="G5" s="4510" t="s">
        <v>4122</v>
      </c>
      <c r="H5" s="4511"/>
      <c r="I5" s="4510" t="s">
        <v>4123</v>
      </c>
      <c r="J5" s="4511"/>
      <c r="K5" s="2863"/>
      <c r="L5" s="1974"/>
      <c r="M5" s="1975"/>
      <c r="N5" s="1975"/>
      <c r="O5" s="1975"/>
      <c r="P5" s="4524"/>
      <c r="Q5" s="4525"/>
      <c r="R5" s="4506"/>
      <c r="S5" s="4507"/>
      <c r="T5" s="4506"/>
      <c r="U5" s="4507"/>
      <c r="V5" s="4530"/>
      <c r="W5" s="4530"/>
      <c r="X5" s="909"/>
      <c r="Y5" s="4535"/>
      <c r="Z5" s="4536"/>
      <c r="AA5" s="4499"/>
      <c r="AB5" s="4501"/>
      <c r="AC5" s="4499"/>
    </row>
    <row r="6" spans="1:29" ht="15.75" thickBot="1">
      <c r="A6" s="240"/>
      <c r="B6" s="241"/>
      <c r="C6" s="4512" t="s">
        <v>1584</v>
      </c>
      <c r="D6" s="4513"/>
      <c r="E6" s="4514" t="s">
        <v>1584</v>
      </c>
      <c r="F6" s="4515"/>
      <c r="G6" s="4512" t="s">
        <v>1584</v>
      </c>
      <c r="H6" s="4513"/>
      <c r="I6" s="4512" t="s">
        <v>1584</v>
      </c>
      <c r="J6" s="4513"/>
      <c r="K6" s="2863" t="s">
        <v>1585</v>
      </c>
      <c r="L6" s="1974"/>
      <c r="M6" s="1975"/>
      <c r="N6" s="1975"/>
      <c r="O6" s="1975"/>
      <c r="P6" s="4526"/>
      <c r="Q6" s="4527"/>
      <c r="R6" s="4506"/>
      <c r="S6" s="4507"/>
      <c r="T6" s="4528"/>
      <c r="U6" s="4529"/>
      <c r="V6" s="4530"/>
      <c r="W6" s="4530"/>
      <c r="X6" s="909"/>
      <c r="Y6" s="4537"/>
      <c r="Z6" s="4538"/>
      <c r="AA6" s="4500"/>
      <c r="AB6" s="4501"/>
      <c r="AC6" s="4500"/>
    </row>
    <row r="7" spans="1:29" s="46" customFormat="1" ht="15.75" thickBot="1">
      <c r="A7" s="242" t="s">
        <v>1586</v>
      </c>
      <c r="B7" s="243"/>
      <c r="C7" s="244">
        <f>'数据-取费表'!B2</f>
        <v>46050</v>
      </c>
      <c r="D7" s="2886">
        <v>100</v>
      </c>
      <c r="E7" s="2840">
        <f>C7</f>
        <v>46050</v>
      </c>
      <c r="F7" s="3717">
        <f>SUMIF(58:58,YEAR(E7)&amp;"-"&amp;MONTH(E7),59:59)</f>
        <v>100</v>
      </c>
      <c r="G7" s="2840">
        <f>C7</f>
        <v>46050</v>
      </c>
      <c r="H7" s="3729">
        <f>SUMIF(58:58,YEAR(G7)&amp;"-"&amp;MONTH(G7),59:59)</f>
        <v>100</v>
      </c>
      <c r="I7" s="2840">
        <f>C7</f>
        <v>46050</v>
      </c>
      <c r="J7" s="3729">
        <f>SUMIF(58:58,YEAR(I7)&amp;"-"&amp;MONTH(I7),59:59)</f>
        <v>100</v>
      </c>
      <c r="K7" s="2856"/>
      <c r="L7" s="1976"/>
      <c r="M7" s="1929"/>
      <c r="N7" s="1929"/>
      <c r="O7" s="1929"/>
      <c r="P7" s="4531" t="s">
        <v>1587</v>
      </c>
      <c r="Q7" s="4539"/>
      <c r="R7" s="3633" t="s">
        <v>13</v>
      </c>
      <c r="S7" s="3156">
        <f t="shared" ref="S7:S15" si="0">F7</f>
        <v>100</v>
      </c>
      <c r="T7" s="3633" t="s">
        <v>13</v>
      </c>
      <c r="U7" s="3156">
        <f t="shared" ref="U7:U15" si="1">H7</f>
        <v>100</v>
      </c>
      <c r="V7" s="3633" t="s">
        <v>13</v>
      </c>
      <c r="W7" s="3156">
        <f t="shared" ref="W7:W15" si="2">J7</f>
        <v>100</v>
      </c>
      <c r="X7" s="482"/>
      <c r="Y7" s="4502" t="s">
        <v>1587</v>
      </c>
      <c r="Z7" s="4503"/>
      <c r="AA7" s="28">
        <f>D7/F7</f>
        <v>1</v>
      </c>
      <c r="AB7" s="28">
        <f>D7/H7</f>
        <v>1</v>
      </c>
      <c r="AC7" s="28">
        <f>D7/J7</f>
        <v>1</v>
      </c>
    </row>
    <row r="8" spans="1:29" s="46" customFormat="1" ht="15.75" thickBot="1">
      <c r="A8" s="242" t="s">
        <v>1588</v>
      </c>
      <c r="B8" s="243"/>
      <c r="C8" s="246" t="s">
        <v>4124</v>
      </c>
      <c r="D8" s="2886">
        <v>100</v>
      </c>
      <c r="E8" s="2812" t="s">
        <v>4125</v>
      </c>
      <c r="F8" s="3717">
        <f>SUMIF(61:61,E8,62:62)-SUMIF(61:61,C8,62:62)+100</f>
        <v>104</v>
      </c>
      <c r="G8" s="2812" t="s">
        <v>4125</v>
      </c>
      <c r="H8" s="3729">
        <f>SUMIF(61:61,G8,62:62)-SUMIF(61:61,C8,62:62)+100</f>
        <v>104</v>
      </c>
      <c r="I8" s="2812" t="s">
        <v>4125</v>
      </c>
      <c r="J8" s="3729">
        <f>SUMIF(61:61,I8,62:62)-SUMIF(61:61,C8,62:62)+100</f>
        <v>104</v>
      </c>
      <c r="K8" s="2856"/>
      <c r="L8" s="1976"/>
      <c r="M8" s="1929"/>
      <c r="N8" s="1929"/>
      <c r="O8" s="1929"/>
      <c r="P8" s="4531" t="s">
        <v>1590</v>
      </c>
      <c r="Q8" s="4532"/>
      <c r="R8" s="3633" t="s">
        <v>13</v>
      </c>
      <c r="S8" s="3156">
        <f t="shared" si="0"/>
        <v>104</v>
      </c>
      <c r="T8" s="3633" t="s">
        <v>13</v>
      </c>
      <c r="U8" s="3156">
        <f t="shared" si="1"/>
        <v>104</v>
      </c>
      <c r="V8" s="3633" t="s">
        <v>13</v>
      </c>
      <c r="W8" s="3156">
        <f t="shared" si="2"/>
        <v>104</v>
      </c>
      <c r="X8" s="482"/>
      <c r="Y8" s="4502" t="s">
        <v>1590</v>
      </c>
      <c r="Z8" s="4503"/>
      <c r="AA8" s="28">
        <f t="shared" ref="AA8:AA46" si="3">D8/F8</f>
        <v>0.96153846153846156</v>
      </c>
      <c r="AB8" s="28">
        <f t="shared" ref="AB8:AB46" si="4">D8/H8</f>
        <v>0.96153846153846156</v>
      </c>
      <c r="AC8" s="28">
        <f t="shared" ref="AC8:AC46" si="5">D8/J8</f>
        <v>0.96153846153846156</v>
      </c>
    </row>
    <row r="9" spans="1:29" s="46" customFormat="1">
      <c r="A9" s="247" t="s">
        <v>1591</v>
      </c>
      <c r="B9" s="2792" t="s">
        <v>1592</v>
      </c>
      <c r="C9" s="4259" t="s">
        <v>4126</v>
      </c>
      <c r="D9" s="2887">
        <v>100</v>
      </c>
      <c r="E9" s="2841" t="s">
        <v>660</v>
      </c>
      <c r="F9" s="3718">
        <f>SUMIF(63:63,E9,64:64)-SUMIF(63:63,C9,64:64)+100</f>
        <v>100</v>
      </c>
      <c r="G9" s="2841" t="s">
        <v>660</v>
      </c>
      <c r="H9" s="3730">
        <f>SUMIF(63:63,G9,64:64)-SUMIF(63:63,C9,64:64)+100</f>
        <v>100</v>
      </c>
      <c r="I9" s="2841" t="s">
        <v>660</v>
      </c>
      <c r="J9" s="3730">
        <f>SUMIF(63:63,I9,64:64)-SUMIF(63:63,C9,64:64)+100</f>
        <v>100</v>
      </c>
      <c r="K9" s="2856"/>
      <c r="L9" s="1976"/>
      <c r="M9" s="1929"/>
      <c r="N9" s="1929"/>
      <c r="O9" s="1929"/>
      <c r="P9" s="4516" t="s">
        <v>1593</v>
      </c>
      <c r="Q9" s="1698" t="str">
        <f t="shared" ref="Q9:Q15" si="6">B9</f>
        <v>用途</v>
      </c>
      <c r="R9" s="3633" t="s">
        <v>13</v>
      </c>
      <c r="S9" s="3156">
        <f t="shared" si="0"/>
        <v>100</v>
      </c>
      <c r="T9" s="3633" t="s">
        <v>13</v>
      </c>
      <c r="U9" s="3156">
        <f t="shared" si="1"/>
        <v>100</v>
      </c>
      <c r="V9" s="3633" t="s">
        <v>13</v>
      </c>
      <c r="W9" s="3156">
        <f t="shared" si="2"/>
        <v>100</v>
      </c>
      <c r="X9" s="482"/>
      <c r="Y9" s="4517" t="s">
        <v>1594</v>
      </c>
      <c r="Z9" s="28" t="str">
        <f t="shared" ref="Z9:Z15" si="7">Q9</f>
        <v>用途</v>
      </c>
      <c r="AA9" s="28">
        <f t="shared" si="3"/>
        <v>1</v>
      </c>
      <c r="AB9" s="28">
        <f t="shared" si="4"/>
        <v>1</v>
      </c>
      <c r="AC9" s="28">
        <f t="shared" si="5"/>
        <v>1</v>
      </c>
    </row>
    <row r="10" spans="1:29" s="253" customFormat="1" ht="27">
      <c r="A10" s="251"/>
      <c r="B10" s="2789" t="s">
        <v>1595</v>
      </c>
      <c r="C10" s="2814" t="s">
        <v>4127</v>
      </c>
      <c r="D10" s="2888">
        <v>100</v>
      </c>
      <c r="E10" s="2842" t="s">
        <v>4128</v>
      </c>
      <c r="F10" s="3719">
        <f>SUMIF(65:65,E10,66:66)-SUMIF(65:65,C10,66:66)+100</f>
        <v>105</v>
      </c>
      <c r="G10" s="2814" t="s">
        <v>4127</v>
      </c>
      <c r="H10" s="3731">
        <f>SUMIF(65:65,G10,66:66)-SUMIF(65:65,C10,66:66)+100</f>
        <v>100</v>
      </c>
      <c r="I10" s="2814" t="s">
        <v>4129</v>
      </c>
      <c r="J10" s="3731">
        <f>SUMIF(65:65,I10,66:66)-SUMIF(65:65,C10,66:66)+100</f>
        <v>95</v>
      </c>
      <c r="K10" s="2856"/>
      <c r="L10" s="1977"/>
      <c r="M10" s="1978"/>
      <c r="N10" s="1978"/>
      <c r="O10" s="1978"/>
      <c r="P10" s="4516"/>
      <c r="Q10" s="1698" t="str">
        <f t="shared" si="6"/>
        <v>土地使用年限（年）</v>
      </c>
      <c r="R10" s="3633" t="s">
        <v>13</v>
      </c>
      <c r="S10" s="3156">
        <f t="shared" si="0"/>
        <v>105</v>
      </c>
      <c r="T10" s="3633" t="s">
        <v>13</v>
      </c>
      <c r="U10" s="3156">
        <f t="shared" si="1"/>
        <v>100</v>
      </c>
      <c r="V10" s="3633" t="s">
        <v>13</v>
      </c>
      <c r="W10" s="3156">
        <f t="shared" si="2"/>
        <v>95</v>
      </c>
      <c r="X10" s="482"/>
      <c r="Y10" s="4517"/>
      <c r="Z10" s="28" t="str">
        <f t="shared" si="7"/>
        <v>土地使用年限（年）</v>
      </c>
      <c r="AA10" s="28">
        <f t="shared" si="3"/>
        <v>0.95238095238095233</v>
      </c>
      <c r="AB10" s="28">
        <f t="shared" si="4"/>
        <v>1</v>
      </c>
      <c r="AC10" s="28">
        <f t="shared" si="5"/>
        <v>1.0526315789473684</v>
      </c>
    </row>
    <row r="11" spans="1:29" ht="15">
      <c r="A11" s="254"/>
      <c r="B11" s="2789" t="s">
        <v>1596</v>
      </c>
      <c r="C11" s="2815">
        <f>'数据-汇总表'!I7</f>
        <v>5.99</v>
      </c>
      <c r="D11" s="2888">
        <v>100</v>
      </c>
      <c r="E11" s="2843">
        <v>8.3000000000000007</v>
      </c>
      <c r="F11" s="3719">
        <f>LOOKUP(E11,68:68,69:69)-LOOKUP(C11,68:68,69:69)+100</f>
        <v>100</v>
      </c>
      <c r="G11" s="2815">
        <v>9</v>
      </c>
      <c r="H11" s="3731">
        <f>LOOKUP(G11,68:68,69:69)-LOOKUP(C11,68:68,69:69)+100</f>
        <v>100</v>
      </c>
      <c r="I11" s="2815">
        <v>4.7</v>
      </c>
      <c r="J11" s="3731">
        <f>LOOKUP(I11,68:68,69:69)-LOOKUP(C11,68:68,69:69)+100</f>
        <v>100</v>
      </c>
      <c r="K11" s="2857"/>
      <c r="L11" s="1979"/>
      <c r="M11" s="1975"/>
      <c r="N11" s="1975"/>
      <c r="O11" s="1975"/>
      <c r="P11" s="4516"/>
      <c r="Q11" s="1698" t="str">
        <f t="shared" si="6"/>
        <v>容积率</v>
      </c>
      <c r="R11" s="3633" t="s">
        <v>13</v>
      </c>
      <c r="S11" s="3156">
        <f t="shared" si="0"/>
        <v>100</v>
      </c>
      <c r="T11" s="3633" t="s">
        <v>13</v>
      </c>
      <c r="U11" s="3156">
        <f t="shared" si="1"/>
        <v>100</v>
      </c>
      <c r="V11" s="3633" t="s">
        <v>13</v>
      </c>
      <c r="W11" s="3156">
        <f t="shared" si="2"/>
        <v>100</v>
      </c>
      <c r="X11" s="482"/>
      <c r="Y11" s="4517"/>
      <c r="Z11" s="28" t="str">
        <f t="shared" si="7"/>
        <v>容积率</v>
      </c>
      <c r="AA11" s="28">
        <f t="shared" si="3"/>
        <v>1</v>
      </c>
      <c r="AB11" s="28">
        <f t="shared" si="4"/>
        <v>1</v>
      </c>
      <c r="AC11" s="28">
        <f t="shared" si="5"/>
        <v>1</v>
      </c>
    </row>
    <row r="12" spans="1:29" s="46" customFormat="1" ht="15">
      <c r="A12" s="257"/>
      <c r="B12" s="4260" t="s">
        <v>4130</v>
      </c>
      <c r="C12" s="2816">
        <f>项目基本情况!D15</f>
        <v>23.58</v>
      </c>
      <c r="D12" s="2889">
        <v>100</v>
      </c>
      <c r="E12" s="2817">
        <f>2052-2026</f>
        <v>26</v>
      </c>
      <c r="F12" s="3719">
        <f>SUMIF(70:70,E12,71:71)-SUMIF(70:70,C12,71:71)+100</f>
        <v>100</v>
      </c>
      <c r="G12" s="2817">
        <f>2046-2026</f>
        <v>20</v>
      </c>
      <c r="H12" s="3731">
        <f>SUMIF(70:70,G12,71:71)-SUMIF(70:70,C12,71:71)+100</f>
        <v>100</v>
      </c>
      <c r="I12" s="2817">
        <f>2044-2026</f>
        <v>18</v>
      </c>
      <c r="J12" s="3731">
        <f>SUMIF(70:70,I12,71:71)-SUMIF(70:70,C12,71:71)+100</f>
        <v>100</v>
      </c>
      <c r="K12" s="2858"/>
      <c r="L12" s="1976"/>
      <c r="M12" s="1929"/>
      <c r="N12" s="1929"/>
      <c r="O12" s="1929"/>
      <c r="P12" s="4516"/>
      <c r="Q12" s="1698" t="str">
        <f t="shared" si="6"/>
        <v>土地剩余年期</v>
      </c>
      <c r="R12" s="3633" t="s">
        <v>13</v>
      </c>
      <c r="S12" s="3156">
        <f t="shared" si="0"/>
        <v>100</v>
      </c>
      <c r="T12" s="3633" t="s">
        <v>13</v>
      </c>
      <c r="U12" s="3156">
        <f t="shared" si="1"/>
        <v>100</v>
      </c>
      <c r="V12" s="3633" t="s">
        <v>13</v>
      </c>
      <c r="W12" s="3156">
        <f t="shared" si="2"/>
        <v>100</v>
      </c>
      <c r="X12" s="482"/>
      <c r="Y12" s="4517"/>
      <c r="Z12" s="28" t="str">
        <f t="shared" si="7"/>
        <v>土地剩余年期</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58"/>
      <c r="L13" s="1980"/>
      <c r="M13" s="1975"/>
      <c r="N13" s="1975"/>
      <c r="O13" s="1975"/>
      <c r="P13" s="4516"/>
      <c r="Q13" s="1698">
        <f t="shared" si="6"/>
        <v>111</v>
      </c>
      <c r="R13" s="3633" t="s">
        <v>13</v>
      </c>
      <c r="S13" s="3156">
        <f t="shared" si="0"/>
        <v>100</v>
      </c>
      <c r="T13" s="3633" t="s">
        <v>13</v>
      </c>
      <c r="U13" s="3156">
        <f t="shared" si="1"/>
        <v>100</v>
      </c>
      <c r="V13" s="3633" t="s">
        <v>13</v>
      </c>
      <c r="W13" s="3156">
        <f t="shared" si="2"/>
        <v>100</v>
      </c>
      <c r="X13" s="482"/>
      <c r="Y13" s="4517"/>
      <c r="Z13" s="28">
        <f t="shared" si="7"/>
        <v>111</v>
      </c>
      <c r="AA13" s="28">
        <f t="shared" si="3"/>
        <v>1</v>
      </c>
      <c r="AB13" s="28">
        <f t="shared" si="4"/>
        <v>1</v>
      </c>
      <c r="AC13" s="28">
        <f t="shared" si="5"/>
        <v>1</v>
      </c>
    </row>
    <row r="14" spans="1:29" ht="15.75" thickBot="1">
      <c r="A14" s="260"/>
      <c r="B14" s="2794">
        <v>111</v>
      </c>
      <c r="C14" s="2818"/>
      <c r="D14" s="2891">
        <v>100</v>
      </c>
      <c r="E14" s="2817"/>
      <c r="F14" s="3720">
        <f>SUMIF(74:74,E14,75:75)-SUMIF(74:74,C14,75:75)+100</f>
        <v>100</v>
      </c>
      <c r="G14" s="2817"/>
      <c r="H14" s="3727">
        <f>SUMIF(74:74,G14,75:75)-SUMIF(74:74,C14,75:75)+100</f>
        <v>100</v>
      </c>
      <c r="I14" s="2817"/>
      <c r="J14" s="3727">
        <f>SUMIF(74:74,I14,75:75)-SUMIF(74:74,C14,75:75)+100</f>
        <v>100</v>
      </c>
      <c r="K14" s="2858"/>
      <c r="L14" s="1980"/>
      <c r="M14" s="1975"/>
      <c r="N14" s="1975"/>
      <c r="O14" s="1975"/>
      <c r="P14" s="4516"/>
      <c r="Q14" s="1698">
        <f t="shared" si="6"/>
        <v>111</v>
      </c>
      <c r="R14" s="3633" t="s">
        <v>13</v>
      </c>
      <c r="S14" s="3156">
        <f t="shared" si="0"/>
        <v>100</v>
      </c>
      <c r="T14" s="3633" t="s">
        <v>13</v>
      </c>
      <c r="U14" s="3156">
        <f t="shared" si="1"/>
        <v>100</v>
      </c>
      <c r="V14" s="3633" t="s">
        <v>13</v>
      </c>
      <c r="W14" s="3156">
        <f t="shared" si="2"/>
        <v>100</v>
      </c>
      <c r="X14" s="482"/>
      <c r="Y14" s="4517"/>
      <c r="Z14" s="28">
        <f t="shared" si="7"/>
        <v>111</v>
      </c>
      <c r="AA14" s="28">
        <f t="shared" si="3"/>
        <v>1</v>
      </c>
      <c r="AB14" s="28">
        <f t="shared" si="4"/>
        <v>1</v>
      </c>
      <c r="AC14" s="28">
        <f t="shared" si="5"/>
        <v>1</v>
      </c>
    </row>
    <row r="15" spans="1:29" ht="15">
      <c r="A15" s="262" t="s">
        <v>1597</v>
      </c>
      <c r="B15" s="2795" t="s">
        <v>1684</v>
      </c>
      <c r="C15" s="2819">
        <f>估价对象房地状况!C4</f>
        <v>0</v>
      </c>
      <c r="D15" s="2892">
        <v>100</v>
      </c>
      <c r="E15" s="2844"/>
      <c r="F15" s="3739">
        <f>SUMIF(76:76,E16,77:77)-SUMIF(76:76,C16,77:77)+100</f>
        <v>104</v>
      </c>
      <c r="G15" s="2850"/>
      <c r="H15" s="3721">
        <f>SUMIF(76:76,G16,77:77)-SUMIF(76:76,C16,77:77)+100</f>
        <v>104</v>
      </c>
      <c r="I15" s="2844"/>
      <c r="J15" s="3721">
        <f>SUMIF(76:76,I16,77:77)-SUMIF(76:76,C16,77:77)+100</f>
        <v>96</v>
      </c>
      <c r="K15" s="2859">
        <v>4</v>
      </c>
      <c r="L15" s="1980"/>
      <c r="M15" s="1975"/>
      <c r="N15" s="1975"/>
      <c r="O15" s="1975"/>
      <c r="P15" s="4540" t="s">
        <v>1598</v>
      </c>
      <c r="Q15" s="1507" t="str">
        <f t="shared" si="6"/>
        <v>商业繁华度</v>
      </c>
      <c r="R15" s="3735" t="s">
        <v>13</v>
      </c>
      <c r="S15" s="3157">
        <f t="shared" si="0"/>
        <v>104</v>
      </c>
      <c r="T15" s="3735" t="s">
        <v>13</v>
      </c>
      <c r="U15" s="3157">
        <f t="shared" si="1"/>
        <v>104</v>
      </c>
      <c r="V15" s="3735" t="s">
        <v>13</v>
      </c>
      <c r="W15" s="3157">
        <f t="shared" si="2"/>
        <v>96</v>
      </c>
      <c r="X15" s="909"/>
      <c r="Y15" s="4542" t="s">
        <v>1598</v>
      </c>
      <c r="Z15" s="907" t="str">
        <f t="shared" si="7"/>
        <v>商业繁华度</v>
      </c>
      <c r="AA15" s="907">
        <f t="shared" si="3"/>
        <v>0.96153846153846156</v>
      </c>
      <c r="AB15" s="907">
        <f t="shared" si="4"/>
        <v>0.96153846153846156</v>
      </c>
      <c r="AC15" s="907">
        <f t="shared" si="5"/>
        <v>1.0416666666666667</v>
      </c>
    </row>
    <row r="16" spans="1:29" ht="15">
      <c r="A16" s="254"/>
      <c r="B16" s="2796"/>
      <c r="C16" s="2820" t="s">
        <v>3602</v>
      </c>
      <c r="D16" s="2893"/>
      <c r="E16" s="2820" t="s">
        <v>4142</v>
      </c>
      <c r="F16" s="3740"/>
      <c r="G16" s="2820" t="s">
        <v>4142</v>
      </c>
      <c r="H16" s="3723"/>
      <c r="I16" s="2820" t="s">
        <v>3601</v>
      </c>
      <c r="J16" s="3722"/>
      <c r="K16" s="2860"/>
      <c r="L16" s="1980"/>
      <c r="M16" s="1975"/>
      <c r="N16" s="1975"/>
      <c r="O16" s="1975"/>
      <c r="P16" s="4541"/>
      <c r="Q16" s="1507"/>
      <c r="R16" s="3735"/>
      <c r="S16" s="3157"/>
      <c r="T16" s="3735"/>
      <c r="U16" s="3157"/>
      <c r="V16" s="3735"/>
      <c r="W16" s="3157"/>
      <c r="X16" s="909"/>
      <c r="Y16" s="4543"/>
      <c r="Z16" s="907"/>
      <c r="AA16" s="907">
        <v>1</v>
      </c>
      <c r="AB16" s="907">
        <v>1</v>
      </c>
      <c r="AC16" s="907">
        <v>1</v>
      </c>
    </row>
    <row r="17" spans="1:29" ht="15">
      <c r="A17" s="254"/>
      <c r="B17" s="2797" t="s">
        <v>1237</v>
      </c>
      <c r="C17" s="2821">
        <f>估价对象房地状况!C6</f>
        <v>0</v>
      </c>
      <c r="D17" s="2894">
        <v>100</v>
      </c>
      <c r="E17" s="2845"/>
      <c r="F17" s="3741">
        <f>SUMIF(78:78,E18,79:79)-SUMIF(78:78,C18,79:79)+100</f>
        <v>100</v>
      </c>
      <c r="G17" s="2851"/>
      <c r="H17" s="3724">
        <f>SUMIF(78:78,G18,79:79)-SUMIF(78:78,C18,79:79)+100</f>
        <v>100</v>
      </c>
      <c r="I17" s="2845"/>
      <c r="J17" s="3724">
        <f>SUMIF(78:78,I18,79:79)-SUMIF(78:78,C18,79:79)+100</f>
        <v>100</v>
      </c>
      <c r="K17" s="2859">
        <v>2</v>
      </c>
      <c r="L17" s="1980"/>
      <c r="M17" s="1975"/>
      <c r="N17" s="1975"/>
      <c r="O17" s="1975"/>
      <c r="P17" s="4541"/>
      <c r="Q17" s="1507" t="str">
        <f>B17</f>
        <v>交通便捷度</v>
      </c>
      <c r="R17" s="3735" t="s">
        <v>13</v>
      </c>
      <c r="S17" s="3157">
        <f>F17</f>
        <v>100</v>
      </c>
      <c r="T17" s="3735" t="s">
        <v>13</v>
      </c>
      <c r="U17" s="3157">
        <f>H17</f>
        <v>100</v>
      </c>
      <c r="V17" s="3735" t="s">
        <v>13</v>
      </c>
      <c r="W17" s="3157">
        <f>J17</f>
        <v>100</v>
      </c>
      <c r="X17" s="909"/>
      <c r="Y17" s="4543"/>
      <c r="Z17" s="907" t="str">
        <f>Q17</f>
        <v>交通便捷度</v>
      </c>
      <c r="AA17" s="907">
        <f t="shared" si="3"/>
        <v>1</v>
      </c>
      <c r="AB17" s="907">
        <f t="shared" si="4"/>
        <v>1</v>
      </c>
      <c r="AC17" s="907">
        <f t="shared" si="5"/>
        <v>1</v>
      </c>
    </row>
    <row r="18" spans="1:29" ht="15">
      <c r="A18" s="254"/>
      <c r="B18" s="2798"/>
      <c r="C18" s="2822" t="s">
        <v>3602</v>
      </c>
      <c r="D18" s="2894"/>
      <c r="E18" s="2846" t="s">
        <v>3602</v>
      </c>
      <c r="F18" s="3741"/>
      <c r="G18" s="2852" t="s">
        <v>3602</v>
      </c>
      <c r="H18" s="3722"/>
      <c r="I18" s="2846" t="s">
        <v>3602</v>
      </c>
      <c r="J18" s="3722"/>
      <c r="K18" s="2860"/>
      <c r="L18" s="1980"/>
      <c r="M18" s="1975"/>
      <c r="N18" s="1975"/>
      <c r="O18" s="1975"/>
      <c r="P18" s="4541"/>
      <c r="Q18" s="1507"/>
      <c r="R18" s="3735"/>
      <c r="S18" s="3157"/>
      <c r="T18" s="3735"/>
      <c r="U18" s="3157"/>
      <c r="V18" s="3735"/>
      <c r="W18" s="3157"/>
      <c r="X18" s="909"/>
      <c r="Y18" s="4543"/>
      <c r="Z18" s="907"/>
      <c r="AA18" s="907">
        <v>1</v>
      </c>
      <c r="AB18" s="907">
        <v>1</v>
      </c>
      <c r="AC18" s="907">
        <v>1</v>
      </c>
    </row>
    <row r="19" spans="1:29" ht="15">
      <c r="A19" s="254"/>
      <c r="B19" s="2797" t="s">
        <v>1685</v>
      </c>
      <c r="C19" s="2821">
        <f>估价对象房地状况!C7</f>
        <v>0</v>
      </c>
      <c r="D19" s="2895">
        <v>100</v>
      </c>
      <c r="E19" s="2847"/>
      <c r="F19" s="3742">
        <f>SUMIF(80:80,E20,81:81)-SUMIF(80:80,C20,81:81)+100</f>
        <v>100</v>
      </c>
      <c r="G19" s="2853"/>
      <c r="H19" s="3723">
        <f>SUMIF(80:80,G20,81:81)-SUMIF(80:80,C20,81:81)+100</f>
        <v>100</v>
      </c>
      <c r="I19" s="2847"/>
      <c r="J19" s="3723">
        <f>SUMIF(80:80,I20,81:81)-SUMIF(80:80,C20,81:81)+100</f>
        <v>100</v>
      </c>
      <c r="K19" s="2859">
        <v>2</v>
      </c>
      <c r="L19" s="1980"/>
      <c r="M19" s="1975"/>
      <c r="N19" s="1975"/>
      <c r="O19" s="1975"/>
      <c r="P19" s="4541"/>
      <c r="Q19" s="1507" t="str">
        <f>B19</f>
        <v>公共配套设施</v>
      </c>
      <c r="R19" s="3735" t="s">
        <v>13</v>
      </c>
      <c r="S19" s="3157">
        <f>F19</f>
        <v>100</v>
      </c>
      <c r="T19" s="3735" t="s">
        <v>13</v>
      </c>
      <c r="U19" s="3157">
        <f>H19</f>
        <v>100</v>
      </c>
      <c r="V19" s="3735" t="s">
        <v>13</v>
      </c>
      <c r="W19" s="3157">
        <f>J19</f>
        <v>100</v>
      </c>
      <c r="X19" s="909"/>
      <c r="Y19" s="4543"/>
      <c r="Z19" s="907" t="str">
        <f>Q19</f>
        <v>公共配套设施</v>
      </c>
      <c r="AA19" s="907">
        <f t="shared" si="3"/>
        <v>1</v>
      </c>
      <c r="AB19" s="907">
        <f t="shared" si="4"/>
        <v>1</v>
      </c>
      <c r="AC19" s="907">
        <f t="shared" si="5"/>
        <v>1</v>
      </c>
    </row>
    <row r="20" spans="1:29" ht="15">
      <c r="A20" s="254"/>
      <c r="B20" s="2798"/>
      <c r="C20" s="2820" t="s">
        <v>3602</v>
      </c>
      <c r="D20" s="2893"/>
      <c r="E20" s="2848" t="s">
        <v>3602</v>
      </c>
      <c r="F20" s="3740"/>
      <c r="G20" s="2854" t="s">
        <v>3602</v>
      </c>
      <c r="H20" s="3722"/>
      <c r="I20" s="2848" t="s">
        <v>3602</v>
      </c>
      <c r="J20" s="3722"/>
      <c r="K20" s="2860"/>
      <c r="L20" s="1980"/>
      <c r="M20" s="1975"/>
      <c r="N20" s="1975"/>
      <c r="O20" s="1975"/>
      <c r="P20" s="4541"/>
      <c r="Q20" s="1507"/>
      <c r="R20" s="3735"/>
      <c r="S20" s="3157"/>
      <c r="T20" s="3735"/>
      <c r="U20" s="3157"/>
      <c r="V20" s="3735"/>
      <c r="W20" s="3157"/>
      <c r="X20" s="909"/>
      <c r="Y20" s="4543"/>
      <c r="Z20" s="907"/>
      <c r="AA20" s="907">
        <v>1</v>
      </c>
      <c r="AB20" s="907">
        <v>1</v>
      </c>
      <c r="AC20" s="907">
        <v>1</v>
      </c>
    </row>
    <row r="21" spans="1:29" ht="15">
      <c r="A21" s="254"/>
      <c r="B21" s="2799" t="s">
        <v>1686</v>
      </c>
      <c r="C21" s="2821">
        <f>估价对象房地状况!C8</f>
        <v>0</v>
      </c>
      <c r="D21" s="2895">
        <v>100</v>
      </c>
      <c r="E21" s="2847"/>
      <c r="F21" s="3742">
        <f>SUMIF(82:82,E22,83:83)-SUMIF(82:82,C22,83:83)+100</f>
        <v>100</v>
      </c>
      <c r="G21" s="2853"/>
      <c r="H21" s="3723">
        <f>SUMIF(82:82,G22,83:83)-SUMIF(82:82,C22,83:83)+100</f>
        <v>100</v>
      </c>
      <c r="I21" s="2847"/>
      <c r="J21" s="3723">
        <f>SUMIF(82:82,I22,83:83)-SUMIF(82:82,C22,83:83)+100</f>
        <v>100</v>
      </c>
      <c r="K21" s="2859">
        <v>2</v>
      </c>
      <c r="L21" s="1980"/>
      <c r="M21" s="1975"/>
      <c r="N21" s="1975"/>
      <c r="O21" s="1975"/>
      <c r="P21" s="4541"/>
      <c r="Q21" s="1507" t="str">
        <f>B21</f>
        <v>基础设施水平</v>
      </c>
      <c r="R21" s="3735" t="s">
        <v>13</v>
      </c>
      <c r="S21" s="3157">
        <f>F21</f>
        <v>100</v>
      </c>
      <c r="T21" s="3735" t="s">
        <v>13</v>
      </c>
      <c r="U21" s="3157">
        <f>H21</f>
        <v>100</v>
      </c>
      <c r="V21" s="3735" t="s">
        <v>13</v>
      </c>
      <c r="W21" s="3157">
        <f>J21</f>
        <v>100</v>
      </c>
      <c r="X21" s="909"/>
      <c r="Y21" s="4543"/>
      <c r="Z21" s="907" t="str">
        <f>Q21</f>
        <v>基础设施水平</v>
      </c>
      <c r="AA21" s="907">
        <f t="shared" ref="AA21" si="8">D21/F21</f>
        <v>1</v>
      </c>
      <c r="AB21" s="907">
        <f t="shared" ref="AB21" si="9">D21/H21</f>
        <v>1</v>
      </c>
      <c r="AC21" s="907">
        <f t="shared" ref="AC21" si="10">D21/J21</f>
        <v>1</v>
      </c>
    </row>
    <row r="22" spans="1:29" ht="15">
      <c r="A22" s="254"/>
      <c r="B22" s="2799"/>
      <c r="C22" s="2822" t="s">
        <v>3603</v>
      </c>
      <c r="D22" s="2893"/>
      <c r="E22" s="2820" t="s">
        <v>3603</v>
      </c>
      <c r="F22" s="3740"/>
      <c r="G22" s="2820" t="s">
        <v>3603</v>
      </c>
      <c r="H22" s="3722"/>
      <c r="I22" s="2820" t="s">
        <v>3603</v>
      </c>
      <c r="J22" s="3722"/>
      <c r="K22" s="2861"/>
      <c r="L22" s="1980"/>
      <c r="M22" s="1975"/>
      <c r="N22" s="1975"/>
      <c r="O22" s="1975"/>
      <c r="P22" s="4541"/>
      <c r="Q22" s="1507"/>
      <c r="R22" s="3735"/>
      <c r="S22" s="3157"/>
      <c r="T22" s="3735"/>
      <c r="U22" s="3157"/>
      <c r="V22" s="3735"/>
      <c r="W22" s="3157"/>
      <c r="X22" s="909"/>
      <c r="Y22" s="4543"/>
      <c r="Z22" s="907"/>
      <c r="AA22" s="907">
        <v>1</v>
      </c>
      <c r="AB22" s="907">
        <v>1</v>
      </c>
      <c r="AC22" s="907">
        <v>1</v>
      </c>
    </row>
    <row r="23" spans="1:29" ht="15">
      <c r="A23" s="254"/>
      <c r="B23" s="2797" t="s">
        <v>1239</v>
      </c>
      <c r="C23" s="2835">
        <f>估价对象房地状况!C9</f>
        <v>0</v>
      </c>
      <c r="D23" s="2894">
        <v>100</v>
      </c>
      <c r="E23" s="2845"/>
      <c r="F23" s="3741">
        <f>SUMIF(84:84,E24,85:85)-SUMIF(84:84,C24,85:85)+100</f>
        <v>100</v>
      </c>
      <c r="G23" s="2851"/>
      <c r="H23" s="3723">
        <f>SUMIF(84:84,G24,85:85)-SUMIF(84:84,C24,85:85)+100</f>
        <v>100</v>
      </c>
      <c r="I23" s="2845"/>
      <c r="J23" s="3723">
        <f>SUMIF(84:84,I24,85:85)-SUMIF(84:84,C24,85:85)+100</f>
        <v>100</v>
      </c>
      <c r="K23" s="2859">
        <v>2</v>
      </c>
      <c r="L23" s="1980"/>
      <c r="M23" s="1975"/>
      <c r="N23" s="1975"/>
      <c r="O23" s="1975"/>
      <c r="P23" s="4541"/>
      <c r="Q23" s="1507" t="str">
        <f>B23</f>
        <v>自然及人文环境</v>
      </c>
      <c r="R23" s="3735" t="s">
        <v>13</v>
      </c>
      <c r="S23" s="3157">
        <f>F23</f>
        <v>100</v>
      </c>
      <c r="T23" s="3735" t="s">
        <v>13</v>
      </c>
      <c r="U23" s="3157">
        <f>H23</f>
        <v>100</v>
      </c>
      <c r="V23" s="3735" t="s">
        <v>13</v>
      </c>
      <c r="W23" s="3157">
        <f>J23</f>
        <v>100</v>
      </c>
      <c r="X23" s="909"/>
      <c r="Y23" s="4543"/>
      <c r="Z23" s="907" t="str">
        <f>Q23</f>
        <v>自然及人文环境</v>
      </c>
      <c r="AA23" s="907">
        <f t="shared" si="3"/>
        <v>1</v>
      </c>
      <c r="AB23" s="907">
        <f t="shared" si="4"/>
        <v>1</v>
      </c>
      <c r="AC23" s="907">
        <f t="shared" si="5"/>
        <v>1</v>
      </c>
    </row>
    <row r="24" spans="1:29" ht="15">
      <c r="A24" s="254"/>
      <c r="B24" s="2798"/>
      <c r="C24" s="2820" t="s">
        <v>3602</v>
      </c>
      <c r="D24" s="2893"/>
      <c r="E24" s="2848" t="s">
        <v>3602</v>
      </c>
      <c r="F24" s="3740"/>
      <c r="G24" s="2854" t="s">
        <v>3602</v>
      </c>
      <c r="H24" s="3722"/>
      <c r="I24" s="2848" t="s">
        <v>3602</v>
      </c>
      <c r="J24" s="3722"/>
      <c r="K24" s="2860"/>
      <c r="L24" s="1980"/>
      <c r="M24" s="1975"/>
      <c r="N24" s="1975"/>
      <c r="O24" s="1975"/>
      <c r="P24" s="4541"/>
      <c r="Q24" s="1507"/>
      <c r="R24" s="3735"/>
      <c r="S24" s="3157"/>
      <c r="T24" s="3735"/>
      <c r="U24" s="3157"/>
      <c r="V24" s="3735"/>
      <c r="W24" s="3157"/>
      <c r="X24" s="909"/>
      <c r="Y24" s="4543"/>
      <c r="Z24" s="907"/>
      <c r="AA24" s="907">
        <v>1</v>
      </c>
      <c r="AB24" s="907">
        <v>1</v>
      </c>
      <c r="AC24" s="907">
        <v>1</v>
      </c>
    </row>
    <row r="25" spans="1:29" ht="15">
      <c r="A25" s="254"/>
      <c r="B25" s="2789" t="s">
        <v>1687</v>
      </c>
      <c r="C25" s="2836"/>
      <c r="D25" s="2890">
        <v>100</v>
      </c>
      <c r="E25" s="2836"/>
      <c r="F25" s="3728">
        <f>SUMIF(86:86,E25,87:87)-SUMIF(86:86,C25,87:87)+100</f>
        <v>100</v>
      </c>
      <c r="G25" s="2836"/>
      <c r="H25" s="3725">
        <f>SUMIF(86:86,G25,87:87)-SUMIF(86:86,C25,87:87)+100</f>
        <v>100</v>
      </c>
      <c r="I25" s="2836"/>
      <c r="J25" s="3725">
        <f>SUMIF(86:86,I25,87:87)-SUMIF(86:86,C25,87:87)+100</f>
        <v>100</v>
      </c>
      <c r="K25" s="2857"/>
      <c r="L25" s="1980"/>
      <c r="M25" s="1975"/>
      <c r="N25" s="1975"/>
      <c r="O25" s="1975"/>
      <c r="P25" s="4541"/>
      <c r="Q25" s="1507" t="str">
        <f t="shared" ref="Q25:Q46" si="11">B25</f>
        <v>临街状况</v>
      </c>
      <c r="R25" s="3735" t="s">
        <v>13</v>
      </c>
      <c r="S25" s="3157">
        <f>F25</f>
        <v>100</v>
      </c>
      <c r="T25" s="3735" t="s">
        <v>13</v>
      </c>
      <c r="U25" s="3157">
        <f>H25</f>
        <v>100</v>
      </c>
      <c r="V25" s="3735" t="s">
        <v>13</v>
      </c>
      <c r="W25" s="3157">
        <f>J25</f>
        <v>100</v>
      </c>
      <c r="X25" s="909"/>
      <c r="Y25" s="4543"/>
      <c r="Z25" s="907" t="str">
        <f>Q25</f>
        <v>临街状况</v>
      </c>
      <c r="AA25" s="907">
        <f t="shared" si="3"/>
        <v>1</v>
      </c>
      <c r="AB25" s="907">
        <f t="shared" si="4"/>
        <v>1</v>
      </c>
      <c r="AC25" s="907">
        <f t="shared" si="5"/>
        <v>1</v>
      </c>
    </row>
    <row r="26" spans="1:29" ht="15">
      <c r="A26" s="254"/>
      <c r="B26" s="2800" t="s">
        <v>1688</v>
      </c>
      <c r="C26" s="2817"/>
      <c r="D26" s="2890">
        <v>100</v>
      </c>
      <c r="E26" s="2817"/>
      <c r="F26" s="3728">
        <f>SUMIF(88:88,E26,89:89)-SUMIF(88:88,C26,89:89)+100</f>
        <v>100</v>
      </c>
      <c r="G26" s="2817"/>
      <c r="H26" s="3725">
        <f>SUMIF(88:88,G26,89:89)-SUMIF(88:88,C26,89:89)+100</f>
        <v>100</v>
      </c>
      <c r="I26" s="2817"/>
      <c r="J26" s="3725">
        <f>SUMIF(88:88,I26,89:89)-SUMIF(88:88,C26,89:89)+100</f>
        <v>100</v>
      </c>
      <c r="K26" s="2858"/>
      <c r="L26" s="1980"/>
      <c r="M26" s="1975"/>
      <c r="N26" s="1975"/>
      <c r="O26" s="1975"/>
      <c r="P26" s="4541"/>
      <c r="Q26" s="1507" t="str">
        <f t="shared" si="11"/>
        <v>平面位置/可视性</v>
      </c>
      <c r="R26" s="3735" t="s">
        <v>13</v>
      </c>
      <c r="S26" s="3157">
        <f>F26</f>
        <v>100</v>
      </c>
      <c r="T26" s="3735" t="s">
        <v>13</v>
      </c>
      <c r="U26" s="3157">
        <f>H26</f>
        <v>100</v>
      </c>
      <c r="V26" s="3735" t="s">
        <v>13</v>
      </c>
      <c r="W26" s="3157">
        <f>J26</f>
        <v>100</v>
      </c>
      <c r="X26" s="909"/>
      <c r="Y26" s="4543"/>
      <c r="Z26" s="907" t="str">
        <f>Q26</f>
        <v>平面位置/可视性</v>
      </c>
      <c r="AA26" s="907">
        <f t="shared" si="3"/>
        <v>1</v>
      </c>
      <c r="AB26" s="907">
        <f t="shared" si="4"/>
        <v>1</v>
      </c>
      <c r="AC26" s="907">
        <f t="shared" si="5"/>
        <v>1</v>
      </c>
    </row>
    <row r="27" spans="1:29" s="46" customFormat="1" ht="15">
      <c r="A27" s="257"/>
      <c r="B27" s="2797" t="s">
        <v>1689</v>
      </c>
      <c r="C27" s="2837" t="s">
        <v>4097</v>
      </c>
      <c r="D27" s="2896">
        <v>100</v>
      </c>
      <c r="E27" s="2837" t="s">
        <v>4097</v>
      </c>
      <c r="F27" s="3743">
        <f>SUMIF(90:90,E27,91:91)-SUMIF(90:90,C27,91:91)+100</f>
        <v>100</v>
      </c>
      <c r="G27" s="2837" t="s">
        <v>4097</v>
      </c>
      <c r="H27" s="3726">
        <f>SUMIF(90:90,G27,91:91)-SUMIF(90:90,C27,91:91)+100</f>
        <v>100</v>
      </c>
      <c r="I27" s="2837" t="s">
        <v>3601</v>
      </c>
      <c r="J27" s="3726">
        <f>SUMIF(90:90,I27,91:91)-SUMIF(90:90,C27,91:91)+100</f>
        <v>98</v>
      </c>
      <c r="K27" s="2857">
        <v>2</v>
      </c>
      <c r="L27" s="1976"/>
      <c r="M27" s="1929"/>
      <c r="N27" s="1929"/>
      <c r="O27" s="1929"/>
      <c r="P27" s="4541"/>
      <c r="Q27" s="1698" t="str">
        <f t="shared" si="11"/>
        <v>人流量</v>
      </c>
      <c r="R27" s="3633" t="s">
        <v>13</v>
      </c>
      <c r="S27" s="3156">
        <f>F27</f>
        <v>100</v>
      </c>
      <c r="T27" s="3633" t="s">
        <v>13</v>
      </c>
      <c r="U27" s="3156">
        <f>H27</f>
        <v>100</v>
      </c>
      <c r="V27" s="3633" t="s">
        <v>13</v>
      </c>
      <c r="W27" s="3156">
        <f>J27</f>
        <v>98</v>
      </c>
      <c r="X27" s="482"/>
      <c r="Y27" s="4543"/>
      <c r="Z27" s="28" t="str">
        <f>Q27</f>
        <v>人流量</v>
      </c>
      <c r="AA27" s="907">
        <f>D27/F27</f>
        <v>1</v>
      </c>
      <c r="AB27" s="907">
        <f>D27/H27</f>
        <v>1</v>
      </c>
      <c r="AC27" s="907">
        <f>D27/J27</f>
        <v>1.0204081632653061</v>
      </c>
    </row>
    <row r="28" spans="1:29" ht="15">
      <c r="A28" s="254"/>
      <c r="B28" s="2789" t="s">
        <v>1690</v>
      </c>
      <c r="C28" s="2836" t="s">
        <v>4131</v>
      </c>
      <c r="D28" s="2890">
        <v>100</v>
      </c>
      <c r="E28" s="2836" t="s">
        <v>4131</v>
      </c>
      <c r="F28" s="3728">
        <f>SUMIF(92:92,E28,93:93)-SUMIF(92:92,C28,93:93)+100</f>
        <v>100</v>
      </c>
      <c r="G28" s="2836" t="s">
        <v>4131</v>
      </c>
      <c r="H28" s="3725">
        <f>SUMIF(92:92,G28,93:93)-SUMIF(92:92,C28,93:93)+100</f>
        <v>100</v>
      </c>
      <c r="I28" s="2836" t="s">
        <v>4131</v>
      </c>
      <c r="J28" s="3725">
        <f>SUMIF(92:92,I28,93:93)-SUMIF(92:92,C28,93:93)+100</f>
        <v>100</v>
      </c>
      <c r="K28" s="2858"/>
      <c r="L28" s="1980"/>
      <c r="M28" s="1975"/>
      <c r="N28" s="1975"/>
      <c r="O28" s="1975"/>
      <c r="P28" s="4541"/>
      <c r="Q28" s="1507" t="str">
        <f t="shared" si="11"/>
        <v>楼层</v>
      </c>
      <c r="R28" s="3735" t="s">
        <v>13</v>
      </c>
      <c r="S28" s="3157">
        <f t="shared" ref="S28:S46" si="12">F28</f>
        <v>100</v>
      </c>
      <c r="T28" s="3735" t="s">
        <v>13</v>
      </c>
      <c r="U28" s="3157">
        <f t="shared" ref="U28:U46" si="13">H28</f>
        <v>100</v>
      </c>
      <c r="V28" s="3735" t="s">
        <v>13</v>
      </c>
      <c r="W28" s="3157">
        <f t="shared" ref="W28:W46" si="14">J28</f>
        <v>100</v>
      </c>
      <c r="X28" s="909"/>
      <c r="Y28" s="4543"/>
      <c r="Z28" s="907" t="str">
        <f t="shared" ref="Z28:Z46" si="15">Q28</f>
        <v>楼层</v>
      </c>
      <c r="AA28" s="907">
        <f t="shared" si="3"/>
        <v>1</v>
      </c>
      <c r="AB28" s="907">
        <f t="shared" si="4"/>
        <v>1</v>
      </c>
      <c r="AC28" s="907">
        <f t="shared" si="5"/>
        <v>1</v>
      </c>
    </row>
    <row r="29" spans="1:29" ht="15">
      <c r="A29" s="254"/>
      <c r="B29" s="2800">
        <v>111</v>
      </c>
      <c r="C29" s="2817"/>
      <c r="D29" s="2890">
        <v>100</v>
      </c>
      <c r="E29" s="2817"/>
      <c r="F29" s="3728">
        <f>SUMIF(94:94,E29,95:95)-SUMIF(94:94,C29,95:95)+100</f>
        <v>100</v>
      </c>
      <c r="G29" s="2817"/>
      <c r="H29" s="3725">
        <f>SUMIF(94:94,G29,95:95)-SUMIF(94:94,C29,95:95)+100</f>
        <v>100</v>
      </c>
      <c r="I29" s="2817"/>
      <c r="J29" s="3725">
        <f>SUMIF(94:94,I29,95:95)-SUMIF(94:94,C29,95:95)+100</f>
        <v>100</v>
      </c>
      <c r="K29" s="2858"/>
      <c r="L29" s="1980"/>
      <c r="M29" s="1975"/>
      <c r="N29" s="1975"/>
      <c r="O29" s="1975"/>
      <c r="P29" s="4541"/>
      <c r="Q29" s="1507">
        <f t="shared" si="11"/>
        <v>111</v>
      </c>
      <c r="R29" s="3735" t="s">
        <v>13</v>
      </c>
      <c r="S29" s="3157">
        <f t="shared" si="12"/>
        <v>100</v>
      </c>
      <c r="T29" s="3735" t="s">
        <v>13</v>
      </c>
      <c r="U29" s="3157">
        <f t="shared" si="13"/>
        <v>100</v>
      </c>
      <c r="V29" s="3735" t="s">
        <v>13</v>
      </c>
      <c r="W29" s="3157">
        <f t="shared" si="14"/>
        <v>100</v>
      </c>
      <c r="X29" s="909"/>
      <c r="Y29" s="4543"/>
      <c r="Z29" s="907">
        <f t="shared" si="15"/>
        <v>111</v>
      </c>
      <c r="AA29" s="907">
        <f t="shared" si="3"/>
        <v>1</v>
      </c>
      <c r="AB29" s="907">
        <f t="shared" si="4"/>
        <v>1</v>
      </c>
      <c r="AC29" s="907">
        <f t="shared" si="5"/>
        <v>1</v>
      </c>
    </row>
    <row r="30" spans="1:29" ht="15">
      <c r="A30" s="254"/>
      <c r="B30" s="2800">
        <v>111</v>
      </c>
      <c r="C30" s="2817"/>
      <c r="D30" s="2890">
        <v>100</v>
      </c>
      <c r="E30" s="2817"/>
      <c r="F30" s="3728">
        <f>SUMIF(96:96,E30,97:97)-SUMIF(96:96,C30,97:97)+100</f>
        <v>100</v>
      </c>
      <c r="G30" s="2817"/>
      <c r="H30" s="3725">
        <f>SUMIF(96:96,G30,97:97)-SUMIF(96:96,C30,97:97)+100</f>
        <v>100</v>
      </c>
      <c r="I30" s="2817"/>
      <c r="J30" s="3725">
        <f>SUMIF(96:96,I30,97:97)-SUMIF(96:96,C30,97:97)+100</f>
        <v>100</v>
      </c>
      <c r="K30" s="2858"/>
      <c r="L30" s="1980"/>
      <c r="M30" s="1975"/>
      <c r="N30" s="1975"/>
      <c r="O30" s="1975"/>
      <c r="P30" s="4541"/>
      <c r="Q30" s="1507">
        <f t="shared" si="11"/>
        <v>111</v>
      </c>
      <c r="R30" s="3735" t="s">
        <v>13</v>
      </c>
      <c r="S30" s="3157">
        <f t="shared" si="12"/>
        <v>100</v>
      </c>
      <c r="T30" s="3735" t="s">
        <v>13</v>
      </c>
      <c r="U30" s="3157">
        <f t="shared" si="13"/>
        <v>100</v>
      </c>
      <c r="V30" s="3735" t="s">
        <v>13</v>
      </c>
      <c r="W30" s="3157">
        <f t="shared" si="14"/>
        <v>100</v>
      </c>
      <c r="X30" s="909"/>
      <c r="Y30" s="4543"/>
      <c r="Z30" s="907">
        <f t="shared" si="15"/>
        <v>111</v>
      </c>
      <c r="AA30" s="907">
        <f t="shared" si="3"/>
        <v>1</v>
      </c>
      <c r="AB30" s="907">
        <f t="shared" si="4"/>
        <v>1</v>
      </c>
      <c r="AC30" s="907">
        <f t="shared" si="5"/>
        <v>1</v>
      </c>
    </row>
    <row r="31" spans="1:29" ht="15.75" thickBot="1">
      <c r="A31" s="260"/>
      <c r="B31" s="2800">
        <v>111</v>
      </c>
      <c r="C31" s="2818"/>
      <c r="D31" s="2891">
        <v>100</v>
      </c>
      <c r="E31" s="2817"/>
      <c r="F31" s="3720">
        <f>SUMIF(98:98,E31,99:99)-SUMIF(98:98,C31,99:99)+100</f>
        <v>100</v>
      </c>
      <c r="G31" s="2817"/>
      <c r="H31" s="3727">
        <f>SUMIF(98:98,G31,99:99)-SUMIF(98:98,C31,99:99)+100</f>
        <v>100</v>
      </c>
      <c r="I31" s="2817"/>
      <c r="J31" s="3727">
        <f>SUMIF(98:98,I31,99:99)-SUMIF(98:98,C31,99:99)+100</f>
        <v>100</v>
      </c>
      <c r="K31" s="2858"/>
      <c r="L31" s="1980"/>
      <c r="M31" s="1975"/>
      <c r="N31" s="1975"/>
      <c r="O31" s="1975"/>
      <c r="P31" s="4541"/>
      <c r="Q31" s="1507">
        <f t="shared" si="11"/>
        <v>111</v>
      </c>
      <c r="R31" s="3735" t="s">
        <v>13</v>
      </c>
      <c r="S31" s="3157">
        <f t="shared" si="12"/>
        <v>100</v>
      </c>
      <c r="T31" s="3735" t="s">
        <v>13</v>
      </c>
      <c r="U31" s="3157">
        <f t="shared" si="13"/>
        <v>100</v>
      </c>
      <c r="V31" s="3735" t="s">
        <v>13</v>
      </c>
      <c r="W31" s="3157">
        <f t="shared" si="14"/>
        <v>100</v>
      </c>
      <c r="X31" s="909"/>
      <c r="Y31" s="4543"/>
      <c r="Z31" s="907">
        <f t="shared" si="15"/>
        <v>111</v>
      </c>
      <c r="AA31" s="907">
        <f t="shared" si="3"/>
        <v>1</v>
      </c>
      <c r="AB31" s="907">
        <f t="shared" si="4"/>
        <v>1</v>
      </c>
      <c r="AC31" s="907">
        <f t="shared" si="5"/>
        <v>1</v>
      </c>
    </row>
    <row r="32" spans="1:29" ht="15">
      <c r="A32" s="262" t="s">
        <v>1601</v>
      </c>
      <c r="B32" s="2792" t="s">
        <v>1691</v>
      </c>
      <c r="C32" s="2824" t="s">
        <v>4106</v>
      </c>
      <c r="D32" s="2897">
        <v>100</v>
      </c>
      <c r="E32" s="2824" t="s">
        <v>4106</v>
      </c>
      <c r="F32" s="3728">
        <f>SUMIF(100:100,E32,101:101)-SUMIF(100:100,C32,101:101)+100</f>
        <v>100</v>
      </c>
      <c r="G32" s="2824" t="s">
        <v>4106</v>
      </c>
      <c r="H32" s="3725">
        <f>SUMIF(100:100,G32,101:101)-SUMIF(100:100,C32,101:101)+100</f>
        <v>100</v>
      </c>
      <c r="I32" s="2824" t="s">
        <v>4106</v>
      </c>
      <c r="J32" s="3732">
        <f>SUMIF(100:100,I32,101:101)-SUMIF(100:100,C32,101:101)+100</f>
        <v>100</v>
      </c>
      <c r="K32" s="2857">
        <v>5</v>
      </c>
      <c r="L32" s="1980"/>
      <c r="M32" s="1975"/>
      <c r="N32" s="1975"/>
      <c r="O32" s="1975"/>
      <c r="P32" s="4544" t="s">
        <v>1603</v>
      </c>
      <c r="Q32" s="1507" t="str">
        <f t="shared" si="11"/>
        <v>商业类型</v>
      </c>
      <c r="R32" s="3735" t="s">
        <v>13</v>
      </c>
      <c r="S32" s="3157">
        <f t="shared" si="12"/>
        <v>100</v>
      </c>
      <c r="T32" s="3735" t="s">
        <v>13</v>
      </c>
      <c r="U32" s="3157">
        <f t="shared" si="13"/>
        <v>100</v>
      </c>
      <c r="V32" s="3735" t="s">
        <v>13</v>
      </c>
      <c r="W32" s="3157">
        <f t="shared" si="14"/>
        <v>100</v>
      </c>
      <c r="X32" s="909"/>
      <c r="Y32" s="4547" t="s">
        <v>1603</v>
      </c>
      <c r="Z32" s="907" t="str">
        <f t="shared" si="15"/>
        <v>商业类型</v>
      </c>
      <c r="AA32" s="907">
        <f t="shared" si="3"/>
        <v>1</v>
      </c>
      <c r="AB32" s="907">
        <f t="shared" si="4"/>
        <v>1</v>
      </c>
      <c r="AC32" s="907">
        <f t="shared" si="5"/>
        <v>1</v>
      </c>
    </row>
    <row r="33" spans="1:29" s="279" customFormat="1" ht="15">
      <c r="A33" s="277"/>
      <c r="B33" s="2789" t="s">
        <v>1604</v>
      </c>
      <c r="C33" s="2825">
        <f>'数据-汇总表'!E3</f>
        <v>138.79</v>
      </c>
      <c r="D33" s="2888">
        <v>100</v>
      </c>
      <c r="E33" s="2843">
        <v>510.31</v>
      </c>
      <c r="F33" s="3719">
        <f>LOOKUP(E33,103:103,104:104)-LOOKUP(C33,103:103,104:104)+100</f>
        <v>97</v>
      </c>
      <c r="G33" s="2815">
        <v>155.77000000000001</v>
      </c>
      <c r="H33" s="3731">
        <f>LOOKUP(G33,103:103,104:104)-LOOKUP(C33,103:103,104:104)+100</f>
        <v>100</v>
      </c>
      <c r="I33" s="2815">
        <v>255.29</v>
      </c>
      <c r="J33" s="3731">
        <f>LOOKUP(I33,103:103,104:104)-LOOKUP(C33,103:103,104:104)+100</f>
        <v>99</v>
      </c>
      <c r="K33" s="2858"/>
      <c r="L33" s="1979"/>
      <c r="M33" s="1981"/>
      <c r="N33" s="1981"/>
      <c r="O33" s="1981"/>
      <c r="P33" s="4545"/>
      <c r="Q33" s="2864" t="str">
        <f t="shared" si="11"/>
        <v>项目建筑规模</v>
      </c>
      <c r="R33" s="3736" t="s">
        <v>13</v>
      </c>
      <c r="S33" s="3158">
        <f t="shared" si="12"/>
        <v>97</v>
      </c>
      <c r="T33" s="3736" t="s">
        <v>13</v>
      </c>
      <c r="U33" s="3158">
        <f t="shared" si="13"/>
        <v>100</v>
      </c>
      <c r="V33" s="3736" t="s">
        <v>13</v>
      </c>
      <c r="W33" s="3158">
        <f t="shared" si="14"/>
        <v>99</v>
      </c>
      <c r="X33" s="484"/>
      <c r="Y33" s="4547"/>
      <c r="Z33" s="485" t="str">
        <f t="shared" si="15"/>
        <v>项目建筑规模</v>
      </c>
      <c r="AA33" s="907">
        <f t="shared" si="3"/>
        <v>1.0309278350515463</v>
      </c>
      <c r="AB33" s="907">
        <f t="shared" si="4"/>
        <v>1</v>
      </c>
      <c r="AC33" s="907">
        <f t="shared" si="5"/>
        <v>1.0101010101010102</v>
      </c>
    </row>
    <row r="34" spans="1:29" ht="15">
      <c r="A34" s="280"/>
      <c r="B34" s="2789" t="s">
        <v>1605</v>
      </c>
      <c r="C34" s="2823" t="s">
        <v>4107</v>
      </c>
      <c r="D34" s="2890">
        <v>100</v>
      </c>
      <c r="E34" s="2823" t="s">
        <v>4107</v>
      </c>
      <c r="F34" s="3728">
        <f>SUMIF(105:105,E34,106:106)-SUMIF(105:105,C34,106:106)+100</f>
        <v>100</v>
      </c>
      <c r="G34" s="2823" t="s">
        <v>4107</v>
      </c>
      <c r="H34" s="3725">
        <f>SUMIF(105:105,G34,106:106)-SUMIF(105:105,C34,106:106)+100</f>
        <v>100</v>
      </c>
      <c r="I34" s="2823" t="s">
        <v>4107</v>
      </c>
      <c r="J34" s="3725">
        <f>SUMIF(105:105,I34,106:106)-SUMIF(105:105,C34,106:106)+100</f>
        <v>100</v>
      </c>
      <c r="K34" s="2857">
        <v>1</v>
      </c>
      <c r="L34" s="1980"/>
      <c r="M34" s="1975"/>
      <c r="N34" s="1975"/>
      <c r="O34" s="1975"/>
      <c r="P34" s="4545"/>
      <c r="Q34" s="1507" t="str">
        <f t="shared" si="11"/>
        <v>建筑结构</v>
      </c>
      <c r="R34" s="3735" t="s">
        <v>13</v>
      </c>
      <c r="S34" s="3157">
        <f t="shared" si="12"/>
        <v>100</v>
      </c>
      <c r="T34" s="3735" t="s">
        <v>13</v>
      </c>
      <c r="U34" s="3157">
        <f t="shared" si="13"/>
        <v>100</v>
      </c>
      <c r="V34" s="3735" t="s">
        <v>13</v>
      </c>
      <c r="W34" s="3157">
        <f t="shared" si="14"/>
        <v>100</v>
      </c>
      <c r="X34" s="909"/>
      <c r="Y34" s="4547"/>
      <c r="Z34" s="907" t="str">
        <f t="shared" si="15"/>
        <v>建筑结构</v>
      </c>
      <c r="AA34" s="907">
        <f t="shared" si="3"/>
        <v>1</v>
      </c>
      <c r="AB34" s="907">
        <f t="shared" si="4"/>
        <v>1</v>
      </c>
      <c r="AC34" s="907">
        <f t="shared" si="5"/>
        <v>1</v>
      </c>
    </row>
    <row r="35" spans="1:29" ht="15">
      <c r="A35" s="280"/>
      <c r="B35" s="2789" t="s">
        <v>1692</v>
      </c>
      <c r="C35" s="2826" t="s">
        <v>4109</v>
      </c>
      <c r="D35" s="2890">
        <v>100</v>
      </c>
      <c r="E35" s="2826" t="s">
        <v>4109</v>
      </c>
      <c r="F35" s="3728">
        <f>SUMIF(107:107,E35,108:108)-SUMIF(107:107,C35,108:108)+100</f>
        <v>100</v>
      </c>
      <c r="G35" s="2826" t="s">
        <v>4109</v>
      </c>
      <c r="H35" s="3725">
        <f>SUMIF(107:107,G35,108:108)-SUMIF(107:107,C35,108:108)+100</f>
        <v>100</v>
      </c>
      <c r="I35" s="2826" t="s">
        <v>4109</v>
      </c>
      <c r="J35" s="3725">
        <f>SUMIF(107:107,I35,108:108)-SUMIF(107:107,C35,108:108)+100</f>
        <v>100</v>
      </c>
      <c r="K35" s="2857">
        <v>1</v>
      </c>
      <c r="L35" s="1980"/>
      <c r="M35" s="1975"/>
      <c r="N35" s="1975"/>
      <c r="O35" s="1975"/>
      <c r="P35" s="4545"/>
      <c r="Q35" s="1507" t="str">
        <f t="shared" si="11"/>
        <v>公共部分装修</v>
      </c>
      <c r="R35" s="3735" t="s">
        <v>13</v>
      </c>
      <c r="S35" s="3157">
        <f t="shared" si="12"/>
        <v>100</v>
      </c>
      <c r="T35" s="3735" t="s">
        <v>13</v>
      </c>
      <c r="U35" s="3157">
        <f t="shared" si="13"/>
        <v>100</v>
      </c>
      <c r="V35" s="3735" t="s">
        <v>13</v>
      </c>
      <c r="W35" s="3157">
        <f t="shared" si="14"/>
        <v>100</v>
      </c>
      <c r="X35" s="909"/>
      <c r="Y35" s="4547"/>
      <c r="Z35" s="907" t="str">
        <f t="shared" si="15"/>
        <v>公共部分装修</v>
      </c>
      <c r="AA35" s="907">
        <f t="shared" si="3"/>
        <v>1</v>
      </c>
      <c r="AB35" s="907">
        <f t="shared" si="4"/>
        <v>1</v>
      </c>
      <c r="AC35" s="907">
        <f t="shared" si="5"/>
        <v>1</v>
      </c>
    </row>
    <row r="36" spans="1:29" ht="15">
      <c r="A36" s="280"/>
      <c r="B36" s="2789" t="s">
        <v>1693</v>
      </c>
      <c r="C36" s="2827">
        <f>'数据-取费表'!N6</f>
        <v>0.83</v>
      </c>
      <c r="D36" s="2890">
        <v>100</v>
      </c>
      <c r="E36" s="2827">
        <f>ROUND(((1-(1-0%)*(2026-E44)/60)+0.8)/2,2)</f>
        <v>0.73</v>
      </c>
      <c r="F36" s="3728">
        <f>LOOKUP(E36,110:110,111:111)-LOOKUP(C36,110:110,111:111)+100</f>
        <v>98</v>
      </c>
      <c r="G36" s="2827">
        <f>ROUND(((1-(1-0%)*(2026-G44)/60)+0.8)/2,2)</f>
        <v>0.75</v>
      </c>
      <c r="H36" s="3728">
        <f>LOOKUP(G36,110:110,111:111)-LOOKUP(C36,110:110,111:111)+100</f>
        <v>99</v>
      </c>
      <c r="I36" s="2827">
        <f>ROUND(((1-(1-0%)*(2026-I44)/60)+0.8)/2,2)</f>
        <v>0.82</v>
      </c>
      <c r="J36" s="3725">
        <f>LOOKUP(I36,110:110,111:111)-LOOKUP(C36,110:110,111:111)+100</f>
        <v>100</v>
      </c>
      <c r="K36" s="2857">
        <v>1</v>
      </c>
      <c r="L36" s="1980"/>
      <c r="M36" s="1975"/>
      <c r="N36" s="1975"/>
      <c r="O36" s="1975"/>
      <c r="P36" s="4545"/>
      <c r="Q36" s="1507" t="str">
        <f t="shared" si="11"/>
        <v>成新度</v>
      </c>
      <c r="R36" s="3735" t="s">
        <v>13</v>
      </c>
      <c r="S36" s="3157">
        <f t="shared" si="12"/>
        <v>98</v>
      </c>
      <c r="T36" s="3735" t="s">
        <v>13</v>
      </c>
      <c r="U36" s="3157">
        <f t="shared" si="13"/>
        <v>99</v>
      </c>
      <c r="V36" s="3735" t="s">
        <v>13</v>
      </c>
      <c r="W36" s="3157">
        <f t="shared" si="14"/>
        <v>100</v>
      </c>
      <c r="X36" s="909"/>
      <c r="Y36" s="4547"/>
      <c r="Z36" s="907" t="str">
        <f t="shared" si="15"/>
        <v>成新度</v>
      </c>
      <c r="AA36" s="907">
        <f t="shared" si="3"/>
        <v>1.0204081632653061</v>
      </c>
      <c r="AB36" s="907">
        <f t="shared" si="4"/>
        <v>1.0101010101010102</v>
      </c>
      <c r="AC36" s="907">
        <f t="shared" si="5"/>
        <v>1</v>
      </c>
    </row>
    <row r="37" spans="1:29" s="46" customFormat="1" ht="15">
      <c r="A37" s="281"/>
      <c r="B37" s="2789" t="s">
        <v>1694</v>
      </c>
      <c r="C37" s="2826" t="s">
        <v>3604</v>
      </c>
      <c r="D37" s="2888">
        <v>100</v>
      </c>
      <c r="E37" s="2826" t="s">
        <v>3605</v>
      </c>
      <c r="F37" s="3728">
        <f>SUMIF(112:112,E37,113:113)-SUMIF(112:112,C37,113:113)+100</f>
        <v>99</v>
      </c>
      <c r="G37" s="2826" t="s">
        <v>3605</v>
      </c>
      <c r="H37" s="3725">
        <f>SUMIF(112:112,G37,113:113)-SUMIF(112:112,C37,113:113)+100</f>
        <v>99</v>
      </c>
      <c r="I37" s="2826" t="s">
        <v>3604</v>
      </c>
      <c r="J37" s="3725">
        <f>SUMIF(112:112,I37,113:113)-SUMIF(112:112,C37,113:113)+100</f>
        <v>100</v>
      </c>
      <c r="K37" s="2857">
        <v>1</v>
      </c>
      <c r="L37" s="1976"/>
      <c r="M37" s="1929"/>
      <c r="N37" s="1929"/>
      <c r="O37" s="1929"/>
      <c r="P37" s="4545"/>
      <c r="Q37" s="1698" t="str">
        <f t="shared" si="11"/>
        <v>市政基础设施</v>
      </c>
      <c r="R37" s="3633" t="s">
        <v>13</v>
      </c>
      <c r="S37" s="3156">
        <f t="shared" si="12"/>
        <v>99</v>
      </c>
      <c r="T37" s="3633" t="s">
        <v>13</v>
      </c>
      <c r="U37" s="3156">
        <f t="shared" si="13"/>
        <v>99</v>
      </c>
      <c r="V37" s="3633" t="s">
        <v>13</v>
      </c>
      <c r="W37" s="3156">
        <f t="shared" si="14"/>
        <v>100</v>
      </c>
      <c r="X37" s="482"/>
      <c r="Y37" s="4547"/>
      <c r="Z37" s="28" t="str">
        <f t="shared" si="15"/>
        <v>市政基础设施</v>
      </c>
      <c r="AA37" s="28">
        <f t="shared" si="3"/>
        <v>1.0101010101010102</v>
      </c>
      <c r="AB37" s="28">
        <f t="shared" si="4"/>
        <v>1.0101010101010102</v>
      </c>
      <c r="AC37" s="28">
        <f t="shared" si="5"/>
        <v>1</v>
      </c>
    </row>
    <row r="38" spans="1:29" ht="15">
      <c r="A38" s="280"/>
      <c r="B38" s="2789" t="s">
        <v>1695</v>
      </c>
      <c r="C38" s="2826" t="s">
        <v>4111</v>
      </c>
      <c r="D38" s="2890">
        <v>100</v>
      </c>
      <c r="E38" s="2826" t="s">
        <v>4112</v>
      </c>
      <c r="F38" s="3728">
        <f>SUMIF(114:114,E38,115:115)-SUMIF(114:114,C38,115:115)+100</f>
        <v>98</v>
      </c>
      <c r="G38" s="2826" t="s">
        <v>4112</v>
      </c>
      <c r="H38" s="3725">
        <f>SUMIF(114:114,G38,115:115)-SUMIF(114:114,C38,115:115)+100</f>
        <v>98</v>
      </c>
      <c r="I38" s="2826" t="s">
        <v>4111</v>
      </c>
      <c r="J38" s="3725">
        <f>SUMIF(114:114,I38,115:115)-SUMIF(114:114,C38,115:115)+100</f>
        <v>100</v>
      </c>
      <c r="K38" s="2857">
        <v>2</v>
      </c>
      <c r="L38" s="1980"/>
      <c r="M38" s="1975"/>
      <c r="N38" s="1975"/>
      <c r="O38" s="1975"/>
      <c r="P38" s="4545" t="s">
        <v>1603</v>
      </c>
      <c r="Q38" s="1507" t="str">
        <f t="shared" si="11"/>
        <v>业态</v>
      </c>
      <c r="R38" s="3735" t="s">
        <v>13</v>
      </c>
      <c r="S38" s="3157">
        <f t="shared" si="12"/>
        <v>98</v>
      </c>
      <c r="T38" s="3735" t="s">
        <v>13</v>
      </c>
      <c r="U38" s="3157">
        <f t="shared" si="13"/>
        <v>98</v>
      </c>
      <c r="V38" s="3735" t="s">
        <v>13</v>
      </c>
      <c r="W38" s="3157">
        <f t="shared" si="14"/>
        <v>100</v>
      </c>
      <c r="X38" s="909"/>
      <c r="Y38" s="4547" t="s">
        <v>1603</v>
      </c>
      <c r="Z38" s="907" t="str">
        <f t="shared" si="15"/>
        <v>业态</v>
      </c>
      <c r="AA38" s="907">
        <f t="shared" si="3"/>
        <v>1.0204081632653061</v>
      </c>
      <c r="AB38" s="907">
        <f t="shared" si="4"/>
        <v>1.0204081632653061</v>
      </c>
      <c r="AC38" s="907">
        <f t="shared" si="5"/>
        <v>1</v>
      </c>
    </row>
    <row r="39" spans="1:29" ht="15">
      <c r="A39" s="280"/>
      <c r="B39" s="2789" t="s">
        <v>1696</v>
      </c>
      <c r="C39" s="2826" t="s">
        <v>4132</v>
      </c>
      <c r="D39" s="2890">
        <v>100</v>
      </c>
      <c r="E39" s="2826" t="s">
        <v>4132</v>
      </c>
      <c r="F39" s="3728">
        <f>SUMIF(116:116,E39,117:117)-SUMIF(116:116,C39,117:117)+100</f>
        <v>100</v>
      </c>
      <c r="G39" s="2826" t="s">
        <v>4132</v>
      </c>
      <c r="H39" s="3725">
        <f>SUMIF(116:116,G39,117:117)-SUMIF(116:116,C39,117:117)+100</f>
        <v>100</v>
      </c>
      <c r="I39" s="2826" t="s">
        <v>4132</v>
      </c>
      <c r="J39" s="3725">
        <f>SUMIF(116:116,I39,117:117)-SUMIF(116:116,C39,117:117)+100</f>
        <v>100</v>
      </c>
      <c r="K39" s="2857">
        <v>1</v>
      </c>
      <c r="L39" s="1980"/>
      <c r="M39" s="1975"/>
      <c r="N39" s="1975"/>
      <c r="O39" s="1975"/>
      <c r="P39" s="4545"/>
      <c r="Q39" s="1507" t="str">
        <f t="shared" si="11"/>
        <v>层高</v>
      </c>
      <c r="R39" s="3735" t="s">
        <v>13</v>
      </c>
      <c r="S39" s="3157">
        <f t="shared" si="12"/>
        <v>100</v>
      </c>
      <c r="T39" s="3735" t="s">
        <v>13</v>
      </c>
      <c r="U39" s="3157">
        <f t="shared" si="13"/>
        <v>100</v>
      </c>
      <c r="V39" s="3735" t="s">
        <v>13</v>
      </c>
      <c r="W39" s="3157">
        <f t="shared" si="14"/>
        <v>100</v>
      </c>
      <c r="X39" s="909"/>
      <c r="Y39" s="4547"/>
      <c r="Z39" s="907" t="str">
        <f t="shared" si="15"/>
        <v>层高</v>
      </c>
      <c r="AA39" s="907">
        <f t="shared" si="3"/>
        <v>1</v>
      </c>
      <c r="AB39" s="907">
        <f t="shared" si="4"/>
        <v>1</v>
      </c>
      <c r="AC39" s="907">
        <f t="shared" si="5"/>
        <v>1</v>
      </c>
    </row>
    <row r="40" spans="1:29" ht="15">
      <c r="A40" s="280"/>
      <c r="B40" s="2789" t="s">
        <v>1697</v>
      </c>
      <c r="C40" s="2838"/>
      <c r="D40" s="2890">
        <v>100</v>
      </c>
      <c r="E40" s="2849"/>
      <c r="F40" s="3728">
        <f>SUMIF(118:118,E40,119:119)-SUMIF(118:118,C40,119:119)+100</f>
        <v>100</v>
      </c>
      <c r="G40" s="2849"/>
      <c r="H40" s="3725">
        <f>SUMIF(118:118,G40,119:119)-SUMIF(118:118,C40,119:119)+100</f>
        <v>100</v>
      </c>
      <c r="I40" s="2849"/>
      <c r="J40" s="3725">
        <f>SUMIF(118:118,I40,119:119)-SUMIF(118:118,C40,119:119)+100</f>
        <v>100</v>
      </c>
      <c r="K40" s="2858"/>
      <c r="L40" s="1980"/>
      <c r="M40" s="1975"/>
      <c r="N40" s="1975"/>
      <c r="O40" s="1975"/>
      <c r="P40" s="4545"/>
      <c r="Q40" s="1507" t="str">
        <f t="shared" si="11"/>
        <v>单套建筑面积</v>
      </c>
      <c r="R40" s="3735" t="s">
        <v>13</v>
      </c>
      <c r="S40" s="3157">
        <f t="shared" si="12"/>
        <v>100</v>
      </c>
      <c r="T40" s="3735" t="s">
        <v>13</v>
      </c>
      <c r="U40" s="3157">
        <f t="shared" si="13"/>
        <v>100</v>
      </c>
      <c r="V40" s="3735" t="s">
        <v>13</v>
      </c>
      <c r="W40" s="3157">
        <f t="shared" si="14"/>
        <v>100</v>
      </c>
      <c r="X40" s="909"/>
      <c r="Y40" s="4547"/>
      <c r="Z40" s="907" t="str">
        <f t="shared" si="15"/>
        <v>单套建筑面积</v>
      </c>
      <c r="AA40" s="907">
        <f t="shared" si="3"/>
        <v>1</v>
      </c>
      <c r="AB40" s="907">
        <f t="shared" si="4"/>
        <v>1</v>
      </c>
      <c r="AC40" s="907">
        <f t="shared" si="5"/>
        <v>1</v>
      </c>
    </row>
    <row r="41" spans="1:29" s="279" customFormat="1" ht="15">
      <c r="A41" s="277"/>
      <c r="B41" s="2839" t="s">
        <v>1698</v>
      </c>
      <c r="C41" s="2836"/>
      <c r="D41" s="2890">
        <v>100</v>
      </c>
      <c r="E41" s="2836"/>
      <c r="F41" s="3728">
        <f>SUMIF(120:120,E41,121:121)-SUMIF(120:120,C41,121:121)+100</f>
        <v>100</v>
      </c>
      <c r="G41" s="2836"/>
      <c r="H41" s="3725">
        <f>SUMIF(120:120,G41,121:121)-SUMIF(120:120,C41,121:121)+100</f>
        <v>100</v>
      </c>
      <c r="I41" s="2836"/>
      <c r="J41" s="3725">
        <f>SUMIF(120:120,I41,121:121)-SUMIF(120:120,C41,121:121)+100</f>
        <v>100</v>
      </c>
      <c r="K41" s="2857"/>
      <c r="L41" s="1979"/>
      <c r="M41" s="1981"/>
      <c r="N41" s="1981"/>
      <c r="O41" s="1981"/>
      <c r="P41" s="4545"/>
      <c r="Q41" s="2864" t="str">
        <f t="shared" si="11"/>
        <v>进深比</v>
      </c>
      <c r="R41" s="3736" t="s">
        <v>13</v>
      </c>
      <c r="S41" s="3158">
        <f t="shared" si="12"/>
        <v>100</v>
      </c>
      <c r="T41" s="3736" t="s">
        <v>13</v>
      </c>
      <c r="U41" s="3158">
        <f t="shared" si="13"/>
        <v>100</v>
      </c>
      <c r="V41" s="3736" t="s">
        <v>13</v>
      </c>
      <c r="W41" s="3158">
        <f t="shared" si="14"/>
        <v>100</v>
      </c>
      <c r="X41" s="484"/>
      <c r="Y41" s="4547"/>
      <c r="Z41" s="485" t="str">
        <f t="shared" si="15"/>
        <v>进深比</v>
      </c>
      <c r="AA41" s="907">
        <f t="shared" si="3"/>
        <v>1</v>
      </c>
      <c r="AB41" s="907">
        <f t="shared" si="4"/>
        <v>1</v>
      </c>
      <c r="AC41" s="907">
        <f t="shared" si="5"/>
        <v>1</v>
      </c>
    </row>
    <row r="42" spans="1:29" ht="15">
      <c r="A42" s="280"/>
      <c r="B42" s="2789" t="s">
        <v>1699</v>
      </c>
      <c r="C42" s="2826" t="s">
        <v>4110</v>
      </c>
      <c r="D42" s="2890">
        <v>100</v>
      </c>
      <c r="E42" s="2826" t="s">
        <v>4110</v>
      </c>
      <c r="F42" s="3728">
        <f>SUMIF(122:122,E42,123:123)-SUMIF(122:122,C42,123:123)+100</f>
        <v>100</v>
      </c>
      <c r="G42" s="2826" t="s">
        <v>4110</v>
      </c>
      <c r="H42" s="3725">
        <f>SUMIF(122:122,G42,123:123)-SUMIF(122:122,C42,123:123)+100</f>
        <v>100</v>
      </c>
      <c r="I42" s="2826" t="s">
        <v>4110</v>
      </c>
      <c r="J42" s="3725">
        <f>SUMIF(122:122,I42,123:123)-SUMIF(122:122,C42,123:123)+100</f>
        <v>100</v>
      </c>
      <c r="K42" s="2857">
        <v>1</v>
      </c>
      <c r="L42" s="1980"/>
      <c r="M42" s="1975"/>
      <c r="N42" s="1975"/>
      <c r="O42" s="1975"/>
      <c r="P42" s="4545"/>
      <c r="Q42" s="1507" t="str">
        <f t="shared" si="11"/>
        <v>内部装修</v>
      </c>
      <c r="R42" s="3735" t="s">
        <v>13</v>
      </c>
      <c r="S42" s="3157">
        <f t="shared" si="12"/>
        <v>100</v>
      </c>
      <c r="T42" s="3735" t="s">
        <v>13</v>
      </c>
      <c r="U42" s="3157">
        <f t="shared" si="13"/>
        <v>100</v>
      </c>
      <c r="V42" s="3735" t="s">
        <v>13</v>
      </c>
      <c r="W42" s="3157">
        <f t="shared" si="14"/>
        <v>100</v>
      </c>
      <c r="X42" s="909"/>
      <c r="Y42" s="4547"/>
      <c r="Z42" s="907" t="str">
        <f t="shared" si="15"/>
        <v>内部装修</v>
      </c>
      <c r="AA42" s="907">
        <f t="shared" si="3"/>
        <v>1</v>
      </c>
      <c r="AB42" s="907">
        <f t="shared" si="4"/>
        <v>1</v>
      </c>
      <c r="AC42" s="907">
        <f t="shared" si="5"/>
        <v>1</v>
      </c>
    </row>
    <row r="43" spans="1:29" ht="15">
      <c r="A43" s="280"/>
      <c r="B43" s="2789" t="s">
        <v>1614</v>
      </c>
      <c r="C43" s="2826"/>
      <c r="D43" s="2890">
        <v>100</v>
      </c>
      <c r="E43" s="2826"/>
      <c r="F43" s="3728">
        <f>SUMIF(124:124,E43,125:125)-SUMIF(124:124,C43,125:125)+100</f>
        <v>100</v>
      </c>
      <c r="G43" s="2826"/>
      <c r="H43" s="3725">
        <f>SUMIF(124:124,G43,125:125)-SUMIF(124:124,C43,125:125)+100</f>
        <v>100</v>
      </c>
      <c r="I43" s="2826"/>
      <c r="J43" s="3725">
        <f>SUMIF(124:124,I43,125:125)-SUMIF(124:124,C43,125:125)+100</f>
        <v>100</v>
      </c>
      <c r="K43" s="2857"/>
      <c r="L43" s="1980"/>
      <c r="M43" s="1975"/>
      <c r="N43" s="1975"/>
      <c r="O43" s="1975"/>
      <c r="P43" s="4545"/>
      <c r="Q43" s="1507" t="str">
        <f t="shared" si="11"/>
        <v>内部装修维护情况</v>
      </c>
      <c r="R43" s="3735" t="s">
        <v>13</v>
      </c>
      <c r="S43" s="3157">
        <f t="shared" si="12"/>
        <v>100</v>
      </c>
      <c r="T43" s="3735" t="s">
        <v>13</v>
      </c>
      <c r="U43" s="3157">
        <f t="shared" si="13"/>
        <v>100</v>
      </c>
      <c r="V43" s="3735" t="s">
        <v>13</v>
      </c>
      <c r="W43" s="3157">
        <f t="shared" si="14"/>
        <v>100</v>
      </c>
      <c r="X43" s="909"/>
      <c r="Y43" s="4547"/>
      <c r="Z43" s="907" t="str">
        <f t="shared" si="15"/>
        <v>内部装修维护情况</v>
      </c>
      <c r="AA43" s="907">
        <f t="shared" si="3"/>
        <v>1</v>
      </c>
      <c r="AB43" s="907">
        <f t="shared" si="4"/>
        <v>1</v>
      </c>
      <c r="AC43" s="907">
        <f t="shared" si="5"/>
        <v>1</v>
      </c>
    </row>
    <row r="44" spans="1:29" s="46" customFormat="1" ht="15">
      <c r="A44" s="281"/>
      <c r="B44" s="4261" t="s">
        <v>4133</v>
      </c>
      <c r="C44" s="2825">
        <v>2012</v>
      </c>
      <c r="D44" s="2888">
        <v>100</v>
      </c>
      <c r="E44" s="2817">
        <v>2005</v>
      </c>
      <c r="F44" s="3719">
        <f>SUMIF(126:126,E44,127:127)-SUMIF(126:126,C44,127:127)+100</f>
        <v>100</v>
      </c>
      <c r="G44" s="2817">
        <v>2008</v>
      </c>
      <c r="H44" s="3731">
        <f>SUMIF(126:126,G44,127:127)-SUMIF(126:126,C44,127:127)+100</f>
        <v>100</v>
      </c>
      <c r="I44" s="2817">
        <v>2016</v>
      </c>
      <c r="J44" s="3731">
        <f>SUMIF(126:126,I44,127:127)-SUMIF(126:126,C44,127:127)+100</f>
        <v>100</v>
      </c>
      <c r="K44" s="2858"/>
      <c r="L44" s="1976"/>
      <c r="M44" s="1929"/>
      <c r="N44" s="1929"/>
      <c r="O44" s="1929"/>
      <c r="P44" s="4545"/>
      <c r="Q44" s="1698" t="str">
        <f t="shared" si="11"/>
        <v>建成年代</v>
      </c>
      <c r="R44" s="3633" t="s">
        <v>13</v>
      </c>
      <c r="S44" s="3156">
        <f t="shared" si="12"/>
        <v>100</v>
      </c>
      <c r="T44" s="3633" t="s">
        <v>13</v>
      </c>
      <c r="U44" s="3156">
        <f t="shared" si="13"/>
        <v>100</v>
      </c>
      <c r="V44" s="3633" t="s">
        <v>13</v>
      </c>
      <c r="W44" s="3156">
        <f t="shared" si="14"/>
        <v>100</v>
      </c>
      <c r="X44" s="482"/>
      <c r="Y44" s="4547"/>
      <c r="Z44" s="28" t="str">
        <f t="shared" si="15"/>
        <v>建成年代</v>
      </c>
      <c r="AA44" s="28">
        <f t="shared" si="3"/>
        <v>1</v>
      </c>
      <c r="AB44" s="28">
        <f t="shared" si="4"/>
        <v>1</v>
      </c>
      <c r="AC44" s="28">
        <f t="shared" si="5"/>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58"/>
      <c r="L45" s="1980"/>
      <c r="M45" s="1975"/>
      <c r="N45" s="1975"/>
      <c r="O45" s="1975"/>
      <c r="P45" s="4545"/>
      <c r="Q45" s="1507">
        <f t="shared" si="11"/>
        <v>111</v>
      </c>
      <c r="R45" s="3735" t="s">
        <v>13</v>
      </c>
      <c r="S45" s="3157">
        <f t="shared" si="12"/>
        <v>100</v>
      </c>
      <c r="T45" s="3735" t="s">
        <v>13</v>
      </c>
      <c r="U45" s="3157">
        <f t="shared" si="13"/>
        <v>100</v>
      </c>
      <c r="V45" s="3735" t="s">
        <v>13</v>
      </c>
      <c r="W45" s="3157">
        <f t="shared" si="14"/>
        <v>100</v>
      </c>
      <c r="X45" s="909"/>
      <c r="Y45" s="4547"/>
      <c r="Z45" s="907">
        <f t="shared" si="15"/>
        <v>111</v>
      </c>
      <c r="AA45" s="907">
        <f t="shared" si="3"/>
        <v>1</v>
      </c>
      <c r="AB45" s="907">
        <f t="shared" si="4"/>
        <v>1</v>
      </c>
      <c r="AC45" s="907">
        <f t="shared" si="5"/>
        <v>1</v>
      </c>
    </row>
    <row r="46" spans="1:29" ht="15.75" thickBot="1">
      <c r="A46" s="285"/>
      <c r="B46" s="2794">
        <v>111</v>
      </c>
      <c r="C46" s="2818"/>
      <c r="D46" s="2891">
        <v>100</v>
      </c>
      <c r="E46" s="2817"/>
      <c r="F46" s="3720">
        <f>SUMIF(130:130,E46,131:131)-SUMIF(130:130,C46,131:131)+100</f>
        <v>100</v>
      </c>
      <c r="G46" s="2817"/>
      <c r="H46" s="3727">
        <f>SUMIF(130:130,G46,131:131)-SUMIF(130:130,C46,131:131)+100</f>
        <v>100</v>
      </c>
      <c r="I46" s="2817"/>
      <c r="J46" s="3727">
        <f>SUMIF(130:130,I46,131:131)-SUMIF(130:130,C46,131:131)+100</f>
        <v>100</v>
      </c>
      <c r="K46" s="2858"/>
      <c r="L46" s="1980"/>
      <c r="M46" s="1975"/>
      <c r="N46" s="1975"/>
      <c r="O46" s="1975"/>
      <c r="P46" s="4546"/>
      <c r="Q46" s="1507">
        <f t="shared" si="11"/>
        <v>111</v>
      </c>
      <c r="R46" s="3735" t="s">
        <v>13</v>
      </c>
      <c r="S46" s="3157">
        <f t="shared" si="12"/>
        <v>100</v>
      </c>
      <c r="T46" s="3735" t="s">
        <v>13</v>
      </c>
      <c r="U46" s="3157">
        <f t="shared" si="13"/>
        <v>100</v>
      </c>
      <c r="V46" s="3735" t="s">
        <v>13</v>
      </c>
      <c r="W46" s="3157">
        <f t="shared" si="14"/>
        <v>100</v>
      </c>
      <c r="X46" s="909"/>
      <c r="Y46" s="4548"/>
      <c r="Z46" s="907">
        <f t="shared" si="15"/>
        <v>111</v>
      </c>
      <c r="AA46" s="907">
        <f t="shared" si="3"/>
        <v>1</v>
      </c>
      <c r="AB46" s="907">
        <f t="shared" si="4"/>
        <v>1</v>
      </c>
      <c r="AC46" s="907">
        <f t="shared" si="5"/>
        <v>1</v>
      </c>
    </row>
    <row r="47" spans="1:29" ht="15">
      <c r="A47" s="286" t="s">
        <v>1615</v>
      </c>
      <c r="B47" s="287"/>
      <c r="C47" s="765" t="s">
        <v>0</v>
      </c>
      <c r="D47" s="288"/>
      <c r="E47" s="3205">
        <v>45012</v>
      </c>
      <c r="F47" s="3153"/>
      <c r="G47" s="3206">
        <v>39803</v>
      </c>
      <c r="H47" s="3154"/>
      <c r="I47" s="3205">
        <v>35176</v>
      </c>
      <c r="J47" s="3154"/>
      <c r="K47" s="2862"/>
      <c r="L47" s="1982"/>
      <c r="M47" s="1975"/>
      <c r="N47" s="1975"/>
      <c r="O47" s="1975"/>
      <c r="P47" s="4549" t="str">
        <f>A47</f>
        <v>成交单价（元/平方米）</v>
      </c>
      <c r="Q47" s="4549"/>
      <c r="R47" s="4550">
        <f>E47</f>
        <v>45012</v>
      </c>
      <c r="S47" s="4550"/>
      <c r="T47" s="4550">
        <f>G47</f>
        <v>39803</v>
      </c>
      <c r="U47" s="4550"/>
      <c r="V47" s="4550">
        <f>I47</f>
        <v>35176</v>
      </c>
      <c r="W47" s="4550"/>
      <c r="X47" s="265"/>
      <c r="Y47" s="486"/>
      <c r="Z47" s="265"/>
      <c r="AA47" s="265"/>
      <c r="AB47" s="265"/>
      <c r="AC47" s="265"/>
    </row>
    <row r="48" spans="1:29" ht="15.75" thickBot="1">
      <c r="A48" s="289" t="s">
        <v>1700</v>
      </c>
      <c r="B48" s="290"/>
      <c r="C48" s="3733">
        <f>R49</f>
        <v>39838</v>
      </c>
      <c r="D48" s="3846" t="s">
        <v>2041</v>
      </c>
      <c r="E48" s="3744">
        <f>R48</f>
        <v>42975</v>
      </c>
      <c r="F48" s="2801"/>
      <c r="G48" s="3733">
        <f>T48</f>
        <v>38314</v>
      </c>
      <c r="H48" s="2801"/>
      <c r="I48" s="3744">
        <f>V48</f>
        <v>38226</v>
      </c>
      <c r="J48" s="2801"/>
      <c r="K48" s="2855">
        <f>F48+H48+J48</f>
        <v>0</v>
      </c>
      <c r="L48" s="1982"/>
      <c r="M48" s="1975"/>
      <c r="N48" s="1975"/>
      <c r="O48" s="1975"/>
      <c r="P48" s="4549" t="str">
        <f>A48</f>
        <v>比较价值（元/平方米）</v>
      </c>
      <c r="Q48" s="4549"/>
      <c r="R48" s="4550">
        <f>IF(F1="售价",ROUND(PRODUCT(R47,AA7:AA46),0),ROUND(PRODUCT(R47,AA7:AA46),1))</f>
        <v>42975</v>
      </c>
      <c r="S48" s="4550"/>
      <c r="T48" s="4550">
        <f>IF(F1="售价",ROUND(PRODUCT(T47,AB7:AB46),0),ROUND(PRODUCT(T47,AB7:AB46),1))</f>
        <v>38314</v>
      </c>
      <c r="U48" s="4550"/>
      <c r="V48" s="4550">
        <f>IF(F1="售价",ROUND(PRODUCT(V47,AC7:AC46),0),ROUND(PRODUCT(V47,AC7:AC46),1))</f>
        <v>38226</v>
      </c>
      <c r="W48" s="4550"/>
      <c r="X48" s="265"/>
      <c r="Y48" s="265"/>
      <c r="Z48" s="265"/>
      <c r="AA48" s="265"/>
      <c r="AB48" s="265"/>
      <c r="AC48" s="265"/>
    </row>
    <row r="49" spans="1:29" ht="15.75" thickBot="1">
      <c r="A49" s="291" t="s">
        <v>1701</v>
      </c>
      <c r="B49" s="292"/>
      <c r="C49" s="3745">
        <f>R49</f>
        <v>39838</v>
      </c>
      <c r="D49" s="241"/>
      <c r="E49" s="241"/>
      <c r="F49" s="241"/>
      <c r="G49" s="241"/>
      <c r="H49" s="241"/>
      <c r="I49" s="241"/>
      <c r="J49" s="241"/>
      <c r="K49" s="487"/>
      <c r="L49" s="1982"/>
      <c r="M49" s="1975"/>
      <c r="N49" s="1975"/>
      <c r="O49" s="1975"/>
      <c r="P49" s="4551" t="str">
        <f>A49</f>
        <v>估价对象XX用房的比较价值（楼面单价，元/平方米）</v>
      </c>
      <c r="Q49" s="4552"/>
      <c r="R49" s="4553">
        <f>IF(F1="售价",ROUND(IF(D48="简单平均",AVERAGE(R48:V48),R48*F48+T48*H48+V48*J48),0),ROUND(IF(D48="简单平均",AVERAGE(R48:V48),R48*F48+T48*H48+V48*J48),1))</f>
        <v>39838</v>
      </c>
      <c r="S49" s="4553"/>
      <c r="T49" s="4553"/>
      <c r="U49" s="4553"/>
      <c r="V49" s="4553"/>
      <c r="W49" s="4553"/>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f>IF(E47&lt;E48,E48/E47-1,E47/E48-1)</f>
        <v>4.7399650959860429E-2</v>
      </c>
      <c r="F52" s="299" t="str">
        <f>IF(OR(E52&gt;=0.3,E52&lt;=-0.3),"超过30%","")</f>
        <v/>
      </c>
      <c r="G52" s="298">
        <f>IF(G47&lt;G48,G48/G47-1,G47/G48-1)</f>
        <v>3.8863078770162263E-2</v>
      </c>
      <c r="H52" s="299" t="str">
        <f>IF(OR(G52&gt;=0.3,G52&lt;=-0.3),"超过30%","")</f>
        <v/>
      </c>
      <c r="I52" s="298">
        <f>IF(I47&lt;I48,I48/I47-1,I47/I48-1)</f>
        <v>8.6706845576529412E-2</v>
      </c>
      <c r="J52" s="299" t="str">
        <f>IF(OR(I52&gt;=0.3,I52&lt;=-0.3),"超过30%","")</f>
        <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f>IF(E48&lt;G48,G48/E48-1,E48/G48-1)</f>
        <v>0.12165265960223426</v>
      </c>
      <c r="F53" s="299" t="str">
        <f>IF(OR(E53&gt;=0.2,E53&lt;=-0.2),"超过20%","")</f>
        <v/>
      </c>
      <c r="G53" s="298">
        <f>IF(G48&lt;I48,I48/G48-1,G48/I48-1)</f>
        <v>2.3020980484487197E-3</v>
      </c>
      <c r="H53" s="299" t="str">
        <f>IF(OR(G53&gt;=0.2,G53&lt;=-0.2),"超过20%","")</f>
        <v/>
      </c>
      <c r="I53" s="298">
        <f>IF(I48&lt;E48,E48/I48-1,I48/E48-1)</f>
        <v>0.12423481400094172</v>
      </c>
      <c r="J53" s="299" t="str">
        <f>IF(OR(I53&gt;=0.2,I53&lt;=-0.2),"超过20%","")</f>
        <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f>IF(E47&lt;G47,G47/E47-1,E47/G47-1)</f>
        <v>0.13086953244730304</v>
      </c>
      <c r="F54" s="299" t="str">
        <f>IF(OR(E54&gt;=0.3,E54&lt;=-0.3),"超过30%","")</f>
        <v/>
      </c>
      <c r="G54" s="298">
        <f>IF(G47&lt;I47,I47/G47-1,G47/I47-1)</f>
        <v>0.13153854901068907</v>
      </c>
      <c r="H54" s="299" t="str">
        <f>IF(OR(G54&gt;=0.3,G54&lt;=-0.3),"超过30%","")</f>
        <v/>
      </c>
      <c r="I54" s="298">
        <f>IF(I47&lt;E47,E47/I47-1,I47/E47-1)</f>
        <v>0.27962246986581762</v>
      </c>
      <c r="J54" s="299" t="str">
        <f>IF(OR(I54&gt;=0.3,I54&lt;=-0.3),"超过30%","")</f>
        <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2026-1</v>
      </c>
      <c r="D58" s="782">
        <f>EDATE(C58,-1)</f>
        <v>45992</v>
      </c>
      <c r="E58" s="782">
        <f t="shared" ref="E58:N58" si="16">EDATE(D58,-1)</f>
        <v>45962</v>
      </c>
      <c r="F58" s="782">
        <f t="shared" si="16"/>
        <v>45931</v>
      </c>
      <c r="G58" s="782">
        <f t="shared" si="16"/>
        <v>45901</v>
      </c>
      <c r="H58" s="782">
        <f t="shared" si="16"/>
        <v>45870</v>
      </c>
      <c r="I58" s="782">
        <f t="shared" si="16"/>
        <v>45839</v>
      </c>
      <c r="J58" s="782">
        <f t="shared" si="16"/>
        <v>45809</v>
      </c>
      <c r="K58" s="782">
        <f t="shared" si="16"/>
        <v>45778</v>
      </c>
      <c r="L58" s="782">
        <f t="shared" si="16"/>
        <v>45748</v>
      </c>
      <c r="M58" s="782">
        <f t="shared" si="16"/>
        <v>45717</v>
      </c>
      <c r="N58" s="782">
        <f t="shared" si="16"/>
        <v>45689</v>
      </c>
      <c r="O58" s="782">
        <f>EDATE(N58,-1)</f>
        <v>45658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t="s">
        <v>4082</v>
      </c>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v>104</v>
      </c>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t="str">
        <f>C9</f>
        <v>商业</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t="s">
        <v>4083</v>
      </c>
      <c r="D65" s="372" t="s">
        <v>4084</v>
      </c>
      <c r="E65" s="372" t="s">
        <v>4085</v>
      </c>
      <c r="F65" s="372" t="s">
        <v>4086</v>
      </c>
      <c r="G65" s="372" t="s">
        <v>4087</v>
      </c>
      <c r="H65" s="372" t="s">
        <v>4088</v>
      </c>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3864</v>
      </c>
      <c r="C66" s="329">
        <v>100</v>
      </c>
      <c r="D66" s="329">
        <f>C66-5</f>
        <v>95</v>
      </c>
      <c r="E66" s="329">
        <f t="shared" ref="E66:H66" si="17">D66-5</f>
        <v>90</v>
      </c>
      <c r="F66" s="329">
        <f t="shared" si="17"/>
        <v>85</v>
      </c>
      <c r="G66" s="329">
        <f t="shared" si="17"/>
        <v>80</v>
      </c>
      <c r="H66" s="329">
        <f t="shared" si="17"/>
        <v>75</v>
      </c>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0（含）-1</v>
      </c>
      <c r="D67" s="340" t="str">
        <f t="shared" ref="D67:L67" si="18">D68&amp;"（含）"&amp;"-"&amp;E68</f>
        <v>1（含）-2</v>
      </c>
      <c r="E67" s="340" t="str">
        <f t="shared" si="18"/>
        <v>2（含）-3</v>
      </c>
      <c r="F67" s="340" t="str">
        <f t="shared" si="18"/>
        <v>3（含）-4</v>
      </c>
      <c r="G67" s="340" t="str">
        <f t="shared" si="18"/>
        <v>4（含）-5</v>
      </c>
      <c r="H67" s="340" t="str">
        <f t="shared" si="18"/>
        <v>5（含）-6</v>
      </c>
      <c r="I67" s="340" t="str">
        <f t="shared" si="18"/>
        <v>6（含）-7</v>
      </c>
      <c r="J67" s="340" t="str">
        <f t="shared" si="18"/>
        <v>7（含）-8</v>
      </c>
      <c r="K67" s="340" t="str">
        <f t="shared" si="18"/>
        <v>8（含）-9</v>
      </c>
      <c r="L67" s="340" t="str">
        <f t="shared" si="18"/>
        <v>9（含）-10</v>
      </c>
      <c r="M67" s="267" t="str">
        <f>M68&amp;"（含）"&amp;"-"&amp;P68</f>
        <v>10（含）-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1</v>
      </c>
      <c r="E68" s="342">
        <v>2</v>
      </c>
      <c r="F68" s="342">
        <v>3</v>
      </c>
      <c r="G68" s="342">
        <v>4</v>
      </c>
      <c r="H68" s="342">
        <v>5</v>
      </c>
      <c r="I68" s="342">
        <v>6</v>
      </c>
      <c r="J68" s="342">
        <v>7</v>
      </c>
      <c r="K68" s="343">
        <v>8</v>
      </c>
      <c r="L68" s="344">
        <v>9</v>
      </c>
      <c r="M68" s="345">
        <v>10</v>
      </c>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9">C69-$K11</f>
        <v>100</v>
      </c>
      <c r="E69" s="337">
        <f t="shared" si="19"/>
        <v>100</v>
      </c>
      <c r="F69" s="337">
        <f t="shared" si="19"/>
        <v>100</v>
      </c>
      <c r="G69" s="337">
        <f t="shared" si="19"/>
        <v>100</v>
      </c>
      <c r="H69" s="337">
        <f t="shared" si="19"/>
        <v>100</v>
      </c>
      <c r="I69" s="337">
        <f t="shared" si="19"/>
        <v>100</v>
      </c>
      <c r="J69" s="337">
        <f t="shared" si="19"/>
        <v>100</v>
      </c>
      <c r="K69" s="337">
        <f t="shared" si="19"/>
        <v>100</v>
      </c>
      <c r="L69" s="337">
        <f t="shared" si="19"/>
        <v>100</v>
      </c>
      <c r="M69" s="338">
        <f t="shared" si="19"/>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t="str">
        <f>B12</f>
        <v>土地剩余年期</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96</v>
      </c>
      <c r="E77" s="337">
        <f>D77-$K15</f>
        <v>92</v>
      </c>
      <c r="F77" s="337">
        <f>E77-$K15</f>
        <v>88</v>
      </c>
      <c r="G77" s="337">
        <f>F77-$K15</f>
        <v>84</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98</v>
      </c>
      <c r="E79" s="337">
        <f>D79-$K17</f>
        <v>96</v>
      </c>
      <c r="F79" s="337">
        <f>E79-$K17</f>
        <v>94</v>
      </c>
      <c r="G79" s="337">
        <f>F79-$K17</f>
        <v>92</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98</v>
      </c>
      <c r="E81" s="337">
        <f>D81-$K19</f>
        <v>96</v>
      </c>
      <c r="F81" s="337">
        <f>E81-$K19</f>
        <v>94</v>
      </c>
      <c r="G81" s="337">
        <f>F81-$K19</f>
        <v>92</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98</v>
      </c>
      <c r="E83" s="337">
        <f t="shared" ref="E83:G83" si="20">D83-$K21</f>
        <v>96</v>
      </c>
      <c r="F83" s="337">
        <f t="shared" si="20"/>
        <v>94</v>
      </c>
      <c r="G83" s="337">
        <f t="shared" si="20"/>
        <v>92</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98</v>
      </c>
      <c r="E85" s="337">
        <f>D85-$K23</f>
        <v>96</v>
      </c>
      <c r="F85" s="337">
        <f>E85-$K23</f>
        <v>94</v>
      </c>
      <c r="G85" s="337">
        <f>F85-$K23</f>
        <v>92</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t="s">
        <v>4089</v>
      </c>
      <c r="D86" s="347" t="s">
        <v>4090</v>
      </c>
      <c r="E86" s="347" t="s">
        <v>4091</v>
      </c>
      <c r="F86" s="347" t="s">
        <v>4092</v>
      </c>
      <c r="G86" s="347" t="s">
        <v>4093</v>
      </c>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1">C87-$K25</f>
        <v>100</v>
      </c>
      <c r="E87" s="337">
        <f t="shared" si="21"/>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t="s">
        <v>4094</v>
      </c>
      <c r="D88" s="347" t="s">
        <v>4095</v>
      </c>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v>100</v>
      </c>
      <c r="D89" s="329">
        <v>95</v>
      </c>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t="s">
        <v>4096</v>
      </c>
      <c r="D90" s="347" t="s">
        <v>4097</v>
      </c>
      <c r="E90" s="347" t="s">
        <v>3601</v>
      </c>
      <c r="F90" s="347" t="s">
        <v>4098</v>
      </c>
      <c r="G90" s="347" t="s">
        <v>4099</v>
      </c>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98</v>
      </c>
      <c r="E91" s="337">
        <f t="shared" ref="E91:M91" si="22">D91-$K27</f>
        <v>96</v>
      </c>
      <c r="F91" s="337">
        <f t="shared" si="22"/>
        <v>94</v>
      </c>
      <c r="G91" s="337">
        <f t="shared" si="22"/>
        <v>92</v>
      </c>
      <c r="H91" s="337">
        <f t="shared" si="22"/>
        <v>90</v>
      </c>
      <c r="I91" s="337">
        <f t="shared" si="22"/>
        <v>88</v>
      </c>
      <c r="J91" s="337">
        <f t="shared" si="22"/>
        <v>86</v>
      </c>
      <c r="K91" s="337">
        <f t="shared" si="22"/>
        <v>84</v>
      </c>
      <c r="L91" s="337">
        <f t="shared" si="22"/>
        <v>82</v>
      </c>
      <c r="M91" s="337">
        <f t="shared" si="22"/>
        <v>80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t="s">
        <v>4100</v>
      </c>
      <c r="D92" s="347" t="s">
        <v>4101</v>
      </c>
      <c r="E92" s="347" t="s">
        <v>4102</v>
      </c>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v>100</v>
      </c>
      <c r="D93" s="329">
        <v>80</v>
      </c>
      <c r="E93" s="329">
        <v>100</v>
      </c>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t="s">
        <v>4103</v>
      </c>
      <c r="D100" s="324" t="s">
        <v>4104</v>
      </c>
      <c r="E100" s="324" t="s">
        <v>4105</v>
      </c>
      <c r="F100" s="324" t="s">
        <v>4106</v>
      </c>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3">C101-$K32</f>
        <v>95</v>
      </c>
      <c r="E101" s="337">
        <f t="shared" si="23"/>
        <v>90</v>
      </c>
      <c r="F101" s="337">
        <f t="shared" si="23"/>
        <v>85</v>
      </c>
      <c r="G101" s="337">
        <f t="shared" si="23"/>
        <v>80</v>
      </c>
      <c r="H101" s="337">
        <f t="shared" si="23"/>
        <v>75</v>
      </c>
      <c r="I101" s="337">
        <f t="shared" si="23"/>
        <v>70</v>
      </c>
      <c r="J101" s="337">
        <f t="shared" si="23"/>
        <v>65</v>
      </c>
      <c r="K101" s="337">
        <f t="shared" si="23"/>
        <v>60</v>
      </c>
      <c r="L101" s="337">
        <f t="shared" si="23"/>
        <v>55</v>
      </c>
      <c r="M101" s="338">
        <f t="shared" si="23"/>
        <v>50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0(含)-50</v>
      </c>
      <c r="D102" s="368" t="str">
        <f t="shared" ref="D102:L102" si="24">D103&amp;"(含)"&amp;"-"&amp;E103</f>
        <v>50(含)-100</v>
      </c>
      <c r="E102" s="368" t="str">
        <f t="shared" si="24"/>
        <v>100(含)-200</v>
      </c>
      <c r="F102" s="368" t="str">
        <f t="shared" si="24"/>
        <v>200(含)-300</v>
      </c>
      <c r="G102" s="368" t="str">
        <f t="shared" si="24"/>
        <v>300(含)-400</v>
      </c>
      <c r="H102" s="368" t="str">
        <f t="shared" si="24"/>
        <v>400(含)-</v>
      </c>
      <c r="I102" s="368" t="str">
        <f t="shared" si="24"/>
        <v>(含)-</v>
      </c>
      <c r="J102" s="368" t="str">
        <f t="shared" si="24"/>
        <v>(含)-</v>
      </c>
      <c r="K102" s="368" t="str">
        <f t="shared" si="24"/>
        <v>(含)-</v>
      </c>
      <c r="L102" s="368" t="str">
        <f t="shared" si="24"/>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v>0</v>
      </c>
      <c r="D103" s="5">
        <v>50</v>
      </c>
      <c r="E103" s="5">
        <v>100</v>
      </c>
      <c r="F103" s="5">
        <v>200</v>
      </c>
      <c r="G103" s="5">
        <v>300</v>
      </c>
      <c r="H103" s="5">
        <v>400</v>
      </c>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v>100</v>
      </c>
      <c r="D104" s="329">
        <v>99</v>
      </c>
      <c r="E104" s="329">
        <v>98</v>
      </c>
      <c r="F104" s="329">
        <v>97</v>
      </c>
      <c r="G104" s="329">
        <v>96</v>
      </c>
      <c r="H104" s="329">
        <v>95</v>
      </c>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t="s">
        <v>4107</v>
      </c>
      <c r="D105" s="347" t="s">
        <v>4108</v>
      </c>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5">C106-$K34</f>
        <v>99</v>
      </c>
      <c r="E106" s="337">
        <f t="shared" si="25"/>
        <v>98</v>
      </c>
      <c r="F106" s="337">
        <f t="shared" si="25"/>
        <v>97</v>
      </c>
      <c r="G106" s="337">
        <f t="shared" si="25"/>
        <v>96</v>
      </c>
      <c r="H106" s="337">
        <f t="shared" si="25"/>
        <v>95</v>
      </c>
      <c r="I106" s="337">
        <f t="shared" si="25"/>
        <v>94</v>
      </c>
      <c r="J106" s="337">
        <f t="shared" si="25"/>
        <v>93</v>
      </c>
      <c r="K106" s="337">
        <f t="shared" si="25"/>
        <v>92</v>
      </c>
      <c r="L106" s="337">
        <f t="shared" si="25"/>
        <v>91</v>
      </c>
      <c r="M106" s="338">
        <f t="shared" si="25"/>
        <v>90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t="s">
        <v>4109</v>
      </c>
      <c r="D107" s="347" t="s">
        <v>4110</v>
      </c>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6">C108-$K35</f>
        <v>99</v>
      </c>
      <c r="E108" s="337">
        <f t="shared" si="26"/>
        <v>98</v>
      </c>
      <c r="F108" s="337">
        <f t="shared" si="26"/>
        <v>97</v>
      </c>
      <c r="G108" s="337">
        <f t="shared" si="26"/>
        <v>96</v>
      </c>
      <c r="H108" s="337">
        <f t="shared" si="26"/>
        <v>95</v>
      </c>
      <c r="I108" s="337">
        <f t="shared" si="26"/>
        <v>94</v>
      </c>
      <c r="J108" s="337">
        <f t="shared" si="26"/>
        <v>93</v>
      </c>
      <c r="K108" s="337">
        <f t="shared" si="26"/>
        <v>92</v>
      </c>
      <c r="L108" s="337">
        <f t="shared" si="26"/>
        <v>91</v>
      </c>
      <c r="M108" s="338">
        <f t="shared" si="26"/>
        <v>90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7">G110&amp;"(含)"&amp;"-"&amp;H110</f>
        <v>0.7(含)-0.75</v>
      </c>
      <c r="H109" s="368" t="str">
        <f t="shared" si="27"/>
        <v>0.75(含)-0.8</v>
      </c>
      <c r="I109" s="368" t="str">
        <f t="shared" si="27"/>
        <v>0.8(含)-0.85</v>
      </c>
      <c r="J109" s="368" t="str">
        <f t="shared" si="27"/>
        <v>0.85(含)-0.9</v>
      </c>
      <c r="K109" s="368" t="str">
        <f t="shared" si="27"/>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101</v>
      </c>
      <c r="E111" s="337">
        <f t="shared" ref="E111:M111" si="28">D111+$K36</f>
        <v>102</v>
      </c>
      <c r="F111" s="337">
        <f t="shared" si="28"/>
        <v>103</v>
      </c>
      <c r="G111" s="337">
        <f t="shared" si="28"/>
        <v>104</v>
      </c>
      <c r="H111" s="337">
        <f t="shared" si="28"/>
        <v>105</v>
      </c>
      <c r="I111" s="337">
        <f t="shared" si="28"/>
        <v>106</v>
      </c>
      <c r="J111" s="337">
        <f t="shared" si="28"/>
        <v>107</v>
      </c>
      <c r="K111" s="337">
        <f t="shared" si="28"/>
        <v>108</v>
      </c>
      <c r="L111" s="337">
        <f t="shared" si="28"/>
        <v>109</v>
      </c>
      <c r="M111" s="337">
        <f t="shared" si="28"/>
        <v>110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t="s">
        <v>3603</v>
      </c>
      <c r="D112" s="347" t="s">
        <v>3604</v>
      </c>
      <c r="E112" s="347" t="s">
        <v>3605</v>
      </c>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99</v>
      </c>
      <c r="E113" s="337">
        <f t="shared" ref="E113:M113" si="29">D113-$K37</f>
        <v>98</v>
      </c>
      <c r="F113" s="337">
        <f t="shared" si="29"/>
        <v>97</v>
      </c>
      <c r="G113" s="337">
        <f t="shared" si="29"/>
        <v>96</v>
      </c>
      <c r="H113" s="337">
        <f t="shared" si="29"/>
        <v>95</v>
      </c>
      <c r="I113" s="337">
        <f t="shared" si="29"/>
        <v>94</v>
      </c>
      <c r="J113" s="337">
        <f t="shared" si="29"/>
        <v>93</v>
      </c>
      <c r="K113" s="337">
        <f t="shared" si="29"/>
        <v>92</v>
      </c>
      <c r="L113" s="337">
        <f t="shared" si="29"/>
        <v>91</v>
      </c>
      <c r="M113" s="337">
        <f t="shared" si="29"/>
        <v>90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t="s">
        <v>4111</v>
      </c>
      <c r="D114" s="347" t="s">
        <v>4112</v>
      </c>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30">C115-$K38</f>
        <v>98</v>
      </c>
      <c r="E115" s="337">
        <f t="shared" si="30"/>
        <v>96</v>
      </c>
      <c r="F115" s="337">
        <f t="shared" si="30"/>
        <v>94</v>
      </c>
      <c r="G115" s="337">
        <f t="shared" si="30"/>
        <v>92</v>
      </c>
      <c r="H115" s="337">
        <f t="shared" si="30"/>
        <v>90</v>
      </c>
      <c r="I115" s="337">
        <f t="shared" si="30"/>
        <v>88</v>
      </c>
      <c r="J115" s="337">
        <f t="shared" si="30"/>
        <v>86</v>
      </c>
      <c r="K115" s="337">
        <f t="shared" si="30"/>
        <v>84</v>
      </c>
      <c r="L115" s="337">
        <f t="shared" si="30"/>
        <v>82</v>
      </c>
      <c r="M115" s="338">
        <f t="shared" si="30"/>
        <v>80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t="s">
        <v>4113</v>
      </c>
      <c r="D116" s="347" t="s">
        <v>4114</v>
      </c>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99</v>
      </c>
      <c r="E117" s="337">
        <f>D117-$K39</f>
        <v>98</v>
      </c>
      <c r="F117" s="337">
        <f>E117-$K39</f>
        <v>97</v>
      </c>
      <c r="G117" s="337">
        <f>F117-$K39</f>
        <v>96</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t="s">
        <v>4115</v>
      </c>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1">D121-$K41</f>
        <v>100</v>
      </c>
      <c r="F121" s="337">
        <f t="shared" si="31"/>
        <v>100</v>
      </c>
      <c r="G121" s="337">
        <f t="shared" si="31"/>
        <v>100</v>
      </c>
      <c r="H121" s="337">
        <f t="shared" si="31"/>
        <v>100</v>
      </c>
      <c r="I121" s="337">
        <f t="shared" si="31"/>
        <v>100</v>
      </c>
      <c r="J121" s="337">
        <f t="shared" si="31"/>
        <v>100</v>
      </c>
      <c r="K121" s="337">
        <f t="shared" si="31"/>
        <v>100</v>
      </c>
      <c r="L121" s="337">
        <f t="shared" si="31"/>
        <v>100</v>
      </c>
      <c r="M121" s="338">
        <f t="shared" si="31"/>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t="s">
        <v>4110</v>
      </c>
      <c r="D122" s="347" t="s">
        <v>4116</v>
      </c>
      <c r="E122" s="347" t="s">
        <v>4117</v>
      </c>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2">C123-$K42</f>
        <v>99</v>
      </c>
      <c r="E123" s="337">
        <f t="shared" si="32"/>
        <v>98</v>
      </c>
      <c r="F123" s="337">
        <f t="shared" si="32"/>
        <v>97</v>
      </c>
      <c r="G123" s="337">
        <f t="shared" si="32"/>
        <v>96</v>
      </c>
      <c r="H123" s="337">
        <f t="shared" si="32"/>
        <v>95</v>
      </c>
      <c r="I123" s="337">
        <f t="shared" si="32"/>
        <v>94</v>
      </c>
      <c r="J123" s="337">
        <f t="shared" si="32"/>
        <v>93</v>
      </c>
      <c r="K123" s="337">
        <f t="shared" si="32"/>
        <v>92</v>
      </c>
      <c r="L123" s="337">
        <f t="shared" si="32"/>
        <v>91</v>
      </c>
      <c r="M123" s="338">
        <f t="shared" si="32"/>
        <v>90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t="str">
        <f>B44</f>
        <v>建成年代</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16" zoomScale="85" zoomScaleNormal="85" zoomScaleSheetLayoutView="100" workbookViewId="0">
      <selection activeCell="B2" sqref="B2"/>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6"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4067</v>
      </c>
      <c r="D1" s="914" t="s">
        <v>41</v>
      </c>
      <c r="E1" s="915" t="s">
        <v>665</v>
      </c>
      <c r="F1" s="704">
        <f ca="1">J62</f>
        <v>23.58</v>
      </c>
      <c r="G1" s="929">
        <f>MATCH(C1,'数据-取费表'!A6:A16,0)+5</f>
        <v>6</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f ca="1">ROUND(D3/10000,4)</f>
        <v>296.44799999999998</v>
      </c>
      <c r="C2" s="932" t="s">
        <v>790</v>
      </c>
      <c r="D2" s="3323" t="s">
        <v>4120</v>
      </c>
      <c r="E2" s="937"/>
      <c r="F2" s="938"/>
      <c r="G2" s="1966"/>
      <c r="H2" s="1956"/>
      <c r="I2" s="1956"/>
      <c r="J2" s="1956"/>
      <c r="K2" s="1957"/>
      <c r="L2" s="1956"/>
      <c r="M2" s="1956"/>
    </row>
    <row r="3" spans="1:37" ht="18" customHeight="1" thickBot="1">
      <c r="A3" s="939" t="s">
        <v>791</v>
      </c>
      <c r="B3" s="940">
        <f ca="1">IF(ISERROR(D3/F32),0,ROUND(D3/F32,0))</f>
        <v>21359</v>
      </c>
      <c r="C3" s="932" t="s">
        <v>792</v>
      </c>
      <c r="D3" s="932">
        <f ca="1">IF(D2="含税",ROUND((C28+J31+L55)*(1+F31),0),C28+J31+L55)</f>
        <v>2964480</v>
      </c>
      <c r="E3" s="937"/>
      <c r="F3" s="938"/>
      <c r="G3" s="1966"/>
      <c r="H3" s="467" t="s">
        <v>860</v>
      </c>
      <c r="I3" s="933"/>
      <c r="J3" s="933"/>
      <c r="K3" s="934"/>
      <c r="L3" s="933"/>
      <c r="M3" s="933"/>
    </row>
    <row r="4" spans="1:37" s="4062" customFormat="1" ht="18" customHeight="1">
      <c r="A4" s="2723" t="s">
        <v>3867</v>
      </c>
      <c r="B4" s="2724" t="s">
        <v>3868</v>
      </c>
      <c r="C4" s="3569" t="s">
        <v>3976</v>
      </c>
      <c r="D4" s="2724" t="s">
        <v>3869</v>
      </c>
      <c r="E4" s="3999" t="s">
        <v>3870</v>
      </c>
      <c r="F4" s="4061"/>
      <c r="G4" s="4050"/>
      <c r="H4" s="2723" t="s">
        <v>3867</v>
      </c>
      <c r="I4" s="2724" t="s">
        <v>3868</v>
      </c>
      <c r="J4" s="3569" t="s">
        <v>3976</v>
      </c>
      <c r="K4" s="2724" t="s">
        <v>3869</v>
      </c>
      <c r="L4" s="4063" t="s">
        <v>3870</v>
      </c>
      <c r="M4" s="4064"/>
      <c r="N4" s="4050"/>
      <c r="O4" s="4050"/>
      <c r="P4" s="4050"/>
      <c r="Q4" s="4050"/>
      <c r="R4" s="4050"/>
      <c r="S4" s="4050"/>
      <c r="T4" s="4050"/>
      <c r="U4" s="4050"/>
      <c r="V4" s="4050"/>
      <c r="W4" s="4050"/>
      <c r="X4" s="4050"/>
      <c r="Y4" s="4050"/>
      <c r="Z4" s="4050"/>
      <c r="AA4" s="4050"/>
      <c r="AB4" s="4050"/>
      <c r="AC4" s="4050"/>
      <c r="AD4" s="4050"/>
      <c r="AE4" s="4050"/>
      <c r="AF4" s="4050"/>
      <c r="AG4" s="4050"/>
      <c r="AH4" s="4050"/>
      <c r="AI4" s="4050"/>
      <c r="AJ4" s="4050"/>
      <c r="AK4" s="4050"/>
    </row>
    <row r="5" spans="1:37" s="118" customFormat="1" ht="18" customHeight="1">
      <c r="A5" s="183">
        <v>1</v>
      </c>
      <c r="B5" s="3913" t="s">
        <v>3393</v>
      </c>
      <c r="C5" s="4093">
        <f ca="1">C6+C10+C12</f>
        <v>209532</v>
      </c>
      <c r="D5" s="4002" t="s">
        <v>3873</v>
      </c>
      <c r="E5" s="4003"/>
      <c r="F5" s="4004"/>
      <c r="G5" s="4001"/>
      <c r="H5" s="183">
        <v>1</v>
      </c>
      <c r="I5" s="184" t="s">
        <v>3908</v>
      </c>
      <c r="J5" s="4093">
        <f ca="1">J6+J10+J12</f>
        <v>0</v>
      </c>
      <c r="K5" s="4002" t="s">
        <v>3873</v>
      </c>
      <c r="L5" s="4220"/>
      <c r="M5" s="4004"/>
      <c r="N5" s="4001"/>
      <c r="O5" s="4001"/>
      <c r="P5" s="4001"/>
      <c r="Q5" s="4045"/>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3784</v>
      </c>
      <c r="C6" s="4218">
        <f ca="1">C7-C9</f>
        <v>209270</v>
      </c>
      <c r="D6" s="2715" t="s">
        <v>3788</v>
      </c>
      <c r="E6" s="2713" t="s">
        <v>3971</v>
      </c>
      <c r="F6" s="3420">
        <f ca="1">INDIRECT("'数据-取费表'!u"&amp;$G$1)</f>
        <v>4.59</v>
      </c>
      <c r="G6" s="935"/>
      <c r="H6" s="707" t="s">
        <v>392</v>
      </c>
      <c r="I6" s="2714" t="s">
        <v>3784</v>
      </c>
      <c r="J6" s="2702">
        <f ca="1">J7-J9</f>
        <v>0</v>
      </c>
      <c r="K6" s="2715" t="s">
        <v>3788</v>
      </c>
      <c r="L6" s="2713" t="s">
        <v>3971</v>
      </c>
      <c r="M6" s="3438">
        <f ca="1">INDIRECT("'数据-取费表'!z"&amp;$G$1)</f>
        <v>0</v>
      </c>
    </row>
    <row r="7" spans="1:37" ht="18" customHeight="1">
      <c r="A7" s="4495" t="s">
        <v>391</v>
      </c>
      <c r="B7" s="4488" t="s">
        <v>3782</v>
      </c>
      <c r="C7" s="4554">
        <f ca="1">ROUND(F6*F7*F8,0)</f>
        <v>232522</v>
      </c>
      <c r="D7" s="4491" t="s">
        <v>3462</v>
      </c>
      <c r="E7" s="714" t="s">
        <v>682</v>
      </c>
      <c r="F7" s="2761">
        <f ca="1">IF(INDIRECT("'数据-取费表'!ah"&amp;$G$1)="",INDIRECT("'数据-取费表'!k"&amp;$G$1),INDIRECT("'数据-取费表'!ah"&amp;$G$1))</f>
        <v>138.79</v>
      </c>
      <c r="G7" s="935"/>
      <c r="H7" s="4495" t="s">
        <v>391</v>
      </c>
      <c r="I7" s="4488" t="s">
        <v>3782</v>
      </c>
      <c r="J7" s="4555">
        <f ca="1">ROUND(M6*M8*M7,0)</f>
        <v>0</v>
      </c>
      <c r="K7" s="4491" t="s">
        <v>3462</v>
      </c>
      <c r="L7" s="186" t="s">
        <v>682</v>
      </c>
      <c r="M7" s="4217">
        <f ca="1">F7</f>
        <v>138.79</v>
      </c>
    </row>
    <row r="8" spans="1:37" ht="18" customHeight="1">
      <c r="A8" s="4496"/>
      <c r="B8" s="4489"/>
      <c r="C8" s="4554"/>
      <c r="D8" s="4491"/>
      <c r="E8" s="186" t="str">
        <f ca="1">IF(F8=1,"年",IF(F8=12,"月","天"))</f>
        <v>天</v>
      </c>
      <c r="F8" s="3413">
        <f ca="1">INDIRECT("'数据-取费表'!ai"&amp;$G$1)</f>
        <v>365</v>
      </c>
      <c r="G8" s="935"/>
      <c r="H8" s="4496"/>
      <c r="I8" s="4489"/>
      <c r="J8" s="4555"/>
      <c r="K8" s="4491"/>
      <c r="L8" s="186" t="str">
        <f ca="1">IF(M8=1,"年",IF(M8=12,"月","天"))</f>
        <v>天</v>
      </c>
      <c r="M8" s="3440">
        <f ca="1">INDIRECT("'数据-取费表'!ai"&amp;$G$1)</f>
        <v>365</v>
      </c>
    </row>
    <row r="9" spans="1:37" ht="18" customHeight="1">
      <c r="A9" s="2700" t="s">
        <v>3392</v>
      </c>
      <c r="B9" s="4086" t="s">
        <v>3783</v>
      </c>
      <c r="C9" s="4093">
        <f ca="1">ROUND(C7*F9,0)</f>
        <v>23252</v>
      </c>
      <c r="D9" s="2715" t="s">
        <v>3787</v>
      </c>
      <c r="E9" s="186" t="s">
        <v>684</v>
      </c>
      <c r="F9" s="2767">
        <f ca="1">INDIRECT("'数据-取费表'!w"&amp;$G$1)</f>
        <v>0.1</v>
      </c>
      <c r="G9" s="935"/>
      <c r="H9" s="2700" t="s">
        <v>3392</v>
      </c>
      <c r="I9" s="4086" t="s">
        <v>3783</v>
      </c>
      <c r="J9" s="2743">
        <f ca="1">ROUND(J7*M9,0)</f>
        <v>0</v>
      </c>
      <c r="K9" s="2715" t="s">
        <v>3787</v>
      </c>
      <c r="L9" s="197" t="s">
        <v>684</v>
      </c>
      <c r="M9" s="3434">
        <f ca="1">INDIRECT("'数据-取费表'!ab"&amp;$G$1)</f>
        <v>0</v>
      </c>
    </row>
    <row r="10" spans="1:37" ht="18" customHeight="1">
      <c r="A10" s="707" t="s">
        <v>396</v>
      </c>
      <c r="B10" s="917" t="s">
        <v>685</v>
      </c>
      <c r="C10" s="2743">
        <f ca="1">ROUND(IF(F10="押一",C6/12*F11,IF(F10="押二",C6/12*2*F11,IF(F10="押三",C6/12*3*F11,C11*F11))),0)</f>
        <v>262</v>
      </c>
      <c r="D10" s="59" t="s">
        <v>2019</v>
      </c>
      <c r="E10" s="197" t="s">
        <v>686</v>
      </c>
      <c r="F10" s="749" t="s">
        <v>4137</v>
      </c>
      <c r="G10" s="935"/>
      <c r="H10" s="707" t="s">
        <v>396</v>
      </c>
      <c r="I10" s="917" t="s">
        <v>685</v>
      </c>
      <c r="J10" s="3912">
        <f ca="1">ROUND(IF(M10="押一",J6/12*M11,IF(M10="押二",J6/12*2*M11,IF(M10="押三",J6/12*3*M11,J11*M11))),0)</f>
        <v>0</v>
      </c>
      <c r="K10" s="59" t="s">
        <v>2019</v>
      </c>
      <c r="L10" s="197" t="s">
        <v>686</v>
      </c>
      <c r="M10" s="3435"/>
    </row>
    <row r="11" spans="1:37" ht="18" customHeight="1">
      <c r="A11" s="192"/>
      <c r="B11" s="918" t="str">
        <f>IF(OR(F10="自定义",F10=" "),"（自定义押金）单位：元","")</f>
        <v/>
      </c>
      <c r="C11" s="3422"/>
      <c r="D11" s="919"/>
      <c r="E11" s="197" t="s">
        <v>687</v>
      </c>
      <c r="F11" s="2829">
        <f ca="1">'数据-取费表'!B40</f>
        <v>1.4999999999999999E-2</v>
      </c>
      <c r="G11" s="935"/>
      <c r="H11" s="715"/>
      <c r="I11" s="3023" t="str">
        <f>IF(OR(M10="自定义",M10=" "),"（自定义押金）单位：元","")</f>
        <v/>
      </c>
      <c r="J11" s="3421"/>
      <c r="K11" s="464"/>
      <c r="L11" s="197" t="s">
        <v>687</v>
      </c>
      <c r="M11" s="3434">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7"/>
    </row>
    <row r="13" spans="1:37" s="118" customFormat="1" ht="18" customHeight="1" thickTop="1">
      <c r="A13" s="716" t="s">
        <v>3667</v>
      </c>
      <c r="B13" s="717" t="s">
        <v>3909</v>
      </c>
      <c r="C13" s="3853">
        <f ca="1">ROUND(C14+C22+C24+C26,0)</f>
        <v>30780</v>
      </c>
      <c r="D13" s="4222" t="s">
        <v>3910</v>
      </c>
      <c r="E13" s="4006"/>
      <c r="F13" s="4004"/>
      <c r="G13" s="4001"/>
      <c r="H13" s="716" t="s">
        <v>3667</v>
      </c>
      <c r="I13" s="717" t="s">
        <v>3909</v>
      </c>
      <c r="J13" s="3853">
        <f ca="1">ROUND(J14+J22+J24+J26,0)</f>
        <v>8769</v>
      </c>
      <c r="K13" s="4221" t="s">
        <v>3911</v>
      </c>
      <c r="L13" s="4219"/>
      <c r="M13" s="4008"/>
      <c r="N13" s="4001"/>
      <c r="O13" s="4001"/>
      <c r="P13" s="4001"/>
      <c r="Q13" s="4045"/>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3957</v>
      </c>
      <c r="C14" s="2702">
        <f ca="1">ROUND(IF(AND(项目基本情况!B11="自然人",项目基本情况!B10="北京市",M56="住宅"),C6*F14,C15+C19+C20),2)</f>
        <v>27341</v>
      </c>
      <c r="D14" s="900" t="s">
        <v>3436</v>
      </c>
      <c r="E14" s="900" t="str">
        <f>IF(M56="非住宅","","综合税率")</f>
        <v/>
      </c>
      <c r="F14" s="3837" t="str">
        <f>IF(M56="非住宅","",IF(F6*F7*F8/12/(1+'数据-取费表'!F30)&gt;100000,4%,2.5%))</f>
        <v/>
      </c>
      <c r="G14" s="935"/>
      <c r="H14" s="658" t="s">
        <v>392</v>
      </c>
      <c r="I14" s="2713" t="s">
        <v>3962</v>
      </c>
      <c r="J14" s="2702">
        <f ca="1">ROUND(IF(AND(项目基本情况!B11="自然人",项目基本情况!B10="北京市",M56="住宅"),J6*M14/(1+'数据-取费表'!C43),J15+J19+J20),0)</f>
        <v>7079</v>
      </c>
      <c r="K14" s="2740" t="s">
        <v>3435</v>
      </c>
      <c r="L14" s="900" t="str">
        <f>E14</f>
        <v/>
      </c>
      <c r="M14" s="3837" t="str">
        <f>IF(M56="非住宅","",IF(M6*M7*M8/12/(1+'数据-取费表'!F30)&gt;100000,4%,2.5%))</f>
        <v/>
      </c>
    </row>
    <row r="15" spans="1:37" s="946" customFormat="1" ht="18" customHeight="1">
      <c r="A15" s="2700" t="s">
        <v>391</v>
      </c>
      <c r="B15" s="2713" t="s">
        <v>3954</v>
      </c>
      <c r="C15" s="2702">
        <f ca="1">C18</f>
        <v>2229</v>
      </c>
      <c r="D15" s="2430" t="s">
        <v>3953</v>
      </c>
      <c r="E15" s="4090"/>
      <c r="F15" s="4123"/>
      <c r="G15" s="945"/>
      <c r="H15" s="2700" t="s">
        <v>391</v>
      </c>
      <c r="I15" s="2713" t="s">
        <v>3954</v>
      </c>
      <c r="J15" s="2702">
        <f ca="1">J18</f>
        <v>-18</v>
      </c>
      <c r="K15" s="2715" t="s">
        <v>3953</v>
      </c>
      <c r="L15" s="4090"/>
      <c r="M15" s="4123"/>
      <c r="N15" s="945"/>
      <c r="O15" s="945"/>
      <c r="P15" s="945"/>
      <c r="Q15" s="3427"/>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3279</v>
      </c>
      <c r="B16" s="2717" t="s">
        <v>3395</v>
      </c>
      <c r="C16" s="2650">
        <f ca="1">ROUND(C6*F16,0)</f>
        <v>18834</v>
      </c>
      <c r="D16" s="994" t="s">
        <v>3847</v>
      </c>
      <c r="E16" s="2721" t="s">
        <v>3397</v>
      </c>
      <c r="F16" s="2765">
        <v>0.09</v>
      </c>
      <c r="G16" s="935"/>
      <c r="H16" s="2505" t="s">
        <v>3279</v>
      </c>
      <c r="I16" s="2717" t="s">
        <v>3395</v>
      </c>
      <c r="J16" s="2650">
        <f ca="1">ROUND(J6*M16,0)</f>
        <v>0</v>
      </c>
      <c r="K16" s="3978" t="s">
        <v>3848</v>
      </c>
      <c r="L16" s="2721" t="s">
        <v>3397</v>
      </c>
      <c r="M16" s="3436">
        <v>0.09</v>
      </c>
    </row>
    <row r="17" spans="1:37" s="946" customFormat="1" ht="18" customHeight="1">
      <c r="A17" s="2505" t="s">
        <v>3280</v>
      </c>
      <c r="B17" s="2717" t="s">
        <v>3396</v>
      </c>
      <c r="C17" s="3024">
        <f ca="1">ROUND(C22*F16+((C24+C26)*F17),0)</f>
        <v>257</v>
      </c>
      <c r="D17" s="3978" t="s">
        <v>3850</v>
      </c>
      <c r="E17" s="2722"/>
      <c r="F17" s="2765">
        <v>0.06</v>
      </c>
      <c r="G17" s="945"/>
      <c r="H17" s="2505" t="s">
        <v>3280</v>
      </c>
      <c r="I17" s="2717" t="s">
        <v>3396</v>
      </c>
      <c r="J17" s="3024">
        <f ca="1">ROUND(J22*M16+((J24+J26)*M17),0)</f>
        <v>152</v>
      </c>
      <c r="K17" s="3980" t="s">
        <v>3849</v>
      </c>
      <c r="L17" s="2722"/>
      <c r="M17" s="3436">
        <v>0.06</v>
      </c>
      <c r="N17" s="945"/>
      <c r="O17" s="945"/>
      <c r="P17" s="945"/>
      <c r="Q17" s="3427"/>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3951</v>
      </c>
      <c r="B18" s="2717" t="s">
        <v>3950</v>
      </c>
      <c r="C18" s="3024">
        <f ca="1">ROUND((C16-C17)*F18,0)</f>
        <v>2229</v>
      </c>
      <c r="D18" s="2740" t="s">
        <v>3973</v>
      </c>
      <c r="E18" s="186" t="s">
        <v>3974</v>
      </c>
      <c r="F18" s="2765">
        <f>'数据-取费表'!B44</f>
        <v>0.12000000000000001</v>
      </c>
      <c r="G18" s="945"/>
      <c r="H18" s="2505" t="s">
        <v>3951</v>
      </c>
      <c r="I18" s="2717" t="s">
        <v>3950</v>
      </c>
      <c r="J18" s="3024">
        <f ca="1">ROUND((J16-J17)*M18,0)</f>
        <v>-18</v>
      </c>
      <c r="K18" s="2740" t="s">
        <v>3973</v>
      </c>
      <c r="L18" s="186" t="s">
        <v>3974</v>
      </c>
      <c r="M18" s="3436">
        <f>'数据-取费表'!B44</f>
        <v>0.12000000000000001</v>
      </c>
      <c r="N18" s="945"/>
      <c r="O18" s="945"/>
      <c r="P18" s="945"/>
      <c r="Q18" s="3427"/>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3955</v>
      </c>
      <c r="C19" s="2702">
        <f ca="1">IF(AND(项目基本情况!B11="自然人",M56="住宅"),"——",IF(D19="按不含税租金收入（有效毛租金收入）计税",ROUND(C6*F19,0),IF(D19="按房产原值计税",ROUND(C51*F19*0.7,0),INDIRECT("'数据-取费表'!Aj"&amp;$G$1))))</f>
        <v>25112</v>
      </c>
      <c r="D19" s="2716" t="s">
        <v>4138</v>
      </c>
      <c r="E19" s="186" t="s">
        <v>697</v>
      </c>
      <c r="F19" s="2765">
        <f>IF(D19="按票据","——",IF(D19="按不含税租金收入（有效毛租金收入）计税",'数据-取费表'!B52,'数据-取费表'!B51))</f>
        <v>0.12</v>
      </c>
      <c r="G19" s="945"/>
      <c r="H19" s="2700" t="s">
        <v>393</v>
      </c>
      <c r="I19" s="2713" t="s">
        <v>3960</v>
      </c>
      <c r="J19" s="2702">
        <f ca="1">IF(K19="按不含税租金收入（有效毛租金收入）计税",ROUND(J6*M19,0),ROUND(C51*M19*0.7,0))</f>
        <v>7097</v>
      </c>
      <c r="K19" s="921"/>
      <c r="L19" s="186" t="s">
        <v>697</v>
      </c>
      <c r="M19" s="3436">
        <f>IF(K19="按不含税租金收入（有效毛租金收入）计税",'数据-取费表'!B52,'数据-取费表'!B51)</f>
        <v>1.2E-2</v>
      </c>
      <c r="N19" s="945"/>
      <c r="O19" s="945"/>
      <c r="P19" s="945"/>
      <c r="Q19" s="3427"/>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3925" t="s">
        <v>3956</v>
      </c>
      <c r="C20" s="3025">
        <f ca="1">IF(AND(项目基本情况!B11="自然人",M56="住宅"),"——",ROUND(F20*F21,0))</f>
        <v>0</v>
      </c>
      <c r="D20" s="207" t="s">
        <v>716</v>
      </c>
      <c r="E20" s="186" t="s">
        <v>717</v>
      </c>
      <c r="F20" s="3420">
        <f>'数据-取费表'!B53</f>
        <v>24</v>
      </c>
      <c r="G20" s="935"/>
      <c r="H20" s="4091" t="s">
        <v>666</v>
      </c>
      <c r="I20" s="3925" t="s">
        <v>3956</v>
      </c>
      <c r="J20" s="3025">
        <f ca="1">ROUND(M20*M21,0)</f>
        <v>0</v>
      </c>
      <c r="K20" s="207" t="s">
        <v>716</v>
      </c>
      <c r="L20" s="186" t="s">
        <v>717</v>
      </c>
      <c r="M20" s="3438">
        <f>'数据-取费表'!B53</f>
        <v>24</v>
      </c>
    </row>
    <row r="21" spans="1:37" s="946" customFormat="1" ht="18" customHeight="1">
      <c r="A21" s="209"/>
      <c r="B21" s="738"/>
      <c r="C21" s="3026"/>
      <c r="D21" s="210"/>
      <c r="E21" s="186" t="s">
        <v>721</v>
      </c>
      <c r="F21" s="3028">
        <f ca="1">INDIRECT("'数据-取费表'!r"&amp;$G$1)</f>
        <v>0</v>
      </c>
      <c r="G21" s="945"/>
      <c r="H21" s="209"/>
      <c r="I21" s="195"/>
      <c r="J21" s="3026"/>
      <c r="K21" s="210"/>
      <c r="L21" s="186" t="s">
        <v>721</v>
      </c>
      <c r="M21" s="3439">
        <f ca="1">INDIRECT("'数据-取费表'!r"&amp;$G$1)</f>
        <v>0</v>
      </c>
      <c r="N21" s="945"/>
      <c r="O21" s="945"/>
      <c r="P21" s="945"/>
      <c r="Q21" s="3427"/>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79">
        <f ca="1">ROUND(C51*F22,0)</f>
        <v>1690</v>
      </c>
      <c r="D22" s="1776" t="s">
        <v>724</v>
      </c>
      <c r="E22" s="186" t="s">
        <v>697</v>
      </c>
      <c r="F22" s="2767">
        <f ca="1">INDIRECT("'数据-取费表'!Ak"&amp;$G$1)</f>
        <v>2E-3</v>
      </c>
      <c r="G22" s="945"/>
      <c r="H22" s="3859" t="s">
        <v>396</v>
      </c>
      <c r="I22" s="56" t="s">
        <v>723</v>
      </c>
      <c r="J22" s="3879">
        <f ca="1">ROUND(J35*M22,0)</f>
        <v>1690</v>
      </c>
      <c r="K22" s="1776" t="s">
        <v>724</v>
      </c>
      <c r="L22" s="186" t="s">
        <v>697</v>
      </c>
      <c r="M22" s="3901">
        <f ca="1">INDIRECT("'数据-取费表'!Ak"&amp;$G$1)</f>
        <v>2E-3</v>
      </c>
      <c r="N22" s="945"/>
      <c r="O22" s="945"/>
      <c r="P22" s="945"/>
      <c r="Q22" s="3427"/>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0"/>
      <c r="D23" s="3926"/>
      <c r="E23" s="2713" t="s">
        <v>3808</v>
      </c>
      <c r="F23" s="3413">
        <f ca="1">C51</f>
        <v>844923</v>
      </c>
      <c r="G23" s="945"/>
      <c r="H23" s="209"/>
      <c r="I23" s="195"/>
      <c r="J23" s="3880"/>
      <c r="K23" s="3926"/>
      <c r="L23" s="2713" t="s">
        <v>3808</v>
      </c>
      <c r="M23" s="3440">
        <f ca="1">J35</f>
        <v>844923</v>
      </c>
      <c r="N23" s="945"/>
      <c r="O23" s="945"/>
      <c r="P23" s="945"/>
      <c r="Q23" s="3427"/>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79">
        <f ca="1">ROUND(C53*F24,0)</f>
        <v>701</v>
      </c>
      <c r="D24" s="1776" t="s">
        <v>3433</v>
      </c>
      <c r="E24" s="186" t="s">
        <v>697</v>
      </c>
      <c r="F24" s="2767">
        <f ca="1">INDIRECT("'数据-取费表'!Al"&amp;$G$1)</f>
        <v>1E-3</v>
      </c>
      <c r="G24" s="935"/>
      <c r="H24" s="3859" t="s">
        <v>431</v>
      </c>
      <c r="I24" s="56" t="s">
        <v>727</v>
      </c>
      <c r="J24" s="3879">
        <f ca="1">ROUND(J37*M24,0)</f>
        <v>0</v>
      </c>
      <c r="K24" s="1776" t="s">
        <v>728</v>
      </c>
      <c r="L24" s="186" t="s">
        <v>697</v>
      </c>
      <c r="M24" s="3901">
        <f ca="1">INDIRECT("'数据-取费表'!Al"&amp;$G$1)</f>
        <v>1E-3</v>
      </c>
    </row>
    <row r="25" spans="1:37" ht="18" customHeight="1">
      <c r="A25" s="209"/>
      <c r="B25" s="195"/>
      <c r="C25" s="3880"/>
      <c r="D25" s="3926"/>
      <c r="E25" s="3925" t="s">
        <v>3809</v>
      </c>
      <c r="F25" s="3413">
        <f ca="1">C53</f>
        <v>701286</v>
      </c>
      <c r="G25" s="935"/>
      <c r="H25" s="209"/>
      <c r="I25" s="195"/>
      <c r="J25" s="3880"/>
      <c r="K25" s="3926"/>
      <c r="L25" s="3925" t="s">
        <v>3809</v>
      </c>
      <c r="M25" s="3440">
        <f ca="1">J37</f>
        <v>0</v>
      </c>
    </row>
    <row r="26" spans="1:37" s="946" customFormat="1" ht="18" customHeight="1" thickBot="1">
      <c r="A26" s="726" t="s">
        <v>669</v>
      </c>
      <c r="B26" s="727" t="s">
        <v>713</v>
      </c>
      <c r="C26" s="3027">
        <f ca="1">ROUND(C5*F26,0)</f>
        <v>1048</v>
      </c>
      <c r="D26" s="729" t="s">
        <v>3854</v>
      </c>
      <c r="E26" s="727" t="s">
        <v>697</v>
      </c>
      <c r="F26" s="2830">
        <f ca="1">INDIRECT("'数据-取费表'!Am"&amp;$G$1)</f>
        <v>5.0000000000000001E-3</v>
      </c>
      <c r="G26" s="945"/>
      <c r="H26" s="726" t="s">
        <v>669</v>
      </c>
      <c r="I26" s="727" t="s">
        <v>713</v>
      </c>
      <c r="J26" s="3027">
        <f ca="1">ROUND(J5*M26,0)</f>
        <v>0</v>
      </c>
      <c r="K26" s="729" t="s">
        <v>3854</v>
      </c>
      <c r="L26" s="727" t="s">
        <v>697</v>
      </c>
      <c r="M26" s="3437">
        <f ca="1">INDIRECT("'数据-取费表'!Am"&amp;$G$1)</f>
        <v>5.0000000000000001E-3</v>
      </c>
      <c r="N26" s="945"/>
      <c r="O26" s="945"/>
      <c r="P26" s="945"/>
      <c r="Q26" s="3427"/>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3291</v>
      </c>
      <c r="B27" s="731" t="s">
        <v>3912</v>
      </c>
      <c r="C27" s="3853">
        <f ca="1">C5-C13</f>
        <v>178752</v>
      </c>
      <c r="D27" s="4221" t="s">
        <v>3895</v>
      </c>
      <c r="E27" s="4010"/>
      <c r="F27" s="4011"/>
      <c r="G27" s="498"/>
      <c r="H27" s="716" t="s">
        <v>3291</v>
      </c>
      <c r="I27" s="731" t="s">
        <v>3912</v>
      </c>
      <c r="J27" s="3853">
        <f ca="1">J5-J13</f>
        <v>-8769</v>
      </c>
      <c r="K27" s="4221" t="s">
        <v>3895</v>
      </c>
      <c r="L27" s="4065"/>
      <c r="M27" s="4012"/>
      <c r="N27" s="498"/>
      <c r="O27" s="498"/>
      <c r="P27" s="498"/>
      <c r="Q27" s="4046"/>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3669</v>
      </c>
      <c r="B28" s="184" t="s">
        <v>3879</v>
      </c>
      <c r="C28" s="3912">
        <f ca="1">ROUND(C27*(1-((1+F30)/(1+F28))^F29)/(F28-F30),0)</f>
        <v>2664658</v>
      </c>
      <c r="D28" s="4013" t="s">
        <v>3913</v>
      </c>
      <c r="E28" s="2725" t="s">
        <v>3881</v>
      </c>
      <c r="F28" s="2767">
        <f ca="1">INDIRECT("'数据-取费表'!I"&amp;$G$1)</f>
        <v>0.06</v>
      </c>
      <c r="G28" s="4001"/>
      <c r="H28" s="183" t="s">
        <v>3669</v>
      </c>
      <c r="I28" s="3913" t="s">
        <v>3800</v>
      </c>
      <c r="J28" s="3928">
        <f ca="1">IF(J5&lt;&gt;0,ROUND(J27*(1-((1+M30)/(1+M28))^M29)/(M28-M30),0),0)</f>
        <v>0</v>
      </c>
      <c r="K28" s="4013" t="s">
        <v>3913</v>
      </c>
      <c r="L28" s="4014" t="s">
        <v>3881</v>
      </c>
      <c r="M28" s="3434">
        <f ca="1">INDIRECT("'数据-取费表'!I"&amp;$G$1)</f>
        <v>0.06</v>
      </c>
      <c r="N28" s="4001"/>
      <c r="O28" s="4001"/>
      <c r="P28" s="4001"/>
      <c r="Q28" s="4045"/>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18.75" customHeight="1">
      <c r="A29" s="188"/>
      <c r="B29" s="189"/>
      <c r="C29" s="3929"/>
      <c r="D29" s="4015"/>
      <c r="E29" s="2725" t="s">
        <v>3884</v>
      </c>
      <c r="F29" s="2768">
        <f ca="1">IF(INDIRECT("'数据-取费表'!af"&amp;$G$1)=0,INDIRECT("'数据-取费表'!ae"&amp;$G$1),INDIRECT("'数据-取费表'!af"&amp;$G$1))</f>
        <v>23.58</v>
      </c>
      <c r="G29" s="4001"/>
      <c r="H29" s="188"/>
      <c r="I29" s="189"/>
      <c r="J29" s="3929"/>
      <c r="K29" s="4015"/>
      <c r="L29" s="2725" t="s">
        <v>3884</v>
      </c>
      <c r="M29" s="4125">
        <f ca="1">INDIRECT("'数据-取费表'!ag"&amp;$G$1)</f>
        <v>0</v>
      </c>
      <c r="N29" s="4001"/>
      <c r="O29" s="4001"/>
      <c r="P29" s="4001"/>
      <c r="Q29" s="4045"/>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3886</v>
      </c>
      <c r="F30" s="2767">
        <f ca="1">INDIRECT("'数据-取费表'!v"&amp;$G$1)</f>
        <v>0.02</v>
      </c>
      <c r="G30" s="4001"/>
      <c r="H30" s="192"/>
      <c r="I30" s="193"/>
      <c r="J30" s="3930"/>
      <c r="K30" s="731"/>
      <c r="L30" s="2725" t="s">
        <v>3886</v>
      </c>
      <c r="M30" s="3901">
        <f ca="1">INDIRECT("'数据-取费表'!aa"&amp;$G$1)</f>
        <v>0</v>
      </c>
      <c r="N30" s="4001"/>
      <c r="O30" s="4001"/>
      <c r="P30" s="4001"/>
      <c r="Q30" s="4045"/>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3670</v>
      </c>
      <c r="B31" s="3835" t="s">
        <v>3887</v>
      </c>
      <c r="C31" s="3838">
        <f ca="1">ROUND(C28*(1+F31),0)</f>
        <v>2904477</v>
      </c>
      <c r="D31" s="4016" t="s">
        <v>3673</v>
      </c>
      <c r="E31" s="4017" t="str">
        <f>IF(D31="其他类型公式—收益价值×（1+9%）","销项税率","征收率")</f>
        <v>销项税率</v>
      </c>
      <c r="F31" s="4047">
        <f>IF(D31="其他类型公式—收益价值×（1+9%）",9%,3%)</f>
        <v>0.09</v>
      </c>
      <c r="G31" s="498"/>
      <c r="H31" s="199" t="s">
        <v>3670</v>
      </c>
      <c r="I31" s="2725" t="s">
        <v>3888</v>
      </c>
      <c r="J31" s="2743">
        <f ca="1">ROUND(J28/(1+F28)^F29,0)</f>
        <v>0</v>
      </c>
      <c r="K31" s="2684" t="s">
        <v>3914</v>
      </c>
      <c r="L31" s="2725"/>
      <c r="M31" s="4125">
        <f ca="1">INDIRECT("'数据-取费表'!k"&amp;$G$1)</f>
        <v>138.79</v>
      </c>
      <c r="N31" s="498"/>
      <c r="O31" s="498"/>
      <c r="P31" s="498"/>
      <c r="Q31" s="4046"/>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f ca="1">ROUND(C31/F32,0)</f>
        <v>20927</v>
      </c>
      <c r="D32" s="4018" t="s">
        <v>3889</v>
      </c>
      <c r="E32" s="217" t="s">
        <v>3890</v>
      </c>
      <c r="F32" s="2769">
        <f ca="1">INDIRECT("'数据-取费表'!k"&amp;$G$1)</f>
        <v>138.79</v>
      </c>
      <c r="G32" s="498"/>
      <c r="H32" s="3831" t="s">
        <v>3672</v>
      </c>
      <c r="I32" s="3832" t="s">
        <v>3891</v>
      </c>
      <c r="J32" s="3840">
        <f ca="1">ROUND(J31*(1+F31),0)</f>
        <v>0</v>
      </c>
      <c r="K32" s="4019" t="str">
        <f>D31</f>
        <v>其他类型公式—收益价值×（1+9%）</v>
      </c>
      <c r="L32" s="4020"/>
      <c r="M32" s="4126"/>
      <c r="N32" s="498"/>
      <c r="O32" s="498"/>
      <c r="P32" s="498"/>
      <c r="Q32" s="4046"/>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f ca="1">1-C27/C5</f>
        <v>0.14689880304679004</v>
      </c>
      <c r="G33" s="935"/>
    </row>
    <row r="34" spans="1:37" s="118" customFormat="1" ht="18" customHeight="1" thickBot="1">
      <c r="A34" s="3994" t="s">
        <v>3915</v>
      </c>
      <c r="B34" s="3995" t="s">
        <v>3916</v>
      </c>
      <c r="C34" s="3996" t="s">
        <v>3976</v>
      </c>
      <c r="D34" s="3995" t="s">
        <v>3917</v>
      </c>
      <c r="E34" s="3997" t="s">
        <v>3918</v>
      </c>
      <c r="F34" s="3998"/>
      <c r="G34" s="4001"/>
      <c r="H34" s="3994" t="s">
        <v>3915</v>
      </c>
      <c r="I34" s="3995" t="s">
        <v>3916</v>
      </c>
      <c r="J34" s="3996" t="s">
        <v>3976</v>
      </c>
      <c r="K34" s="3995" t="s">
        <v>3917</v>
      </c>
      <c r="L34" s="3997" t="s">
        <v>3918</v>
      </c>
      <c r="M34" s="3998"/>
      <c r="N34" s="4001"/>
      <c r="O34" s="4001"/>
      <c r="P34" s="4001"/>
      <c r="Q34" s="4045"/>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2723" t="s">
        <v>3398</v>
      </c>
      <c r="B35" s="2724" t="s">
        <v>3399</v>
      </c>
      <c r="C35" s="3415">
        <f ca="1">SUM(C36:C41)</f>
        <v>656199</v>
      </c>
      <c r="D35" s="2736" t="s">
        <v>3406</v>
      </c>
      <c r="E35" s="2732"/>
      <c r="F35" s="2733"/>
      <c r="G35" s="935"/>
      <c r="H35" s="2746" t="s">
        <v>3398</v>
      </c>
      <c r="I35" s="2749" t="s">
        <v>3438</v>
      </c>
      <c r="J35" s="2750">
        <f ca="1">C51</f>
        <v>844923</v>
      </c>
      <c r="K35" s="3200" t="s">
        <v>3434</v>
      </c>
      <c r="L35" s="2751"/>
      <c r="M35" s="3034"/>
    </row>
    <row r="36" spans="1:37" ht="18" customHeight="1">
      <c r="A36" s="2700" t="s">
        <v>391</v>
      </c>
      <c r="B36" s="2665" t="s">
        <v>692</v>
      </c>
      <c r="C36" s="2610">
        <f ca="1">ROUND(INDIRECT("'数据-取费表'!l"&amp;$G$1)*F32+'数据-取费表'!L14*INDIRECT("'数据-取费表'!S"&amp;$G$1),0)</f>
        <v>569039</v>
      </c>
      <c r="D36" s="899" t="s">
        <v>693</v>
      </c>
      <c r="E36" s="899"/>
      <c r="F36" s="215"/>
      <c r="G36" s="935"/>
      <c r="H36" s="2747" t="s">
        <v>396</v>
      </c>
      <c r="I36" s="2752" t="s">
        <v>3426</v>
      </c>
      <c r="J36" s="2650">
        <f ca="1">ROUND(J35*(1-M36),0)</f>
        <v>844923</v>
      </c>
      <c r="K36" s="186" t="s">
        <v>3429</v>
      </c>
      <c r="L36" s="2715" t="s">
        <v>3441</v>
      </c>
      <c r="M36" s="2767">
        <f ca="1">INDIRECT("'数据-取费表'!ad"&amp;$G$1)</f>
        <v>0</v>
      </c>
    </row>
    <row r="37" spans="1:37" ht="18" customHeight="1" thickBot="1">
      <c r="A37" s="2700" t="s">
        <v>3392</v>
      </c>
      <c r="B37" s="2665" t="s">
        <v>695</v>
      </c>
      <c r="C37" s="2702">
        <f ca="1">ROUND(C36*F37,0)</f>
        <v>39833</v>
      </c>
      <c r="D37" s="186" t="s">
        <v>696</v>
      </c>
      <c r="E37" s="186" t="s">
        <v>697</v>
      </c>
      <c r="F37" s="2765">
        <f>'数据-取费表'!B33</f>
        <v>7.0000000000000007E-2</v>
      </c>
      <c r="G37" s="935"/>
      <c r="H37" s="2748" t="s">
        <v>3417</v>
      </c>
      <c r="I37" s="2753" t="s">
        <v>3428</v>
      </c>
      <c r="J37" s="2754">
        <f ca="1">J35-J36</f>
        <v>0</v>
      </c>
      <c r="K37" s="2734" t="s">
        <v>3463</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3402</v>
      </c>
      <c r="B39" s="2665" t="s">
        <v>701</v>
      </c>
      <c r="C39" s="2702">
        <f ca="1">ROUND(F39*(F32+INDIRECT("'数据-取费表'!S"&amp;$G$1)),0)</f>
        <v>41637</v>
      </c>
      <c r="D39" s="186" t="s">
        <v>702</v>
      </c>
      <c r="E39" s="186" t="s">
        <v>3861</v>
      </c>
      <c r="F39" s="3423">
        <f>'数据-取费表'!B35</f>
        <v>300</v>
      </c>
      <c r="G39" s="935"/>
    </row>
    <row r="40" spans="1:37" ht="18" customHeight="1">
      <c r="A40" s="2700" t="s">
        <v>668</v>
      </c>
      <c r="B40" s="2717" t="s">
        <v>3283</v>
      </c>
      <c r="C40" s="2702">
        <f ca="1">ROUND(C36*F40,0)</f>
        <v>5690</v>
      </c>
      <c r="D40" s="186" t="s">
        <v>696</v>
      </c>
      <c r="E40" s="186" t="s">
        <v>697</v>
      </c>
      <c r="F40" s="2765">
        <f>'数据-取费表'!B36</f>
        <v>0.01</v>
      </c>
      <c r="G40" s="935"/>
      <c r="H40" s="47"/>
      <c r="I40" s="47"/>
      <c r="J40" s="47"/>
      <c r="K40" s="1861"/>
      <c r="L40" s="47"/>
      <c r="M40" s="47"/>
    </row>
    <row r="41" spans="1:37" ht="18" customHeight="1">
      <c r="A41" s="2700" t="s">
        <v>668</v>
      </c>
      <c r="B41" s="2717" t="s">
        <v>3284</v>
      </c>
      <c r="C41" s="2702">
        <f ca="1">ROUND(C36*F41,0)</f>
        <v>0</v>
      </c>
      <c r="D41" s="186" t="s">
        <v>696</v>
      </c>
      <c r="E41" s="186" t="s">
        <v>697</v>
      </c>
      <c r="F41" s="2765">
        <f>'数据-取费表'!B37</f>
        <v>0</v>
      </c>
      <c r="G41" s="935"/>
      <c r="H41" s="47"/>
      <c r="I41" s="47"/>
      <c r="J41" s="47"/>
      <c r="K41" s="1861"/>
      <c r="L41" s="47"/>
      <c r="M41" s="47"/>
    </row>
    <row r="42" spans="1:37" ht="18" customHeight="1">
      <c r="A42" s="199" t="s">
        <v>3413</v>
      </c>
      <c r="B42" s="2725" t="s">
        <v>3414</v>
      </c>
      <c r="C42" s="2743">
        <f ca="1">ROUND(C35*F42,0)</f>
        <v>13124</v>
      </c>
      <c r="D42" s="2726" t="s">
        <v>3415</v>
      </c>
      <c r="E42" s="2725" t="s">
        <v>3416</v>
      </c>
      <c r="F42" s="2767">
        <f>'数据-取费表'!B38</f>
        <v>0.02</v>
      </c>
      <c r="G42" s="935"/>
      <c r="H42" s="47"/>
      <c r="I42" s="47"/>
      <c r="J42" s="47"/>
      <c r="K42" s="1861"/>
      <c r="L42" s="47"/>
      <c r="M42" s="47"/>
    </row>
    <row r="43" spans="1:37" ht="18" customHeight="1">
      <c r="A43" s="199" t="s">
        <v>3417</v>
      </c>
      <c r="B43" s="2725" t="s">
        <v>3418</v>
      </c>
      <c r="C43" s="2790" t="str">
        <f>F43&amp;"V建"</f>
        <v>0.02V建</v>
      </c>
      <c r="D43" s="2726" t="s">
        <v>3419</v>
      </c>
      <c r="E43" s="2725" t="s">
        <v>3420</v>
      </c>
      <c r="F43" s="2767">
        <f>'数据-取费表'!B39</f>
        <v>0.02</v>
      </c>
      <c r="G43" s="935"/>
      <c r="H43" s="47"/>
      <c r="I43" s="47"/>
      <c r="J43" s="47"/>
      <c r="K43" s="1861"/>
      <c r="L43" s="47"/>
      <c r="M43" s="47"/>
    </row>
    <row r="44" spans="1:37" ht="18" customHeight="1">
      <c r="A44" s="199" t="s">
        <v>3421</v>
      </c>
      <c r="B44" s="2728" t="s">
        <v>3358</v>
      </c>
      <c r="C44" s="3416" t="str">
        <f ca="1">C45&amp;"+"&amp;C46&amp;"V建"</f>
        <v>20950+0.0006V建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20950</v>
      </c>
      <c r="D45" s="55" t="str">
        <f>IF(F45&lt;=1,"(建造成本+管理费用)×利率×(建设周期÷2)","(建造成本+管理费用)×((1+利率)^(建设周期÷2)-1)")</f>
        <v>(建造成本+管理费用)×((1+利率)^(建设周期÷2)-1)</v>
      </c>
      <c r="E45" s="186" t="s">
        <v>726</v>
      </c>
      <c r="F45" s="3420">
        <f>'数据-取费表'!B20</f>
        <v>2</v>
      </c>
      <c r="G45" s="935"/>
      <c r="H45" s="47"/>
      <c r="I45" s="47"/>
      <c r="J45" s="47"/>
      <c r="K45" s="1861"/>
      <c r="L45" s="47"/>
      <c r="M45" s="47"/>
    </row>
    <row r="46" spans="1:37" ht="18" customHeight="1">
      <c r="A46" s="2700" t="s">
        <v>730</v>
      </c>
      <c r="B46" s="186" t="s">
        <v>731</v>
      </c>
      <c r="C46" s="3414">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3422</v>
      </c>
      <c r="B47" s="2728" t="s">
        <v>3302</v>
      </c>
      <c r="C47" s="3416" t="str">
        <f ca="1">C48&amp;"+"&amp;C49&amp;"V建"</f>
        <v>133865+0.004V建</v>
      </c>
      <c r="D47" s="2684" t="s">
        <v>3423</v>
      </c>
      <c r="E47" s="200"/>
      <c r="F47" s="2766"/>
      <c r="G47" s="935"/>
      <c r="H47" s="47"/>
      <c r="I47" s="47"/>
      <c r="J47" s="47"/>
      <c r="K47" s="1861"/>
      <c r="L47" s="47"/>
      <c r="M47" s="47"/>
    </row>
    <row r="48" spans="1:37" ht="18" customHeight="1">
      <c r="A48" s="2700" t="s">
        <v>391</v>
      </c>
      <c r="B48" s="186" t="s">
        <v>739</v>
      </c>
      <c r="C48" s="2702">
        <f ca="1">ROUND((C35+C42)*F48,0)</f>
        <v>133865</v>
      </c>
      <c r="D48" s="206" t="s">
        <v>740</v>
      </c>
      <c r="E48" s="186" t="s">
        <v>741</v>
      </c>
      <c r="F48" s="2767">
        <f ca="1">INDIRECT("'数据-取费表'!q"&amp;$G$1)</f>
        <v>0.2</v>
      </c>
      <c r="G48" s="935"/>
      <c r="H48" s="47"/>
      <c r="I48" s="47"/>
      <c r="J48" s="47"/>
      <c r="K48" s="1861"/>
      <c r="L48" s="47"/>
      <c r="M48" s="47"/>
    </row>
    <row r="49" spans="1:37" ht="18" customHeight="1">
      <c r="A49" s="2700" t="s">
        <v>393</v>
      </c>
      <c r="B49" s="186" t="s">
        <v>745</v>
      </c>
      <c r="C49" s="3414">
        <f ca="1">ROUND(F43*F48,4)</f>
        <v>4.0000000000000001E-3</v>
      </c>
      <c r="D49" s="206" t="s">
        <v>746</v>
      </c>
      <c r="E49" s="186"/>
      <c r="F49" s="2765"/>
      <c r="G49" s="935"/>
      <c r="H49" s="47"/>
      <c r="I49" s="47"/>
      <c r="J49" s="47"/>
      <c r="K49" s="1861"/>
      <c r="L49" s="47"/>
      <c r="M49" s="47"/>
    </row>
    <row r="50" spans="1:37" s="118" customFormat="1" ht="18" customHeight="1">
      <c r="A50" s="199" t="s">
        <v>3920</v>
      </c>
      <c r="B50" s="2725" t="s">
        <v>3410</v>
      </c>
      <c r="C50" s="2743">
        <f>ROUND(F50/(1+'数据-取费表'!C43),4)</f>
        <v>0</v>
      </c>
      <c r="D50" s="3981" t="s">
        <v>3860</v>
      </c>
      <c r="E50" s="2725"/>
      <c r="F50" s="2767"/>
      <c r="G50" s="4001"/>
      <c r="H50" s="4048"/>
      <c r="I50" s="4048"/>
      <c r="J50" s="4048"/>
      <c r="K50" s="4049"/>
      <c r="L50" s="4048"/>
      <c r="M50" s="4048"/>
      <c r="N50" s="4001"/>
      <c r="O50" s="4001"/>
      <c r="P50" s="4001"/>
      <c r="Q50" s="4045"/>
      <c r="R50" s="4001"/>
      <c r="S50" s="4001"/>
      <c r="T50" s="4001"/>
      <c r="U50" s="4001"/>
      <c r="V50" s="4001"/>
      <c r="W50" s="4001"/>
      <c r="X50" s="4001"/>
      <c r="Y50" s="4001"/>
      <c r="Z50" s="4001"/>
      <c r="AA50" s="4001"/>
      <c r="AB50" s="4001"/>
      <c r="AC50" s="4001"/>
      <c r="AD50" s="4001"/>
      <c r="AE50" s="4001"/>
      <c r="AF50" s="4001"/>
      <c r="AG50" s="4001"/>
      <c r="AH50" s="4001"/>
      <c r="AI50" s="4001"/>
      <c r="AJ50" s="4001"/>
      <c r="AK50" s="4001"/>
    </row>
    <row r="51" spans="1:37" s="4001" customFormat="1" ht="18" customHeight="1">
      <c r="A51" s="199" t="s">
        <v>3921</v>
      </c>
      <c r="B51" s="2725" t="s">
        <v>3922</v>
      </c>
      <c r="C51" s="2743">
        <f ca="1">ROUND((C35+C42+C45+C48)/(1-F43-C46-C49-C50),0)</f>
        <v>844923</v>
      </c>
      <c r="D51" s="2739" t="s">
        <v>3434</v>
      </c>
      <c r="E51" s="2725"/>
      <c r="F51" s="2767"/>
      <c r="K51" s="4050"/>
      <c r="Q51" s="4045"/>
    </row>
    <row r="52" spans="1:37" s="4001" customFormat="1" ht="18" customHeight="1">
      <c r="A52" s="2729" t="s">
        <v>3424</v>
      </c>
      <c r="B52" s="2728" t="s">
        <v>3426</v>
      </c>
      <c r="C52" s="2743">
        <f ca="1">ROUND(C51*(1-F52),0)</f>
        <v>143637</v>
      </c>
      <c r="D52" s="2725" t="s">
        <v>3923</v>
      </c>
      <c r="E52" s="2725" t="s">
        <v>3924</v>
      </c>
      <c r="F52" s="2767">
        <f ca="1">INDIRECT("'数据-取费表'!y"&amp;$G$1)</f>
        <v>0.83</v>
      </c>
      <c r="K52" s="4050"/>
      <c r="Q52" s="4045"/>
    </row>
    <row r="53" spans="1:37" s="4001" customFormat="1" ht="18" customHeight="1" thickBot="1">
      <c r="A53" s="2730" t="s">
        <v>3919</v>
      </c>
      <c r="B53" s="2738" t="s">
        <v>3432</v>
      </c>
      <c r="C53" s="2754">
        <f ca="1">C51-C52</f>
        <v>701286</v>
      </c>
      <c r="D53" s="2734" t="s">
        <v>3925</v>
      </c>
      <c r="E53" s="217"/>
      <c r="F53" s="2735"/>
      <c r="K53" s="4050"/>
      <c r="Q53" s="4045"/>
    </row>
    <row r="54" spans="1:37" s="935" customFormat="1" ht="18" customHeight="1" thickBot="1">
      <c r="A54" s="949"/>
      <c r="B54" s="949"/>
      <c r="C54" s="950"/>
      <c r="D54" s="949"/>
      <c r="E54" s="949"/>
      <c r="F54" s="949"/>
      <c r="I54" s="2756" t="s">
        <v>3442</v>
      </c>
      <c r="J54" s="494"/>
      <c r="O54" s="1965" t="s">
        <v>793</v>
      </c>
      <c r="P54" s="1008"/>
      <c r="Q54" s="3428"/>
      <c r="R54" s="1008"/>
    </row>
    <row r="55" spans="1:37" s="935" customFormat="1" ht="13.5" thickBot="1">
      <c r="A55" s="2473" t="s">
        <v>3952</v>
      </c>
      <c r="C55" s="4224">
        <f ca="1">ROUND(IF(D2="含税",C83-C31,C80-C28)/10000,4)</f>
        <v>-293.66079999999999</v>
      </c>
      <c r="D55" s="955" t="str">
        <f>C2</f>
        <v>万元</v>
      </c>
      <c r="E55" s="949"/>
      <c r="F55" s="949"/>
      <c r="I55" s="956" t="s">
        <v>795</v>
      </c>
      <c r="J55" s="957"/>
      <c r="K55" s="958"/>
      <c r="L55" s="3897">
        <f ca="1">IF(M56="住宅",0,IF(L57&gt;J60,L69,J69))</f>
        <v>55048</v>
      </c>
      <c r="O55" s="4035" t="s">
        <v>1325</v>
      </c>
      <c r="P55" s="4036" t="s">
        <v>3896</v>
      </c>
      <c r="Q55" s="4056" t="s">
        <v>3897</v>
      </c>
      <c r="R55" s="4037" t="s">
        <v>3898</v>
      </c>
    </row>
    <row r="56" spans="1:37" s="935" customFormat="1" ht="13.5" thickBot="1">
      <c r="A56" s="4022" t="s">
        <v>3867</v>
      </c>
      <c r="B56" s="4023" t="s">
        <v>3868</v>
      </c>
      <c r="C56" s="3996" t="s">
        <v>3976</v>
      </c>
      <c r="D56" s="4023" t="s">
        <v>3869</v>
      </c>
      <c r="E56" s="4024" t="s">
        <v>3870</v>
      </c>
      <c r="F56" s="4051"/>
      <c r="G56" s="490"/>
      <c r="I56" s="963" t="s">
        <v>800</v>
      </c>
      <c r="J56" s="964" t="s">
        <v>4107</v>
      </c>
      <c r="K56" s="965" t="s">
        <v>801</v>
      </c>
      <c r="L56" s="3898">
        <f ca="1">INDIRECT("'数据-取费表'!d"&amp;$G$1)</f>
        <v>40</v>
      </c>
      <c r="M56" s="931" t="str">
        <f>IF(ISNUMBER(FIND("住宅",C1)),"住宅","非住宅")</f>
        <v>非住宅</v>
      </c>
      <c r="O56" s="4038" t="s">
        <v>397</v>
      </c>
      <c r="P56" s="4042" t="s">
        <v>3936</v>
      </c>
      <c r="Q56" s="4043">
        <f ca="1">C28+J31</f>
        <v>2664658</v>
      </c>
      <c r="R56" s="4040" t="s">
        <v>3900</v>
      </c>
    </row>
    <row r="57" spans="1:37" s="935" customFormat="1" ht="42.75" thickBot="1">
      <c r="A57" s="652" t="s">
        <v>432</v>
      </c>
      <c r="B57" s="184" t="s">
        <v>3892</v>
      </c>
      <c r="C57" s="4025">
        <f ca="1">C58+C62+C64</f>
        <v>0</v>
      </c>
      <c r="D57" s="4002" t="s">
        <v>3926</v>
      </c>
      <c r="E57" s="4026"/>
      <c r="F57" s="4052"/>
      <c r="G57" s="490"/>
      <c r="H57" s="491"/>
      <c r="I57" s="970" t="s">
        <v>804</v>
      </c>
      <c r="J57" s="971" t="s">
        <v>4139</v>
      </c>
      <c r="K57" s="972" t="s">
        <v>805</v>
      </c>
      <c r="L57" s="3887">
        <f ca="1">INDIRECT("'数据-取费表'!f"&amp;$G$1)</f>
        <v>23.58</v>
      </c>
      <c r="O57" s="4038" t="s">
        <v>398</v>
      </c>
      <c r="P57" s="4039" t="s">
        <v>3901</v>
      </c>
      <c r="Q57" s="4043">
        <f ca="1">J69</f>
        <v>55048</v>
      </c>
      <c r="R57" s="4040" t="s">
        <v>3902</v>
      </c>
    </row>
    <row r="58" spans="1:37" s="935" customFormat="1" ht="15" customHeight="1" thickBot="1">
      <c r="A58" s="3864" t="s">
        <v>3797</v>
      </c>
      <c r="B58" s="2714" t="s">
        <v>3784</v>
      </c>
      <c r="C58" s="2757">
        <f ca="1">C59-C61</f>
        <v>0</v>
      </c>
      <c r="D58" s="2715" t="s">
        <v>3788</v>
      </c>
      <c r="E58" s="2737" t="s">
        <v>3431</v>
      </c>
      <c r="F58" s="2759"/>
      <c r="H58" s="491"/>
      <c r="I58" s="970" t="s">
        <v>808</v>
      </c>
      <c r="J58" s="3885">
        <v>2011</v>
      </c>
      <c r="K58" s="972" t="s">
        <v>809</v>
      </c>
      <c r="L58" s="3899"/>
      <c r="O58" s="976" t="s">
        <v>399</v>
      </c>
      <c r="P58" s="4058" t="s">
        <v>3937</v>
      </c>
      <c r="Q58" s="3429">
        <f ca="1">C51</f>
        <v>844923</v>
      </c>
      <c r="R58" s="969" t="s">
        <v>803</v>
      </c>
    </row>
    <row r="59" spans="1:37" s="935" customFormat="1" ht="15" customHeight="1" thickBot="1">
      <c r="A59" s="3871" t="s">
        <v>3785</v>
      </c>
      <c r="B59" s="4488" t="s">
        <v>3782</v>
      </c>
      <c r="C59" s="3912">
        <f ca="1">ROUND(F58*F60*F59,0)</f>
        <v>0</v>
      </c>
      <c r="D59" s="4491" t="s">
        <v>3462</v>
      </c>
      <c r="E59" s="698" t="s">
        <v>682</v>
      </c>
      <c r="F59" s="2760">
        <f ca="1">F7</f>
        <v>138.79</v>
      </c>
      <c r="H59" s="491"/>
      <c r="I59" s="970" t="s">
        <v>811</v>
      </c>
      <c r="J59" s="3903">
        <f>SUMPRODUCT((I72:I74=J56)*(J71:L71=J57)*(J72:L74))</f>
        <v>60</v>
      </c>
      <c r="K59" s="972" t="s">
        <v>812</v>
      </c>
      <c r="L59" s="3899"/>
      <c r="M59" s="978"/>
      <c r="O59" s="976" t="s">
        <v>400</v>
      </c>
      <c r="P59" s="968" t="s">
        <v>813</v>
      </c>
      <c r="Q59" s="3430">
        <f ca="1">J67</f>
        <v>0.4</v>
      </c>
      <c r="R59" s="969"/>
    </row>
    <row r="60" spans="1:37" s="935" customFormat="1" ht="15" customHeight="1" thickBot="1">
      <c r="A60" s="4124"/>
      <c r="B60" s="4489"/>
      <c r="C60" s="3852"/>
      <c r="D60" s="4491"/>
      <c r="E60" s="657" t="str">
        <f ca="1">IF(F60=1,"年",IF(F60=12,"月","天"))</f>
        <v>天</v>
      </c>
      <c r="F60" s="2761">
        <f ca="1">F8</f>
        <v>365</v>
      </c>
      <c r="I60" s="980" t="s">
        <v>814</v>
      </c>
      <c r="J60" s="3887">
        <f>IF(J58="",J59,J58+J59-YEAR('数据-取费表'!B2))</f>
        <v>45</v>
      </c>
      <c r="K60" s="981" t="s">
        <v>815</v>
      </c>
      <c r="L60" s="3876">
        <f ca="1">ROUND(-PV(INDIRECT("'数据-取费表'!h"&amp;$G$1),J60,(C27-C52*C88),0),0)</f>
        <v>2998440</v>
      </c>
      <c r="M60" s="983"/>
      <c r="O60" s="976" t="s">
        <v>401</v>
      </c>
      <c r="P60" s="968" t="s">
        <v>816</v>
      </c>
      <c r="Q60" s="3430">
        <f>J61</f>
        <v>0.08</v>
      </c>
      <c r="R60" s="969"/>
    </row>
    <row r="61" spans="1:37" s="935" customFormat="1" ht="15" customHeight="1" thickBot="1">
      <c r="A61" s="3851" t="s">
        <v>3786</v>
      </c>
      <c r="B61" s="4086" t="s">
        <v>3783</v>
      </c>
      <c r="C61" s="2758">
        <f ca="1">ROUND(C59*F61,0)</f>
        <v>0</v>
      </c>
      <c r="D61" s="2715" t="s">
        <v>3787</v>
      </c>
      <c r="E61" s="657" t="s">
        <v>684</v>
      </c>
      <c r="F61" s="2762"/>
      <c r="I61" s="984" t="s">
        <v>817</v>
      </c>
      <c r="J61" s="3888">
        <v>0.08</v>
      </c>
      <c r="K61" s="984" t="s">
        <v>818</v>
      </c>
      <c r="L61" s="3902"/>
      <c r="O61" s="976" t="s">
        <v>402</v>
      </c>
      <c r="P61" s="968" t="s">
        <v>819</v>
      </c>
      <c r="Q61" s="3429">
        <f ca="1">J62</f>
        <v>23.58</v>
      </c>
      <c r="R61" s="969" t="s">
        <v>820</v>
      </c>
    </row>
    <row r="62" spans="1:37" s="935" customFormat="1" ht="24.75" thickBot="1">
      <c r="A62" s="3874" t="s">
        <v>3439</v>
      </c>
      <c r="B62" s="924" t="s">
        <v>685</v>
      </c>
      <c r="C62" s="2743">
        <f ca="1">ROUND(IF(F62="押一",C58/12*F11,IF(F62="押二",C58/12*2*F11,IF(F62="押三",C58/12*3*F11,C63*F11))),0)</f>
        <v>0</v>
      </c>
      <c r="D62" s="59" t="s">
        <v>2019</v>
      </c>
      <c r="E62" s="197" t="s">
        <v>686</v>
      </c>
      <c r="F62" s="2763"/>
      <c r="I62" s="986" t="s">
        <v>821</v>
      </c>
      <c r="J62" s="3889">
        <f ca="1">IF(M56="住宅",IF(D1="——",MAX(J60,L57),MAX(J60,L57-'数据-取费表'!B24)),IF(D1="——",MIN(J60,L57),MIN(J60,L57-'数据-取费表'!B24)))</f>
        <v>23.58</v>
      </c>
      <c r="K62" s="4486" t="s">
        <v>822</v>
      </c>
      <c r="L62" s="4487"/>
      <c r="O62" s="4038" t="s">
        <v>403</v>
      </c>
      <c r="P62" s="4042" t="s">
        <v>3938</v>
      </c>
      <c r="Q62" s="4043">
        <f ca="1">ROUND((Q56+Q57)*(1+F31),0)</f>
        <v>2964480</v>
      </c>
      <c r="R62" s="4040" t="s">
        <v>3940</v>
      </c>
    </row>
    <row r="63" spans="1:37" s="935" customFormat="1" ht="13.5" thickBot="1">
      <c r="A63" s="764"/>
      <c r="B63" s="918" t="str">
        <f>IF(OR(F62="自定义",F62=" "),"（自定义押金）单位：元","")</f>
        <v/>
      </c>
      <c r="C63" s="342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31"/>
      <c r="R63" s="932"/>
    </row>
    <row r="64" spans="1:37" s="935" customFormat="1" ht="13.5" thickBot="1">
      <c r="A64" s="720" t="s">
        <v>431</v>
      </c>
      <c r="B64" s="920" t="s">
        <v>688</v>
      </c>
      <c r="C64" s="2744"/>
      <c r="D64" s="59"/>
      <c r="E64" s="925"/>
      <c r="F64" s="987"/>
      <c r="I64" s="990" t="s">
        <v>825</v>
      </c>
      <c r="J64" s="991">
        <f ca="1">ROUND(IF(J56="钢混",J66/J59,1-(1-2%)*(J59-J66)/J59),3)</f>
        <v>0.35699999999999998</v>
      </c>
      <c r="K64" s="992" t="s">
        <v>826</v>
      </c>
      <c r="L64" s="993"/>
      <c r="O64" s="4035" t="s">
        <v>1325</v>
      </c>
      <c r="P64" s="4036" t="s">
        <v>3896</v>
      </c>
      <c r="Q64" s="4056" t="s">
        <v>3897</v>
      </c>
      <c r="R64" s="4037" t="s">
        <v>3898</v>
      </c>
    </row>
    <row r="65" spans="1:18" s="935" customFormat="1" ht="25.5" thickTop="1" thickBot="1">
      <c r="A65" s="199" t="s">
        <v>3927</v>
      </c>
      <c r="B65" s="634" t="s">
        <v>3909</v>
      </c>
      <c r="C65" s="2743">
        <f ca="1">ROUND(C66+C74+C76+C78,0)</f>
        <v>2368</v>
      </c>
      <c r="D65" s="634" t="s">
        <v>3928</v>
      </c>
      <c r="E65" s="4053"/>
      <c r="F65" s="638"/>
      <c r="I65" s="996" t="s">
        <v>827</v>
      </c>
      <c r="J65" s="997" t="s">
        <v>4072</v>
      </c>
      <c r="K65" s="970" t="s">
        <v>828</v>
      </c>
      <c r="L65" s="3887" t="str">
        <f ca="1">IF(L57&lt;J60,"——",L57-J62)</f>
        <v>——</v>
      </c>
      <c r="O65" s="4038" t="s">
        <v>397</v>
      </c>
      <c r="P65" s="4042" t="s">
        <v>3936</v>
      </c>
      <c r="Q65" s="4043">
        <f ca="1">C28+J31</f>
        <v>2664658</v>
      </c>
      <c r="R65" s="4040" t="s">
        <v>3900</v>
      </c>
    </row>
    <row r="66" spans="1:18" s="935" customFormat="1" ht="24.75" thickBot="1">
      <c r="A66" s="519" t="s">
        <v>392</v>
      </c>
      <c r="B66" s="2695" t="s">
        <v>3962</v>
      </c>
      <c r="C66" s="2702">
        <f ca="1">ROUND(IF(AND(项目基本情况!B11="自然人",项目基本情况!B10="北京市",M56="住宅"),C58*F66,C67+C71+C72),0)</f>
        <v>-23</v>
      </c>
      <c r="D66" s="639" t="s">
        <v>3436</v>
      </c>
      <c r="E66" s="639" t="str">
        <f>E14</f>
        <v/>
      </c>
      <c r="F66" s="3837" t="str">
        <f>IF(M56="非住宅","",IF(F58*F59*F60/12/(1+'数据-取费表'!F30)&gt;100000,4%,2.5%))</f>
        <v/>
      </c>
      <c r="I66" s="1002" t="s">
        <v>829</v>
      </c>
      <c r="J66" s="3893">
        <f ca="1">IF(OR(M56="住宅",J60&lt;L57,J65="是"),"——",J60-L57)</f>
        <v>21.42</v>
      </c>
      <c r="K66" s="970" t="s">
        <v>830</v>
      </c>
      <c r="L66" s="3900" t="str">
        <f ca="1">IF(L57&lt;J60,"——",IF(L64="比较法",L58,IF(L64="基准地价",L59,L60)))</f>
        <v>——</v>
      </c>
      <c r="O66" s="4038" t="s">
        <v>398</v>
      </c>
      <c r="P66" s="4039" t="s">
        <v>3903</v>
      </c>
      <c r="Q66" s="4043">
        <f ca="1">L69</f>
        <v>0</v>
      </c>
      <c r="R66" s="4040" t="s">
        <v>3904</v>
      </c>
    </row>
    <row r="67" spans="1:18" s="935" customFormat="1" ht="24.75" thickBot="1">
      <c r="A67" s="2700" t="s">
        <v>391</v>
      </c>
      <c r="B67" s="2713" t="s">
        <v>3954</v>
      </c>
      <c r="C67" s="2702">
        <f ca="1">C70</f>
        <v>-23</v>
      </c>
      <c r="D67" s="2715" t="s">
        <v>3953</v>
      </c>
      <c r="E67" s="4090"/>
      <c r="F67" s="4123"/>
      <c r="I67" s="1002" t="s">
        <v>832</v>
      </c>
      <c r="J67" s="3894">
        <f ca="1">IF(J64&lt;0.4,0.4,J64)</f>
        <v>0.4</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3279</v>
      </c>
      <c r="B68" s="2717" t="s">
        <v>3395</v>
      </c>
      <c r="C68" s="2702">
        <f ca="1">ROUND(C58*F68,0)</f>
        <v>0</v>
      </c>
      <c r="D68" s="994" t="s">
        <v>3856</v>
      </c>
      <c r="E68" s="2721" t="s">
        <v>3397</v>
      </c>
      <c r="F68" s="2765">
        <f>F16</f>
        <v>0.09</v>
      </c>
      <c r="I68" s="1002" t="s">
        <v>835</v>
      </c>
      <c r="J68" s="3895">
        <f ca="1">IF(OR(M56="住宅",J60&lt;L57,J65="是"),"——",ROUND(C51*J67,0))</f>
        <v>337969</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3280</v>
      </c>
      <c r="B69" s="2717" t="s">
        <v>3396</v>
      </c>
      <c r="C69" s="2702">
        <f ca="1">ROUND(C74*F68+((C76+C78)*F69),0)</f>
        <v>194</v>
      </c>
      <c r="D69" s="3978" t="s">
        <v>3850</v>
      </c>
      <c r="E69" s="2722"/>
      <c r="F69" s="2765">
        <f>F17</f>
        <v>0.06</v>
      </c>
      <c r="I69" s="1005" t="s">
        <v>837</v>
      </c>
      <c r="J69" s="3896">
        <f ca="1">IF(OR(M56="住宅",J60&lt;L57,J65="是"),"0",ROUND(J68/(1+J61)^J62,0))</f>
        <v>55048</v>
      </c>
      <c r="K69" s="1007" t="s">
        <v>838</v>
      </c>
      <c r="L69" s="3896">
        <f ca="1">IF(OR(M56="住宅",L57&lt;J60),0,ROUND(L66*(L67/L68-1),0))</f>
        <v>0</v>
      </c>
      <c r="O69" s="976" t="s">
        <v>401</v>
      </c>
      <c r="P69" s="968" t="s">
        <v>839</v>
      </c>
      <c r="Q69" s="3432" t="e">
        <f ca="1">L67</f>
        <v>#DIV/0!</v>
      </c>
      <c r="R69" s="969" t="s">
        <v>840</v>
      </c>
    </row>
    <row r="70" spans="1:18" s="935" customFormat="1" ht="13.5" thickBot="1">
      <c r="A70" s="2505" t="s">
        <v>3951</v>
      </c>
      <c r="B70" s="2717" t="s">
        <v>3950</v>
      </c>
      <c r="C70" s="2702">
        <f ca="1">ROUND((C68-C69)*F70,0)</f>
        <v>-23</v>
      </c>
      <c r="D70" s="2740" t="s">
        <v>3973</v>
      </c>
      <c r="E70" s="186" t="s">
        <v>3975</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13.5" thickBot="1">
      <c r="A71" s="2700" t="s">
        <v>766</v>
      </c>
      <c r="B71" s="2695" t="s">
        <v>3960</v>
      </c>
      <c r="C71" s="2702">
        <f ca="1">IF(项目基本情况!B11="自然人","——",IF(D71="按不含税租金收入（有效毛租金收入）计税",ROUND(C58*F71/(1+'数据-取费表'!C43),0),IF(D71="按房产原值计税",ROUND(F74*F71*0.7,0),INDIRECT("'数据-取费表'!Aj"&amp;$G$1))))</f>
        <v>0</v>
      </c>
      <c r="D71" s="921"/>
      <c r="E71" s="626" t="s">
        <v>697</v>
      </c>
      <c r="F71" s="2765">
        <f t="shared" ref="F71:F73" si="0">F19</f>
        <v>0.12</v>
      </c>
      <c r="I71" s="1009" t="s">
        <v>842</v>
      </c>
      <c r="J71" s="1010" t="s">
        <v>843</v>
      </c>
      <c r="K71" s="1010" t="s">
        <v>844</v>
      </c>
      <c r="L71" s="1010" t="s">
        <v>845</v>
      </c>
      <c r="M71" s="1011" t="s">
        <v>846</v>
      </c>
      <c r="O71" s="4038" t="s">
        <v>403</v>
      </c>
      <c r="P71" s="4042" t="s">
        <v>3939</v>
      </c>
      <c r="Q71" s="4043">
        <f ca="1">ROUND((Q65+Q66)*(1+F31),0)</f>
        <v>2904477</v>
      </c>
      <c r="R71" s="4040" t="s">
        <v>3940</v>
      </c>
    </row>
    <row r="72" spans="1:18" s="935" customFormat="1" ht="13.5" thickBot="1">
      <c r="A72" s="4091" t="s">
        <v>769</v>
      </c>
      <c r="B72" s="4084" t="s">
        <v>3956</v>
      </c>
      <c r="C72" s="3025">
        <f ca="1">IF(项目基本情况!B11="自然人","——",ROUND(F72*F73,0))</f>
        <v>0</v>
      </c>
      <c r="D72" s="641" t="s">
        <v>771</v>
      </c>
      <c r="E72" s="626" t="s">
        <v>717</v>
      </c>
      <c r="F72" s="3420">
        <f t="shared" si="0"/>
        <v>24</v>
      </c>
      <c r="I72" s="3424" t="s">
        <v>848</v>
      </c>
      <c r="J72" s="223">
        <v>70</v>
      </c>
      <c r="K72" s="223">
        <v>50</v>
      </c>
      <c r="L72" s="223">
        <v>80</v>
      </c>
      <c r="M72" s="1012">
        <v>0.02</v>
      </c>
      <c r="O72" s="952" t="s">
        <v>849</v>
      </c>
      <c r="P72" s="932"/>
      <c r="Q72" s="3431"/>
      <c r="R72" s="932"/>
    </row>
    <row r="73" spans="1:18" s="935" customFormat="1" ht="13.5" thickBot="1">
      <c r="A73" s="4092"/>
      <c r="B73" s="632"/>
      <c r="C73" s="3026"/>
      <c r="D73" s="642"/>
      <c r="E73" s="626" t="s">
        <v>721</v>
      </c>
      <c r="F73" s="3028">
        <f t="shared" ca="1" si="0"/>
        <v>0</v>
      </c>
      <c r="I73" s="3424" t="s">
        <v>850</v>
      </c>
      <c r="J73" s="223">
        <v>50</v>
      </c>
      <c r="K73" s="223">
        <v>35</v>
      </c>
      <c r="L73" s="223">
        <v>60</v>
      </c>
      <c r="M73" s="1011">
        <v>0</v>
      </c>
      <c r="O73" s="4035" t="s">
        <v>1325</v>
      </c>
      <c r="P73" s="4036" t="s">
        <v>3896</v>
      </c>
      <c r="Q73" s="4056" t="s">
        <v>3897</v>
      </c>
      <c r="R73" s="4037" t="s">
        <v>3898</v>
      </c>
    </row>
    <row r="74" spans="1:18" s="935" customFormat="1" ht="13.5" thickBot="1">
      <c r="A74" s="3868" t="s">
        <v>774</v>
      </c>
      <c r="B74" s="625" t="s">
        <v>775</v>
      </c>
      <c r="C74" s="3879">
        <f ca="1">ROUND(F74*F75,0)</f>
        <v>1690</v>
      </c>
      <c r="D74" s="3862" t="s">
        <v>724</v>
      </c>
      <c r="E74" s="2695" t="s">
        <v>3796</v>
      </c>
      <c r="F74" s="3876">
        <f ca="1">C51</f>
        <v>844923</v>
      </c>
      <c r="I74" s="3424" t="s">
        <v>851</v>
      </c>
      <c r="J74" s="223">
        <v>40</v>
      </c>
      <c r="K74" s="223">
        <v>30</v>
      </c>
      <c r="L74" s="223">
        <v>50</v>
      </c>
      <c r="M74" s="1012">
        <v>0.02</v>
      </c>
      <c r="O74" s="4038" t="s">
        <v>397</v>
      </c>
      <c r="P74" s="4039" t="s">
        <v>3899</v>
      </c>
      <c r="Q74" s="4041">
        <f ca="1">C28+J31</f>
        <v>2664658</v>
      </c>
      <c r="R74" s="4040" t="s">
        <v>3900</v>
      </c>
    </row>
    <row r="75" spans="1:18" s="935" customFormat="1" ht="15" thickBot="1">
      <c r="A75" s="3870"/>
      <c r="B75" s="632"/>
      <c r="C75" s="3880"/>
      <c r="D75" s="3863"/>
      <c r="E75" s="626" t="s">
        <v>697</v>
      </c>
      <c r="F75" s="2767">
        <f ca="1">F22</f>
        <v>2E-3</v>
      </c>
      <c r="O75" s="4038" t="s">
        <v>398</v>
      </c>
      <c r="P75" s="4039" t="s">
        <v>3903</v>
      </c>
      <c r="Q75" s="4057">
        <f ca="1">L69</f>
        <v>0</v>
      </c>
      <c r="R75" s="4040" t="s">
        <v>3905</v>
      </c>
    </row>
    <row r="76" spans="1:18" s="935" customFormat="1" ht="13.5" thickBot="1">
      <c r="A76" s="3868" t="s">
        <v>777</v>
      </c>
      <c r="B76" s="625" t="s">
        <v>727</v>
      </c>
      <c r="C76" s="3879">
        <f ca="1">ROUND(F76*F77,0)</f>
        <v>701</v>
      </c>
      <c r="D76" s="3862" t="s">
        <v>3433</v>
      </c>
      <c r="E76" s="2695" t="s">
        <v>3432</v>
      </c>
      <c r="F76" s="3877">
        <f ca="1">C53</f>
        <v>701286</v>
      </c>
      <c r="O76" s="967"/>
      <c r="P76" s="968"/>
      <c r="Q76" s="3432"/>
      <c r="R76" s="969"/>
    </row>
    <row r="77" spans="1:18" s="935" customFormat="1" ht="16.5" thickBot="1">
      <c r="A77" s="3870"/>
      <c r="B77" s="632"/>
      <c r="C77" s="3880"/>
      <c r="D77" s="3863"/>
      <c r="E77" s="626" t="s">
        <v>697</v>
      </c>
      <c r="F77" s="2767">
        <f ca="1">F24</f>
        <v>1E-3</v>
      </c>
      <c r="O77" s="976" t="s">
        <v>399</v>
      </c>
      <c r="P77" s="968" t="s">
        <v>834</v>
      </c>
      <c r="Q77" s="3433">
        <f ca="1">L60</f>
        <v>2998440</v>
      </c>
      <c r="R77" s="969" t="s">
        <v>854</v>
      </c>
    </row>
    <row r="78" spans="1:18" s="4001" customFormat="1" ht="13.5" thickBot="1">
      <c r="A78" s="519" t="s">
        <v>778</v>
      </c>
      <c r="B78" s="626" t="s">
        <v>713</v>
      </c>
      <c r="C78" s="2702">
        <f ca="1">ROUND(C57*F78,0)</f>
        <v>0</v>
      </c>
      <c r="D78" s="640" t="s">
        <v>3854</v>
      </c>
      <c r="E78" s="626" t="s">
        <v>697</v>
      </c>
      <c r="F78" s="2767">
        <f ca="1">F26</f>
        <v>5.0000000000000001E-3</v>
      </c>
      <c r="G78" s="935"/>
      <c r="H78" s="935"/>
      <c r="O78" s="976"/>
      <c r="P78" s="968"/>
      <c r="Q78" s="3433"/>
      <c r="R78" s="969"/>
    </row>
    <row r="79" spans="1:18" s="4001" customFormat="1" ht="16.5" thickBot="1">
      <c r="A79" s="633" t="s">
        <v>3929</v>
      </c>
      <c r="B79" s="643" t="s">
        <v>3877</v>
      </c>
      <c r="C79" s="2743">
        <f ca="1">C57-C65</f>
        <v>-2368</v>
      </c>
      <c r="D79" s="643" t="s">
        <v>3878</v>
      </c>
      <c r="E79" s="4027"/>
      <c r="F79" s="4028"/>
      <c r="O79" s="976" t="s">
        <v>400</v>
      </c>
      <c r="P79" s="1014" t="s">
        <v>3930</v>
      </c>
      <c r="Q79" s="3433">
        <f ca="1">ROUND(Q80-Q81*Q82,0)</f>
        <v>168697</v>
      </c>
      <c r="R79" s="969" t="s">
        <v>408</v>
      </c>
    </row>
    <row r="80" spans="1:18" s="4001" customFormat="1" ht="13.5" thickBot="1">
      <c r="A80" s="3201" t="s">
        <v>388</v>
      </c>
      <c r="B80" s="624" t="s">
        <v>3879</v>
      </c>
      <c r="C80" s="3912">
        <f ca="1">ROUND(C79*(1-((1+F82)/(1+F80))^F81)/(F80-F82),0)</f>
        <v>-29478</v>
      </c>
      <c r="D80" s="4029" t="s">
        <v>3880</v>
      </c>
      <c r="E80" s="634" t="s">
        <v>3881</v>
      </c>
      <c r="F80" s="2767">
        <f ca="1">F28</f>
        <v>0.06</v>
      </c>
      <c r="O80" s="976" t="s">
        <v>405</v>
      </c>
      <c r="P80" s="1014" t="s">
        <v>3931</v>
      </c>
      <c r="Q80" s="3433">
        <f ca="1">C27</f>
        <v>178752</v>
      </c>
      <c r="R80" s="969" t="s">
        <v>803</v>
      </c>
    </row>
    <row r="81" spans="1:18" s="4001" customFormat="1" ht="13.5" thickBot="1">
      <c r="A81" s="3202"/>
      <c r="B81" s="628"/>
      <c r="C81" s="4093"/>
      <c r="D81" s="4030" t="s">
        <v>3885</v>
      </c>
      <c r="E81" s="634" t="s">
        <v>3884</v>
      </c>
      <c r="F81" s="2768">
        <f ca="1">F29</f>
        <v>23.58</v>
      </c>
      <c r="O81" s="976" t="s">
        <v>406</v>
      </c>
      <c r="P81" s="1014" t="s">
        <v>3932</v>
      </c>
      <c r="Q81" s="3433">
        <f ca="1">C52</f>
        <v>143637</v>
      </c>
      <c r="R81" s="969" t="s">
        <v>803</v>
      </c>
    </row>
    <row r="82" spans="1:18" s="4001" customFormat="1" ht="13.5" thickBot="1">
      <c r="A82" s="4054"/>
      <c r="B82" s="4055"/>
      <c r="C82" s="4055"/>
      <c r="D82" s="4031"/>
      <c r="E82" s="634" t="s">
        <v>3886</v>
      </c>
      <c r="F82" s="2762"/>
      <c r="O82" s="976" t="s">
        <v>407</v>
      </c>
      <c r="P82" s="1014" t="s">
        <v>3933</v>
      </c>
      <c r="Q82" s="3430">
        <f ca="1">C88</f>
        <v>7.0000000000000007E-2</v>
      </c>
      <c r="R82" s="969"/>
    </row>
    <row r="83" spans="1:18" s="4001" customFormat="1" ht="13.5" thickBot="1">
      <c r="A83" s="630"/>
      <c r="B83" s="2742" t="s">
        <v>3935</v>
      </c>
      <c r="C83" s="3853">
        <f ca="1">ROUND(C80*(1+F31),0)</f>
        <v>-32131</v>
      </c>
      <c r="D83" s="4223" t="str">
        <f>D31</f>
        <v>其他类型公式—收益价值×（1+9%）</v>
      </c>
      <c r="E83" s="1018"/>
      <c r="F83" s="4033"/>
      <c r="O83" s="976" t="s">
        <v>401</v>
      </c>
      <c r="P83" s="968" t="s">
        <v>3934</v>
      </c>
      <c r="Q83" s="3430">
        <f>L61</f>
        <v>0</v>
      </c>
      <c r="R83" s="969"/>
    </row>
    <row r="84" spans="1:18" ht="16.5" thickBot="1">
      <c r="A84" s="647" t="s">
        <v>389</v>
      </c>
      <c r="B84" s="648" t="s">
        <v>761</v>
      </c>
      <c r="C84" s="2754">
        <f ca="1">ROUND(C83/F84,0)</f>
        <v>-232</v>
      </c>
      <c r="D84" s="4034" t="s">
        <v>3889</v>
      </c>
      <c r="E84" s="648" t="s">
        <v>3890</v>
      </c>
      <c r="F84" s="2769">
        <f ca="1">F32</f>
        <v>138.79</v>
      </c>
      <c r="G84" s="4001"/>
      <c r="H84" s="4001"/>
      <c r="O84" s="976" t="s">
        <v>402</v>
      </c>
      <c r="P84" s="968" t="s">
        <v>839</v>
      </c>
      <c r="Q84" s="3432" t="e">
        <f ca="1">L67</f>
        <v>#DIV/0!</v>
      </c>
      <c r="R84" s="969" t="s">
        <v>840</v>
      </c>
    </row>
    <row r="85" spans="1:18" ht="13.5" thickBot="1">
      <c r="A85" s="935"/>
      <c r="B85" s="494"/>
      <c r="C85" s="494"/>
      <c r="D85" s="935"/>
      <c r="E85" s="935"/>
      <c r="F85" s="935"/>
      <c r="O85" s="976" t="s">
        <v>409</v>
      </c>
      <c r="P85" s="968" t="str">
        <f>K68</f>
        <v>建筑物剩余耐用年限下的土地年期修正系数Kn</v>
      </c>
      <c r="Q85" s="3432" t="e">
        <f ca="1">L68</f>
        <v>#DIV/0!</v>
      </c>
      <c r="R85" s="969" t="s">
        <v>841</v>
      </c>
    </row>
    <row r="86" spans="1:18" ht="13.5" thickBot="1">
      <c r="A86" s="935"/>
      <c r="B86" s="168" t="s">
        <v>859</v>
      </c>
      <c r="C86" s="1016"/>
      <c r="D86" s="935"/>
      <c r="E86" s="935"/>
      <c r="F86" s="935"/>
      <c r="K86" s="951"/>
      <c r="L86" s="935"/>
      <c r="O86" s="4038" t="s">
        <v>403</v>
      </c>
      <c r="P86" s="4042" t="s">
        <v>3939</v>
      </c>
      <c r="Q86" s="4041">
        <f ca="1">ROUND((Q74+Q75)*(1+F31),0)</f>
        <v>2904477</v>
      </c>
      <c r="R86" s="4040" t="s">
        <v>3940</v>
      </c>
    </row>
    <row r="87" spans="1:18">
      <c r="A87" s="935"/>
      <c r="B87" s="222" t="s">
        <v>780</v>
      </c>
      <c r="C87" s="2831">
        <f ca="1">ROUND(C53*C88,0)</f>
        <v>49090</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0.72499999999999998</v>
      </c>
    </row>
    <row r="92" spans="1:18">
      <c r="B92" s="222" t="s">
        <v>785</v>
      </c>
      <c r="C92" s="2832">
        <f ca="1">ROUND(C87/C27,3)</f>
        <v>0.27500000000000002</v>
      </c>
    </row>
    <row r="93" spans="1:18">
      <c r="B93" s="165" t="s">
        <v>786</v>
      </c>
      <c r="C93" s="133"/>
    </row>
    <row r="94" spans="1:18">
      <c r="B94" s="168" t="s">
        <v>787</v>
      </c>
      <c r="C94" s="2833">
        <f ca="1">1-C95</f>
        <v>0.74199999999999999</v>
      </c>
    </row>
    <row r="95" spans="1:18">
      <c r="B95" s="168" t="s">
        <v>788</v>
      </c>
      <c r="C95" s="2832">
        <f ca="1">ROUND(C53/(C28+J31+L55),3)</f>
        <v>0.25800000000000001</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56" t="s">
        <v>679</v>
      </c>
      <c r="C6" s="712">
        <f ca="1">ROUND(F6*F8*F7*(1-F9),0)</f>
        <v>0</v>
      </c>
      <c r="D6" s="56" t="s">
        <v>2012</v>
      </c>
      <c r="E6" s="186" t="s">
        <v>681</v>
      </c>
      <c r="F6" s="187">
        <f ca="1">INDIRECT("'数据-取费表'!u"&amp;$G$1)</f>
        <v>0</v>
      </c>
      <c r="G6" s="935"/>
      <c r="H6" s="707" t="s">
        <v>392</v>
      </c>
      <c r="I6" s="4556" t="s">
        <v>679</v>
      </c>
      <c r="J6" s="185">
        <f ca="1">ROUND(M6*M8*M7*(1-M9),0)</f>
        <v>0</v>
      </c>
      <c r="K6" s="927" t="s">
        <v>2013</v>
      </c>
      <c r="L6" s="186" t="s">
        <v>681</v>
      </c>
      <c r="M6" s="187">
        <f ca="1">INDIRECT("'数据-取费表'!z"&amp;$G$1)</f>
        <v>0</v>
      </c>
    </row>
    <row r="7" spans="1:37" ht="18" customHeight="1">
      <c r="A7" s="711"/>
      <c r="B7" s="4557"/>
      <c r="C7" s="713"/>
      <c r="D7" s="191"/>
      <c r="E7" s="714" t="s">
        <v>682</v>
      </c>
      <c r="F7" s="187">
        <f ca="1">IF(INDIRECT("'数据-取费表'!ah"&amp;$G$1)="",INDIRECT("'数据-取费表'!k"&amp;$G$1),INDIRECT("'数据-取费表'!ah"&amp;$G$1))</f>
        <v>0</v>
      </c>
      <c r="G7" s="935"/>
      <c r="H7" s="188"/>
      <c r="I7" s="4557"/>
      <c r="J7" s="190"/>
      <c r="K7" s="191"/>
      <c r="L7" s="186" t="s">
        <v>682</v>
      </c>
      <c r="M7" s="187">
        <f ca="1">F7</f>
        <v>0</v>
      </c>
    </row>
    <row r="8" spans="1:37" ht="18" customHeight="1">
      <c r="A8" s="188"/>
      <c r="B8" s="4557"/>
      <c r="C8" s="190"/>
      <c r="D8" s="191"/>
      <c r="E8" s="186" t="s">
        <v>683</v>
      </c>
      <c r="F8" s="187">
        <f ca="1">INDIRECT("'数据-取费表'!ai"&amp;$G$1)</f>
        <v>0</v>
      </c>
      <c r="G8" s="935"/>
      <c r="H8" s="188"/>
      <c r="I8" s="4557"/>
      <c r="J8" s="190"/>
      <c r="K8" s="191"/>
      <c r="L8" s="186" t="s">
        <v>683</v>
      </c>
      <c r="M8" s="187">
        <f ca="1">INDIRECT("'数据-取费表'!ai"&amp;$G$1)</f>
        <v>0</v>
      </c>
    </row>
    <row r="9" spans="1:37" ht="18" customHeight="1">
      <c r="A9" s="188"/>
      <c r="B9" s="4558"/>
      <c r="C9" s="190"/>
      <c r="D9" s="191"/>
      <c r="E9" s="186" t="s">
        <v>684</v>
      </c>
      <c r="F9" s="196">
        <f ca="1">INDIRECT("'数据-取费表'!w"&amp;$G$1)</f>
        <v>0</v>
      </c>
      <c r="G9" s="935"/>
      <c r="H9" s="188"/>
      <c r="I9" s="4558"/>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2019</v>
      </c>
      <c r="E10" s="197" t="s">
        <v>686</v>
      </c>
      <c r="F10" s="749"/>
      <c r="G10" s="935"/>
      <c r="H10" s="707" t="s">
        <v>396</v>
      </c>
      <c r="I10" s="917" t="s">
        <v>685</v>
      </c>
      <c r="J10" s="185">
        <f ca="1">ROUND(IF(M10="押一",J6/12*M11,IF(M10="押二",J6/12*2*M11,IF(M10="押三",J6/12*3*M11,J11*M11))),0)</f>
        <v>0</v>
      </c>
      <c r="K10" s="928" t="s">
        <v>2021</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7.0000000000000007E-2</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3212</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24</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2191</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3212</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24</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3228</v>
      </c>
      <c r="B45" s="949"/>
      <c r="C45" s="1019" t="e">
        <f ca="1">ROUND((C68-C40)/10000,4)</f>
        <v>#DIV/0!</v>
      </c>
      <c r="D45" s="2474" t="s">
        <v>3229</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2022</v>
      </c>
      <c r="E53" s="197" t="s">
        <v>686</v>
      </c>
      <c r="F53" s="749"/>
      <c r="I53" s="986" t="s">
        <v>821</v>
      </c>
      <c r="J53" s="1590">
        <f ca="1">IF(M47="住宅",IF(D1="——",MAX(J51,L48),MAX(J51,L48-'数据-取费表'!B24)),IF(D1="——",MIN(J51,L48),MIN(J51,L48-'数据-取费表'!B24)))</f>
        <v>0</v>
      </c>
      <c r="K53" s="4486" t="s">
        <v>822</v>
      </c>
      <c r="L53" s="4487"/>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3212</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24</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2314</v>
      </c>
      <c r="B1" s="2056"/>
      <c r="C1" s="2067"/>
      <c r="D1" s="2067"/>
      <c r="E1" s="2057"/>
      <c r="F1" s="2058"/>
      <c r="G1" s="2059"/>
      <c r="J1" s="2062" t="s">
        <v>2199</v>
      </c>
      <c r="K1" s="2063"/>
      <c r="L1" s="2063"/>
      <c r="M1" s="2063"/>
      <c r="N1" s="2063"/>
      <c r="O1" s="2063"/>
      <c r="P1" s="2063"/>
      <c r="Q1" s="2063"/>
      <c r="R1" s="2064"/>
      <c r="S1" s="2065"/>
      <c r="T1" s="2065"/>
      <c r="U1" s="2065"/>
    </row>
    <row r="2" spans="1:22" s="2076" customFormat="1" ht="13.15" customHeight="1">
      <c r="A2" s="936" t="s">
        <v>2200</v>
      </c>
      <c r="B2" s="3441" t="e">
        <f>IF(D2="——",C40,C40+E2)</f>
        <v>#DIV/0!</v>
      </c>
      <c r="C2" s="2067" t="s">
        <v>2201</v>
      </c>
      <c r="D2" s="2480" t="s">
        <v>3235</v>
      </c>
      <c r="E2" s="2481"/>
      <c r="F2" s="2069"/>
      <c r="G2" s="2070"/>
      <c r="H2" s="2071"/>
      <c r="I2" s="2072"/>
      <c r="J2" s="4559" t="s">
        <v>2202</v>
      </c>
      <c r="K2" s="4560"/>
      <c r="L2" s="2073" t="s">
        <v>2203</v>
      </c>
      <c r="M2" s="2073" t="s">
        <v>2204</v>
      </c>
      <c r="N2" s="2073" t="s">
        <v>2205</v>
      </c>
      <c r="O2" s="2073" t="s">
        <v>2206</v>
      </c>
      <c r="P2" s="2073" t="s">
        <v>2207</v>
      </c>
      <c r="Q2" s="2074" t="s">
        <v>2208</v>
      </c>
      <c r="R2" s="2075" t="s">
        <v>2209</v>
      </c>
      <c r="S2" s="2065"/>
      <c r="T2" s="2065"/>
      <c r="U2" s="2065"/>
      <c r="V2" s="2072"/>
    </row>
    <row r="3" spans="1:22" s="2076" customFormat="1" ht="13.15" customHeight="1">
      <c r="A3" s="2077" t="s">
        <v>2210</v>
      </c>
      <c r="B3" s="3442" t="e">
        <f>ROUND(B2*10000/B4,0)</f>
        <v>#DIV/0!</v>
      </c>
      <c r="C3" s="2067" t="s">
        <v>2211</v>
      </c>
      <c r="D3" s="2067"/>
      <c r="E3" s="2068"/>
      <c r="F3" s="2069"/>
      <c r="G3" s="2070"/>
      <c r="H3" s="2071"/>
      <c r="I3" s="2072"/>
      <c r="J3" s="4561" t="s">
        <v>2212</v>
      </c>
      <c r="K3" s="4562"/>
      <c r="L3" s="2078"/>
      <c r="M3" s="2078"/>
      <c r="N3" s="2078"/>
      <c r="O3" s="2078"/>
      <c r="P3" s="2078"/>
      <c r="Q3" s="2079"/>
      <c r="R3" s="2080">
        <f>SUM(L3:Q3)</f>
        <v>0</v>
      </c>
      <c r="S3" s="2065"/>
      <c r="T3" s="2065"/>
      <c r="U3" s="2065"/>
      <c r="V3" s="2072"/>
    </row>
    <row r="4" spans="1:22" s="2076" customFormat="1" ht="13.15" customHeight="1">
      <c r="A4" s="2081" t="s">
        <v>2213</v>
      </c>
      <c r="B4" s="2114"/>
      <c r="C4" s="2067"/>
      <c r="D4" s="2067"/>
      <c r="E4" s="2068"/>
      <c r="F4" s="2069"/>
      <c r="G4" s="2070"/>
      <c r="H4" s="2071"/>
      <c r="I4" s="2072"/>
      <c r="J4" s="4561" t="s">
        <v>2214</v>
      </c>
      <c r="K4" s="4562"/>
      <c r="L4" s="2083"/>
      <c r="M4" s="2083"/>
      <c r="N4" s="2083"/>
      <c r="O4" s="2083"/>
      <c r="P4" s="2083"/>
      <c r="Q4" s="2084"/>
      <c r="R4" s="2085">
        <f>SUM(L4:Q4)</f>
        <v>0</v>
      </c>
      <c r="S4" s="2065"/>
      <c r="T4" s="2065"/>
      <c r="U4" s="2065"/>
      <c r="V4" s="2072"/>
    </row>
    <row r="5" spans="1:22" s="2076" customFormat="1" ht="13.15" customHeight="1" thickBot="1">
      <c r="A5" s="2086" t="s">
        <v>2215</v>
      </c>
      <c r="B5" s="3443"/>
      <c r="C5" s="2067"/>
      <c r="D5" s="2087"/>
      <c r="E5" s="2069"/>
      <c r="F5" s="2069"/>
      <c r="G5" s="2070"/>
      <c r="H5" s="2071"/>
      <c r="I5" s="2072"/>
      <c r="J5" s="2088" t="s">
        <v>2216</v>
      </c>
      <c r="K5" s="2089"/>
      <c r="L5" s="2089"/>
      <c r="M5" s="2090"/>
      <c r="N5" s="2090"/>
      <c r="O5" s="2090"/>
      <c r="P5" s="2090"/>
      <c r="Q5" s="2090"/>
      <c r="R5" s="2075">
        <f>SUM(R14,R19,R24,R25,R27,R28)</f>
        <v>0</v>
      </c>
      <c r="S5" s="2065"/>
      <c r="T5" s="2065" t="s">
        <v>2217</v>
      </c>
      <c r="U5" s="2065" t="e">
        <f>ROUND(R5*10000/365/R3,1)</f>
        <v>#DIV/0!</v>
      </c>
      <c r="V5" s="2072"/>
    </row>
    <row r="6" spans="1:22" s="2076" customFormat="1" ht="13.15" customHeight="1" thickBot="1">
      <c r="A6" s="4563" t="s">
        <v>3780</v>
      </c>
      <c r="B6" s="4564"/>
      <c r="C6" s="4565"/>
      <c r="D6" s="3444"/>
      <c r="E6" s="3580"/>
      <c r="F6" s="2092"/>
      <c r="G6" s="2093"/>
      <c r="H6" s="2071"/>
      <c r="I6" s="2072"/>
      <c r="J6" s="4566">
        <v>1</v>
      </c>
      <c r="K6" s="4567" t="s">
        <v>2218</v>
      </c>
      <c r="L6" s="2094" t="s">
        <v>2219</v>
      </c>
      <c r="M6" s="2095" t="s">
        <v>2220</v>
      </c>
      <c r="N6" s="2095" t="s">
        <v>2221</v>
      </c>
      <c r="O6" s="2095" t="s">
        <v>2222</v>
      </c>
      <c r="P6" s="2095" t="s">
        <v>2223</v>
      </c>
      <c r="Q6" s="2095" t="s">
        <v>2224</v>
      </c>
      <c r="R6" s="2080" t="s">
        <v>2225</v>
      </c>
      <c r="S6" s="2065"/>
      <c r="T6" s="2065" t="s">
        <v>2226</v>
      </c>
      <c r="U6" s="2065"/>
      <c r="V6" s="2072"/>
    </row>
    <row r="7" spans="1:22" s="2076" customFormat="1" ht="13.15" customHeight="1">
      <c r="A7" s="2096" t="s">
        <v>2227</v>
      </c>
      <c r="B7" s="2097"/>
      <c r="C7" s="2098"/>
      <c r="D7" s="3445">
        <f>SUM(D9,D10,D11,D17,0)</f>
        <v>0</v>
      </c>
      <c r="E7" s="2099" t="e">
        <f>E9+E10+E11+E17</f>
        <v>#DIV/0!</v>
      </c>
      <c r="F7" s="2100"/>
      <c r="G7" s="2101"/>
      <c r="H7" s="2071"/>
      <c r="I7" s="2072"/>
      <c r="J7" s="4566"/>
      <c r="K7" s="4568"/>
      <c r="L7" s="2102" t="s">
        <v>2228</v>
      </c>
      <c r="M7" s="3678"/>
      <c r="N7" s="3677"/>
      <c r="O7" s="4227"/>
      <c r="P7" s="4227"/>
      <c r="Q7" s="3677">
        <v>365</v>
      </c>
      <c r="R7" s="3676">
        <f>ROUND(M7*N7*O7*P7*Q7/10000,0)</f>
        <v>0</v>
      </c>
      <c r="S7" s="2065"/>
      <c r="T7" s="2065" t="s">
        <v>2229</v>
      </c>
      <c r="U7" s="2065"/>
      <c r="V7" s="2072"/>
    </row>
    <row r="8" spans="1:22" s="2076" customFormat="1" ht="13.15" customHeight="1">
      <c r="A8" s="2106" t="s">
        <v>2230</v>
      </c>
      <c r="B8" s="4570" t="s">
        <v>2231</v>
      </c>
      <c r="C8" s="4571"/>
      <c r="D8" s="4066" t="s">
        <v>3942</v>
      </c>
      <c r="E8" s="2107" t="s">
        <v>2232</v>
      </c>
      <c r="F8" s="2108" t="s">
        <v>2233</v>
      </c>
      <c r="G8" s="2109"/>
      <c r="H8" s="2071"/>
      <c r="I8" s="2072"/>
      <c r="J8" s="4566"/>
      <c r="K8" s="4568"/>
      <c r="L8" s="2102" t="s">
        <v>2234</v>
      </c>
      <c r="M8" s="3678"/>
      <c r="N8" s="3677"/>
      <c r="O8" s="4227"/>
      <c r="P8" s="4227"/>
      <c r="Q8" s="3677">
        <v>365</v>
      </c>
      <c r="R8" s="3676">
        <f t="shared" ref="R8:R13" si="0">ROUND(M8*N8*O8*P8*Q8/10000,0)</f>
        <v>0</v>
      </c>
      <c r="S8" s="2065"/>
      <c r="T8" s="2065" t="s">
        <v>2235</v>
      </c>
      <c r="U8" s="2065"/>
      <c r="V8" s="2072"/>
    </row>
    <row r="9" spans="1:22" s="2076" customFormat="1" ht="13.15" customHeight="1">
      <c r="A9" s="2106">
        <v>1</v>
      </c>
      <c r="B9" s="4570" t="s">
        <v>2236</v>
      </c>
      <c r="C9" s="4571"/>
      <c r="D9" s="3446">
        <f>ROUND(D6*E9,0)</f>
        <v>0</v>
      </c>
      <c r="E9" s="3447"/>
      <c r="F9" s="2110" t="s">
        <v>2237</v>
      </c>
      <c r="G9" s="2093"/>
      <c r="H9" s="2071"/>
      <c r="I9" s="2072"/>
      <c r="J9" s="4566"/>
      <c r="K9" s="4568"/>
      <c r="L9" s="2102" t="s">
        <v>2238</v>
      </c>
      <c r="M9" s="3678"/>
      <c r="N9" s="3677"/>
      <c r="O9" s="4227"/>
      <c r="P9" s="4227"/>
      <c r="Q9" s="3677">
        <v>365</v>
      </c>
      <c r="R9" s="3676">
        <f t="shared" si="0"/>
        <v>0</v>
      </c>
      <c r="S9" s="2065"/>
      <c r="T9" s="2065"/>
      <c r="U9" s="2065"/>
      <c r="V9" s="2072"/>
    </row>
    <row r="10" spans="1:22" s="2076" customFormat="1" ht="13.15" customHeight="1">
      <c r="A10" s="2106">
        <v>2</v>
      </c>
      <c r="B10" s="4570" t="s">
        <v>2239</v>
      </c>
      <c r="C10" s="4571"/>
      <c r="D10" s="3446">
        <f>ROUND(D6*E10,0)</f>
        <v>0</v>
      </c>
      <c r="E10" s="3447"/>
      <c r="F10" s="3575" t="s">
        <v>3705</v>
      </c>
      <c r="G10" s="2093"/>
      <c r="H10" s="2071"/>
      <c r="I10" s="2072"/>
      <c r="J10" s="4566"/>
      <c r="K10" s="4568"/>
      <c r="L10" s="2102" t="s">
        <v>2240</v>
      </c>
      <c r="M10" s="3678"/>
      <c r="N10" s="3677"/>
      <c r="O10" s="4227"/>
      <c r="P10" s="4227"/>
      <c r="Q10" s="3677">
        <v>365</v>
      </c>
      <c r="R10" s="3676">
        <f t="shared" si="0"/>
        <v>0</v>
      </c>
      <c r="S10" s="2065"/>
      <c r="T10" s="2065"/>
      <c r="U10" s="2065"/>
      <c r="V10" s="2072"/>
    </row>
    <row r="11" spans="1:22" s="2076" customFormat="1" ht="13.15" customHeight="1">
      <c r="A11" s="2106">
        <v>3</v>
      </c>
      <c r="B11" s="4570" t="s">
        <v>2241</v>
      </c>
      <c r="C11" s="4571"/>
      <c r="D11" s="3446">
        <f>D12+D14+D15+D16</f>
        <v>0</v>
      </c>
      <c r="E11" s="3448" t="e">
        <f>D11/D6</f>
        <v>#DIV/0!</v>
      </c>
      <c r="F11" s="2108"/>
      <c r="G11" s="2109"/>
      <c r="H11" s="2071"/>
      <c r="I11" s="2072"/>
      <c r="J11" s="4566"/>
      <c r="K11" s="4568"/>
      <c r="L11" s="2102" t="s">
        <v>2242</v>
      </c>
      <c r="M11" s="3678"/>
      <c r="N11" s="3677"/>
      <c r="O11" s="4227"/>
      <c r="P11" s="4227"/>
      <c r="Q11" s="3677">
        <v>365</v>
      </c>
      <c r="R11" s="3676">
        <f t="shared" si="0"/>
        <v>0</v>
      </c>
      <c r="S11" s="2065"/>
      <c r="T11" s="2065"/>
      <c r="U11" s="2065"/>
      <c r="V11" s="2072"/>
    </row>
    <row r="12" spans="1:22" s="2076" customFormat="1" ht="13.15" customHeight="1">
      <c r="A12" s="2111" t="s">
        <v>2243</v>
      </c>
      <c r="B12" s="4572" t="s">
        <v>2244</v>
      </c>
      <c r="C12" s="4573"/>
      <c r="D12" s="3449">
        <f>ROUND(D13*1.2%*(1-30%),0)</f>
        <v>0</v>
      </c>
      <c r="E12" s="3450">
        <v>1.2E-2</v>
      </c>
      <c r="F12" s="2108" t="s">
        <v>2245</v>
      </c>
      <c r="G12" s="2109"/>
      <c r="H12" s="2071"/>
      <c r="I12" s="2072"/>
      <c r="J12" s="4566"/>
      <c r="K12" s="4568"/>
      <c r="L12" s="2102" t="s">
        <v>2246</v>
      </c>
      <c r="M12" s="3678"/>
      <c r="N12" s="3677"/>
      <c r="O12" s="4227"/>
      <c r="P12" s="4227"/>
      <c r="Q12" s="3677">
        <v>365</v>
      </c>
      <c r="R12" s="3676">
        <f t="shared" si="0"/>
        <v>0</v>
      </c>
      <c r="S12" s="2065"/>
      <c r="T12" s="2065"/>
      <c r="U12" s="2065"/>
      <c r="V12" s="2072"/>
    </row>
    <row r="13" spans="1:22" s="2076" customFormat="1" ht="13.15" customHeight="1">
      <c r="A13" s="2111"/>
      <c r="B13" s="2112"/>
      <c r="C13" s="2113" t="s">
        <v>2247</v>
      </c>
      <c r="D13" s="3451"/>
      <c r="E13" s="2115"/>
      <c r="F13" s="2108"/>
      <c r="G13" s="2109"/>
      <c r="H13" s="2071"/>
      <c r="I13" s="2072"/>
      <c r="J13" s="4566"/>
      <c r="K13" s="4568"/>
      <c r="L13" s="2102" t="s">
        <v>2248</v>
      </c>
      <c r="M13" s="3678"/>
      <c r="N13" s="3677"/>
      <c r="O13" s="4227"/>
      <c r="P13" s="4227"/>
      <c r="Q13" s="3677">
        <v>365</v>
      </c>
      <c r="R13" s="3676">
        <f t="shared" si="0"/>
        <v>0</v>
      </c>
      <c r="S13" s="2065"/>
      <c r="T13" s="2065"/>
      <c r="U13" s="2065"/>
      <c r="V13" s="2072"/>
    </row>
    <row r="14" spans="1:22" s="2076" customFormat="1" ht="13.15" customHeight="1">
      <c r="A14" s="2111" t="s">
        <v>2249</v>
      </c>
      <c r="B14" s="4572" t="s">
        <v>2250</v>
      </c>
      <c r="C14" s="4573"/>
      <c r="D14" s="3449">
        <f>ROUND(E14*B5/10000,0)</f>
        <v>0</v>
      </c>
      <c r="E14" s="3452"/>
      <c r="F14" s="2108" t="s">
        <v>2251</v>
      </c>
      <c r="G14" s="2109"/>
      <c r="H14" s="2071"/>
      <c r="I14" s="2072"/>
      <c r="J14" s="4566"/>
      <c r="K14" s="4569"/>
      <c r="L14" s="2116" t="s">
        <v>2252</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2253</v>
      </c>
      <c r="B15" s="4574" t="s">
        <v>3777</v>
      </c>
      <c r="C15" s="4573"/>
      <c r="D15" s="3449">
        <f>IF(F15="酒店",E48*(1+E15),IF(F15="购物中心",E67*(1+E15),IF(F15="按比例计算-酒店",E46,E65)))</f>
        <v>0</v>
      </c>
      <c r="E15" s="3450">
        <f>'数据-取费表'!B44</f>
        <v>0.12000000000000001</v>
      </c>
      <c r="F15" s="3578" t="s">
        <v>3836</v>
      </c>
      <c r="G15" s="3579"/>
      <c r="H15" s="2071"/>
      <c r="I15" s="2072"/>
      <c r="J15" s="4566">
        <v>2</v>
      </c>
      <c r="K15" s="4567" t="s">
        <v>2254</v>
      </c>
      <c r="L15" s="2102" t="s">
        <v>2255</v>
      </c>
      <c r="M15" s="2103" t="s">
        <v>2256</v>
      </c>
      <c r="N15" s="2103" t="s">
        <v>2257</v>
      </c>
      <c r="O15" s="2104" t="s">
        <v>2258</v>
      </c>
      <c r="P15" s="2104" t="s">
        <v>2224</v>
      </c>
      <c r="Q15" s="2082" t="s">
        <v>2259</v>
      </c>
      <c r="R15" s="2120" t="s">
        <v>2225</v>
      </c>
      <c r="S15" s="2065"/>
      <c r="T15" s="2065"/>
      <c r="U15" s="2065"/>
      <c r="V15" s="2072"/>
    </row>
    <row r="16" spans="1:22" s="2076" customFormat="1" ht="13.15" customHeight="1">
      <c r="A16" s="2111" t="s">
        <v>2260</v>
      </c>
      <c r="B16" s="4572" t="s">
        <v>2261</v>
      </c>
      <c r="C16" s="4573"/>
      <c r="D16" s="3453">
        <f>D6*E16</f>
        <v>0</v>
      </c>
      <c r="E16" s="3454"/>
      <c r="F16" s="2110" t="s">
        <v>2262</v>
      </c>
      <c r="G16" s="2093"/>
      <c r="H16" s="2071"/>
      <c r="I16" s="2072"/>
      <c r="J16" s="4566"/>
      <c r="K16" s="4568"/>
      <c r="L16" s="2102" t="s">
        <v>2263</v>
      </c>
      <c r="M16" s="3678"/>
      <c r="N16" s="3678"/>
      <c r="O16" s="4229"/>
      <c r="P16" s="3677">
        <v>365</v>
      </c>
      <c r="Q16" s="3677"/>
      <c r="R16" s="3676">
        <f>ROUND(M16*N16*O16*P16/10000,0)</f>
        <v>0</v>
      </c>
      <c r="S16" s="2065"/>
      <c r="T16" s="2065"/>
      <c r="U16" s="2065"/>
      <c r="V16" s="2072"/>
    </row>
    <row r="17" spans="1:22" s="2076" customFormat="1" ht="13.15" customHeight="1" thickBot="1">
      <c r="A17" s="2121">
        <v>4</v>
      </c>
      <c r="B17" s="4575" t="s">
        <v>2264</v>
      </c>
      <c r="C17" s="4576"/>
      <c r="D17" s="3455">
        <f>ROUND(D6*E17,0)</f>
        <v>0</v>
      </c>
      <c r="E17" s="3456"/>
      <c r="F17" s="3576" t="s">
        <v>3706</v>
      </c>
      <c r="G17" s="2093"/>
      <c r="H17" s="2071"/>
      <c r="I17" s="2072"/>
      <c r="J17" s="4566"/>
      <c r="K17" s="4568"/>
      <c r="L17" s="2102" t="s">
        <v>2265</v>
      </c>
      <c r="M17" s="3678"/>
      <c r="N17" s="3678"/>
      <c r="O17" s="4229"/>
      <c r="P17" s="3677">
        <v>365</v>
      </c>
      <c r="Q17" s="3677"/>
      <c r="R17" s="3676">
        <f>ROUND(M17*N17*O17*P17/10000,0)</f>
        <v>0</v>
      </c>
      <c r="S17" s="2065"/>
      <c r="T17" s="2065"/>
      <c r="U17" s="2065"/>
      <c r="V17" s="2072"/>
    </row>
    <row r="18" spans="1:22" s="2076" customFormat="1" ht="13.15" customHeight="1" thickBot="1">
      <c r="A18" s="2096" t="s">
        <v>2266</v>
      </c>
      <c r="B18" s="2097"/>
      <c r="C18" s="2097"/>
      <c r="D18" s="3457">
        <f>ROUND(D6*E18,0)</f>
        <v>0</v>
      </c>
      <c r="E18" s="3458"/>
      <c r="F18" s="2122" t="s">
        <v>2267</v>
      </c>
      <c r="G18" s="2093"/>
      <c r="H18" s="2071"/>
      <c r="I18" s="2072"/>
      <c r="J18" s="4566"/>
      <c r="K18" s="4568"/>
      <c r="L18" s="2102" t="s">
        <v>2268</v>
      </c>
      <c r="M18" s="3678"/>
      <c r="N18" s="3678"/>
      <c r="O18" s="4229"/>
      <c r="P18" s="3677">
        <v>365</v>
      </c>
      <c r="Q18" s="3677"/>
      <c r="R18" s="3676">
        <f>ROUND(M18*N18*O18*P18/10000,0)</f>
        <v>0</v>
      </c>
      <c r="S18" s="2065"/>
      <c r="T18" s="2065"/>
      <c r="U18" s="2065"/>
      <c r="V18" s="2072"/>
    </row>
    <row r="19" spans="1:22" s="2076" customFormat="1" ht="13.15" customHeight="1" thickBot="1">
      <c r="A19" s="2123" t="s">
        <v>2269</v>
      </c>
      <c r="B19" s="2091"/>
      <c r="C19" s="2091"/>
      <c r="D19" s="2091"/>
      <c r="E19" s="2091"/>
      <c r="F19" s="2092"/>
      <c r="G19" s="2109"/>
      <c r="H19" s="2071"/>
      <c r="I19" s="2072"/>
      <c r="J19" s="4566"/>
      <c r="K19" s="4569"/>
      <c r="L19" s="2116" t="s">
        <v>2252</v>
      </c>
      <c r="M19" s="2117"/>
      <c r="N19" s="2117">
        <f>SUM(N16:N18)</f>
        <v>0</v>
      </c>
      <c r="O19" s="2118"/>
      <c r="P19" s="2124" t="s">
        <v>2313</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66">
        <v>3</v>
      </c>
      <c r="K20" s="4567" t="s">
        <v>2270</v>
      </c>
      <c r="L20" s="2102" t="s">
        <v>2271</v>
      </c>
      <c r="M20" s="2103" t="s">
        <v>2272</v>
      </c>
      <c r="N20" s="2126" t="s">
        <v>2273</v>
      </c>
      <c r="O20" s="2104" t="s">
        <v>2274</v>
      </c>
      <c r="P20" s="2105" t="s">
        <v>2275</v>
      </c>
      <c r="Q20" s="2082" t="s">
        <v>2276</v>
      </c>
      <c r="R20" s="2120" t="s">
        <v>2277</v>
      </c>
      <c r="S20" s="2065"/>
      <c r="T20" s="2065"/>
      <c r="U20" s="2065"/>
      <c r="V20" s="2072"/>
    </row>
    <row r="21" spans="1:22" s="2076" customFormat="1" ht="13.15" customHeight="1">
      <c r="A21" s="2096"/>
      <c r="B21" s="2097"/>
      <c r="C21" s="2127" t="s">
        <v>2278</v>
      </c>
      <c r="D21" s="2128" t="s">
        <v>2279</v>
      </c>
      <c r="E21" s="2129" t="s">
        <v>2280</v>
      </c>
      <c r="F21" s="2125"/>
      <c r="G21" s="2109"/>
      <c r="H21" s="2071"/>
      <c r="I21" s="2072"/>
      <c r="J21" s="4566"/>
      <c r="K21" s="4568"/>
      <c r="L21" s="2102" t="s">
        <v>2281</v>
      </c>
      <c r="M21" s="3678"/>
      <c r="N21" s="3678"/>
      <c r="O21" s="4228"/>
      <c r="P21" s="3677">
        <v>365</v>
      </c>
      <c r="Q21" s="3677"/>
      <c r="R21" s="3679">
        <f>ROUND(M21*N21*O21*P21/10000,0)</f>
        <v>0</v>
      </c>
      <c r="S21" s="2065"/>
      <c r="T21" s="2065"/>
      <c r="U21" s="2065"/>
      <c r="V21" s="2072"/>
    </row>
    <row r="22" spans="1:22" s="2076" customFormat="1" ht="13.15" customHeight="1">
      <c r="A22" s="2096"/>
      <c r="B22" s="2097"/>
      <c r="C22" s="2130" t="s">
        <v>2282</v>
      </c>
      <c r="D22" s="2131" t="s">
        <v>2283</v>
      </c>
      <c r="E22" s="2132" t="s">
        <v>2284</v>
      </c>
      <c r="F22" s="2125"/>
      <c r="G22" s="2065"/>
      <c r="H22" s="2071"/>
      <c r="I22" s="2072"/>
      <c r="J22" s="4566"/>
      <c r="K22" s="4568"/>
      <c r="L22" s="2102" t="s">
        <v>2285</v>
      </c>
      <c r="M22" s="3678"/>
      <c r="N22" s="3678"/>
      <c r="O22" s="4228"/>
      <c r="P22" s="3677">
        <v>365</v>
      </c>
      <c r="Q22" s="3677"/>
      <c r="R22" s="3679">
        <f>ROUND(M22*N22*O22*P22/10000,0)</f>
        <v>0</v>
      </c>
      <c r="S22" s="2065"/>
      <c r="T22" s="2065"/>
      <c r="U22" s="2065"/>
      <c r="V22" s="2072"/>
    </row>
    <row r="23" spans="1:22" s="2076" customFormat="1" ht="13.15" customHeight="1">
      <c r="A23" s="2133">
        <v>1</v>
      </c>
      <c r="B23" s="2134" t="s">
        <v>2286</v>
      </c>
      <c r="C23" s="2139">
        <f>D6</f>
        <v>0</v>
      </c>
      <c r="D23" s="3473">
        <f>C23*(1+D24)</f>
        <v>0</v>
      </c>
      <c r="E23" s="3474">
        <f>D23*(1+E24)</f>
        <v>0</v>
      </c>
      <c r="F23" s="2135"/>
      <c r="G23" s="2136"/>
      <c r="H23" s="2071"/>
      <c r="I23" s="2072"/>
      <c r="J23" s="4566"/>
      <c r="K23" s="4568"/>
      <c r="L23" s="2102" t="s">
        <v>2287</v>
      </c>
      <c r="M23" s="3678"/>
      <c r="N23" s="3678"/>
      <c r="O23" s="4228"/>
      <c r="P23" s="3677">
        <v>365</v>
      </c>
      <c r="Q23" s="3677"/>
      <c r="R23" s="3679">
        <f>ROUND(M23*N23*O23*P23/10000,0)</f>
        <v>0</v>
      </c>
      <c r="S23" s="2065"/>
      <c r="T23" s="2065"/>
      <c r="U23" s="2065"/>
      <c r="V23" s="2072"/>
    </row>
    <row r="24" spans="1:22" s="2076" customFormat="1" ht="13.15" customHeight="1">
      <c r="A24" s="2137"/>
      <c r="B24" s="2138" t="s">
        <v>2288</v>
      </c>
      <c r="C24" s="2139"/>
      <c r="D24" s="2140"/>
      <c r="E24" s="2141"/>
      <c r="F24" s="2142"/>
      <c r="G24" s="2136"/>
      <c r="H24" s="2071"/>
      <c r="I24" s="2072"/>
      <c r="J24" s="4566"/>
      <c r="K24" s="4569"/>
      <c r="L24" s="2116" t="s">
        <v>2252</v>
      </c>
      <c r="M24" s="2117">
        <f>SUM(M21:M23)</f>
        <v>0</v>
      </c>
      <c r="N24" s="2117"/>
      <c r="O24" s="2118"/>
      <c r="P24" s="2124" t="s">
        <v>2313</v>
      </c>
      <c r="Q24" s="2104">
        <v>0</v>
      </c>
      <c r="R24" s="3680">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2289</v>
      </c>
      <c r="L25" s="2145"/>
      <c r="M25" s="2145"/>
      <c r="N25" s="2145"/>
      <c r="O25" s="2145"/>
      <c r="P25" s="2146"/>
      <c r="Q25" s="2147">
        <v>0</v>
      </c>
      <c r="R25" s="3680">
        <f>ROUND(R14*Q25,0)</f>
        <v>0</v>
      </c>
      <c r="S25" s="2065"/>
      <c r="T25" s="2065"/>
      <c r="U25" s="2065"/>
      <c r="V25" s="2148"/>
    </row>
    <row r="26" spans="1:22" s="2149" customFormat="1" ht="13.15" customHeight="1">
      <c r="A26" s="2133">
        <v>2</v>
      </c>
      <c r="B26" s="2134" t="s">
        <v>2290</v>
      </c>
      <c r="C26" s="2139">
        <f>D7</f>
        <v>0</v>
      </c>
      <c r="D26" s="3459">
        <f>D23*D27</f>
        <v>0</v>
      </c>
      <c r="E26" s="3460">
        <f>E23*E27</f>
        <v>0</v>
      </c>
      <c r="F26" s="2135"/>
      <c r="G26" s="2136"/>
      <c r="H26" s="2071"/>
      <c r="I26" s="2072"/>
      <c r="J26" s="4577">
        <v>5</v>
      </c>
      <c r="K26" s="2150" t="s">
        <v>2291</v>
      </c>
      <c r="L26" s="2151"/>
      <c r="M26" s="2152"/>
      <c r="N26" s="2153" t="s">
        <v>2292</v>
      </c>
      <c r="O26" s="2153" t="s">
        <v>2293</v>
      </c>
      <c r="P26" s="2154" t="s">
        <v>2294</v>
      </c>
      <c r="Q26" s="2154" t="s">
        <v>2295</v>
      </c>
      <c r="R26" s="2080" t="s">
        <v>2225</v>
      </c>
      <c r="S26" s="2109"/>
      <c r="T26" s="2109"/>
      <c r="U26" s="2109"/>
      <c r="V26" s="2148"/>
    </row>
    <row r="27" spans="1:22" s="2076" customFormat="1" ht="13.15" customHeight="1">
      <c r="A27" s="2137"/>
      <c r="B27" s="2138" t="s">
        <v>2296</v>
      </c>
      <c r="C27" s="2155" t="e">
        <f>E7</f>
        <v>#DIV/0!</v>
      </c>
      <c r="D27" s="2140"/>
      <c r="E27" s="2141"/>
      <c r="F27" s="2142"/>
      <c r="G27" s="2136"/>
      <c r="H27" s="2156"/>
      <c r="I27" s="2148"/>
      <c r="J27" s="4578"/>
      <c r="K27" s="2157"/>
      <c r="L27" s="2158"/>
      <c r="M27" s="2159"/>
      <c r="N27" s="3478"/>
      <c r="O27" s="3478"/>
      <c r="P27" s="3478"/>
      <c r="Q27" s="4230"/>
      <c r="R27" s="3680">
        <f>ROUND(O27*N27*P27*(1-Q27)/10000,0)</f>
        <v>0</v>
      </c>
      <c r="S27" s="2065"/>
      <c r="T27" s="2065"/>
      <c r="U27" s="2065"/>
      <c r="V27" s="2072"/>
    </row>
    <row r="28" spans="1:22" s="2149" customFormat="1" ht="13.15" customHeight="1" thickBot="1">
      <c r="A28" s="2137"/>
      <c r="B28" s="2138"/>
      <c r="C28" s="2155"/>
      <c r="D28" s="2140"/>
      <c r="E28" s="2141" t="s">
        <v>2297</v>
      </c>
      <c r="F28" s="2142"/>
      <c r="G28" s="2065"/>
      <c r="H28" s="2156"/>
      <c r="I28" s="2148"/>
      <c r="J28" s="2160">
        <v>6</v>
      </c>
      <c r="K28" s="2161" t="s">
        <v>2298</v>
      </c>
      <c r="L28" s="2162" t="s">
        <v>2299</v>
      </c>
      <c r="M28" s="3480"/>
      <c r="N28" s="2162" t="s">
        <v>2300</v>
      </c>
      <c r="O28" s="2164"/>
      <c r="P28" s="2162" t="s">
        <v>2301</v>
      </c>
      <c r="Q28" s="2165">
        <v>1.4999999999999999E-2</v>
      </c>
      <c r="R28" s="3479"/>
      <c r="S28" s="2065"/>
      <c r="T28" s="2065"/>
      <c r="U28" s="2065"/>
      <c r="V28" s="2148"/>
    </row>
    <row r="29" spans="1:22" s="2149" customFormat="1" ht="13.15" customHeight="1">
      <c r="A29" s="2133">
        <v>3</v>
      </c>
      <c r="B29" s="2134" t="s">
        <v>2302</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2296</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2303</v>
      </c>
      <c r="K31" s="2063"/>
      <c r="L31" s="2063"/>
      <c r="M31" s="2063"/>
      <c r="N31" s="2063"/>
      <c r="O31" s="2063"/>
      <c r="P31" s="2063"/>
      <c r="Q31" s="2063"/>
      <c r="R31" s="2064"/>
      <c r="S31" s="2065"/>
      <c r="T31" s="2065"/>
      <c r="U31" s="2065"/>
      <c r="V31" s="2148"/>
    </row>
    <row r="32" spans="1:22" s="2149" customFormat="1" ht="13.15" customHeight="1">
      <c r="A32" s="2133">
        <v>4</v>
      </c>
      <c r="B32" s="2134" t="s">
        <v>2304</v>
      </c>
      <c r="C32" s="2139">
        <f>C23-C26-C29</f>
        <v>0</v>
      </c>
      <c r="D32" s="3459">
        <f>D23-D26-D29</f>
        <v>0</v>
      </c>
      <c r="E32" s="3460">
        <f>E23-E26-E29</f>
        <v>0</v>
      </c>
      <c r="F32" s="2135"/>
      <c r="G32" s="2065"/>
      <c r="H32" s="2071"/>
      <c r="I32" s="2072"/>
      <c r="J32" s="4559" t="s">
        <v>2202</v>
      </c>
      <c r="K32" s="4560"/>
      <c r="L32" s="2073" t="s">
        <v>2203</v>
      </c>
      <c r="M32" s="2073" t="s">
        <v>2204</v>
      </c>
      <c r="N32" s="2073" t="s">
        <v>2205</v>
      </c>
      <c r="O32" s="2073" t="s">
        <v>2206</v>
      </c>
      <c r="P32" s="2073" t="s">
        <v>2207</v>
      </c>
      <c r="Q32" s="2074" t="s">
        <v>2208</v>
      </c>
      <c r="R32" s="2168" t="s">
        <v>2209</v>
      </c>
      <c r="S32" s="2065"/>
      <c r="T32" s="2065"/>
      <c r="U32" s="2065"/>
      <c r="V32" s="2148"/>
    </row>
    <row r="33" spans="1:23" s="2076" customFormat="1" ht="13.15" customHeight="1">
      <c r="A33" s="2133"/>
      <c r="B33" s="2134"/>
      <c r="C33" s="2139"/>
      <c r="D33" s="3461"/>
      <c r="E33" s="3462"/>
      <c r="F33" s="2135"/>
      <c r="G33" s="2065"/>
      <c r="H33" s="2156"/>
      <c r="I33" s="2148"/>
      <c r="J33" s="4561" t="s">
        <v>2212</v>
      </c>
      <c r="K33" s="4562"/>
      <c r="L33" s="3481"/>
      <c r="M33" s="3481"/>
      <c r="N33" s="3481"/>
      <c r="O33" s="3481"/>
      <c r="P33" s="3481"/>
      <c r="Q33" s="3482"/>
      <c r="R33" s="3483">
        <f>SUM(L33:Q33)</f>
        <v>0</v>
      </c>
      <c r="S33" s="2065"/>
      <c r="T33" s="2065"/>
      <c r="U33" s="2065"/>
      <c r="V33" s="2072"/>
    </row>
    <row r="34" spans="1:23" s="2076" customFormat="1" ht="13.15" customHeight="1">
      <c r="A34" s="2133">
        <v>5</v>
      </c>
      <c r="B34" s="2134" t="s">
        <v>2305</v>
      </c>
      <c r="C34" s="3463"/>
      <c r="D34" s="3464"/>
      <c r="E34" s="3465"/>
      <c r="F34" s="2135"/>
      <c r="G34" s="2065"/>
      <c r="H34" s="2156"/>
      <c r="I34" s="2148"/>
      <c r="J34" s="4561" t="s">
        <v>2214</v>
      </c>
      <c r="K34" s="4562"/>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2306</v>
      </c>
      <c r="C35" s="2167"/>
      <c r="D35" s="2140"/>
      <c r="E35" s="2141"/>
      <c r="F35" s="2135"/>
      <c r="G35" s="2169"/>
      <c r="H35" s="2071"/>
      <c r="I35" s="2148"/>
      <c r="J35" s="2088" t="s">
        <v>2216</v>
      </c>
      <c r="K35" s="2089"/>
      <c r="L35" s="2089"/>
      <c r="M35" s="2090"/>
      <c r="N35" s="2090"/>
      <c r="O35" s="2090"/>
      <c r="P35" s="2090"/>
      <c r="Q35" s="2090"/>
      <c r="R35" s="2170">
        <f>R40+R41+R43</f>
        <v>0</v>
      </c>
      <c r="S35" s="2065"/>
      <c r="T35" s="2065" t="s">
        <v>2217</v>
      </c>
      <c r="U35" s="2065"/>
      <c r="V35" s="2072"/>
    </row>
    <row r="36" spans="1:23" s="2076" customFormat="1" ht="13.15" customHeight="1" thickBot="1">
      <c r="A36" s="2133">
        <v>7</v>
      </c>
      <c r="B36" s="2171" t="s">
        <v>2307</v>
      </c>
      <c r="C36" s="3466"/>
      <c r="D36" s="3467"/>
      <c r="E36" s="3468"/>
      <c r="F36" s="2172">
        <f>C36+D36+E36</f>
        <v>0</v>
      </c>
      <c r="G36" s="2065"/>
      <c r="H36" s="2071"/>
      <c r="I36" s="2072"/>
      <c r="J36" s="4566">
        <v>1</v>
      </c>
      <c r="K36" s="4567" t="s">
        <v>2308</v>
      </c>
      <c r="L36" s="2094"/>
      <c r="M36" s="2095"/>
      <c r="N36" s="2095"/>
      <c r="O36" s="2095"/>
      <c r="P36" s="2095"/>
      <c r="Q36" s="2095"/>
      <c r="R36" s="2080" t="s">
        <v>2225</v>
      </c>
      <c r="S36" s="2065"/>
      <c r="T36" s="2065" t="s">
        <v>2226</v>
      </c>
      <c r="U36" s="2065"/>
      <c r="V36" s="2072"/>
    </row>
    <row r="37" spans="1:23" s="2076" customFormat="1" ht="13.15" customHeight="1">
      <c r="A37" s="2133"/>
      <c r="B37" s="2134"/>
      <c r="C37" s="2138"/>
      <c r="D37" s="2138"/>
      <c r="E37" s="2138"/>
      <c r="F37" s="2135"/>
      <c r="G37" s="2065"/>
      <c r="H37" s="2071"/>
      <c r="I37" s="2072"/>
      <c r="J37" s="4566"/>
      <c r="K37" s="4568"/>
      <c r="L37" s="3487"/>
      <c r="M37" s="3475"/>
      <c r="N37" s="2114"/>
      <c r="O37" s="2114"/>
      <c r="P37" s="2114"/>
      <c r="Q37" s="2114"/>
      <c r="R37" s="3476"/>
      <c r="S37" s="2065"/>
      <c r="T37" s="2065" t="s">
        <v>2229</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566"/>
      <c r="K38" s="4568"/>
      <c r="L38" s="3487"/>
      <c r="M38" s="3475"/>
      <c r="N38" s="2114"/>
      <c r="O38" s="2114"/>
      <c r="P38" s="2114"/>
      <c r="Q38" s="2114"/>
      <c r="R38" s="3476"/>
      <c r="S38" s="2065"/>
      <c r="T38" s="2065" t="s">
        <v>2235</v>
      </c>
      <c r="U38" s="2065"/>
      <c r="V38" s="2072"/>
    </row>
    <row r="39" spans="1:23" s="2076" customFormat="1" ht="13.15" customHeight="1">
      <c r="A39" s="2133">
        <v>9</v>
      </c>
      <c r="B39" s="2134" t="s">
        <v>2309</v>
      </c>
      <c r="C39" s="3449" t="e">
        <f>C38</f>
        <v>#DIV/0!</v>
      </c>
      <c r="D39" s="3449">
        <f>IF(D23=0,0,D38/(1+D34)^C36)</f>
        <v>0</v>
      </c>
      <c r="E39" s="3449">
        <f>IF(E23=0,0,E38/(1+E34)^(C36+D36))</f>
        <v>0</v>
      </c>
      <c r="F39" s="2135"/>
      <c r="G39" s="2072"/>
      <c r="H39" s="2071"/>
      <c r="I39" s="2072"/>
      <c r="J39" s="4566"/>
      <c r="K39" s="4568"/>
      <c r="L39" s="3487"/>
      <c r="M39" s="3475"/>
      <c r="N39" s="2114"/>
      <c r="O39" s="2114"/>
      <c r="P39" s="2114"/>
      <c r="Q39" s="2114"/>
      <c r="R39" s="3476"/>
      <c r="S39" s="2065"/>
      <c r="T39" s="2065"/>
      <c r="U39" s="2065"/>
      <c r="V39" s="2072"/>
    </row>
    <row r="40" spans="1:23" s="2076" customFormat="1" ht="13.15" customHeight="1">
      <c r="A40" s="2173">
        <v>10</v>
      </c>
      <c r="B40" s="2134" t="s">
        <v>2310</v>
      </c>
      <c r="C40" s="3469" t="e">
        <f>C39+D39+E39</f>
        <v>#DIV/0!</v>
      </c>
      <c r="D40" s="3470"/>
      <c r="E40" s="3470"/>
      <c r="F40" s="2174"/>
      <c r="G40" s="2065"/>
      <c r="H40" s="2071"/>
      <c r="I40" s="2072"/>
      <c r="J40" s="4566"/>
      <c r="K40" s="4569"/>
      <c r="L40" s="2116" t="s">
        <v>2252</v>
      </c>
      <c r="M40" s="2117"/>
      <c r="N40" s="2117"/>
      <c r="O40" s="2118"/>
      <c r="P40" s="2118"/>
      <c r="Q40" s="3488"/>
      <c r="R40" s="3681">
        <f>SUM(R37:R39)</f>
        <v>0</v>
      </c>
      <c r="S40" s="2065"/>
      <c r="T40" s="2065"/>
      <c r="U40" s="2065"/>
      <c r="V40" s="2072"/>
    </row>
    <row r="41" spans="1:23" s="2076" customFormat="1" ht="13.15" customHeight="1" thickBot="1">
      <c r="A41" s="2175">
        <v>11</v>
      </c>
      <c r="B41" s="2176" t="s">
        <v>2311</v>
      </c>
      <c r="C41" s="3471" t="e">
        <f>ROUND(C40*10000/B4,0)</f>
        <v>#DIV/0!</v>
      </c>
      <c r="D41" s="3472"/>
      <c r="E41" s="3472"/>
      <c r="F41" s="2177"/>
      <c r="G41" s="2071"/>
      <c r="H41" s="2071"/>
      <c r="I41" s="2072"/>
      <c r="J41" s="2143">
        <v>2</v>
      </c>
      <c r="K41" s="2144" t="s">
        <v>2289</v>
      </c>
      <c r="L41" s="2145"/>
      <c r="M41" s="2145"/>
      <c r="N41" s="2145"/>
      <c r="O41" s="2145"/>
      <c r="P41" s="2146"/>
      <c r="Q41" s="3475"/>
      <c r="R41" s="3680">
        <f>ROUND(R40*Q41,0)</f>
        <v>0</v>
      </c>
      <c r="S41" s="2065"/>
      <c r="T41" s="2065"/>
      <c r="U41" s="2109"/>
      <c r="V41" s="2072"/>
    </row>
    <row r="42" spans="1:23" s="2076" customFormat="1" ht="13.15" customHeight="1">
      <c r="G42" s="2071"/>
      <c r="H42" s="2071"/>
      <c r="I42" s="2072"/>
      <c r="J42" s="4577">
        <v>3</v>
      </c>
      <c r="K42" s="2150" t="s">
        <v>2291</v>
      </c>
      <c r="L42" s="2151"/>
      <c r="M42" s="2152"/>
      <c r="N42" s="2153" t="s">
        <v>2292</v>
      </c>
      <c r="O42" s="2153" t="s">
        <v>2293</v>
      </c>
      <c r="P42" s="2154" t="s">
        <v>2294</v>
      </c>
      <c r="Q42" s="2154" t="s">
        <v>2295</v>
      </c>
      <c r="R42" s="2080" t="s">
        <v>2225</v>
      </c>
      <c r="S42" s="2109"/>
      <c r="T42" s="2109"/>
      <c r="U42" s="2065"/>
      <c r="V42" s="2072"/>
    </row>
    <row r="43" spans="1:23" ht="13.15" customHeight="1">
      <c r="A43" s="2076"/>
      <c r="B43" s="2076"/>
      <c r="C43" s="2076"/>
      <c r="D43" s="2076"/>
      <c r="E43" s="2076"/>
      <c r="F43" s="2076"/>
      <c r="G43" s="2071"/>
      <c r="H43" s="2071"/>
      <c r="I43" s="2060"/>
      <c r="J43" s="4578"/>
      <c r="K43" s="2157"/>
      <c r="L43" s="2158"/>
      <c r="M43" s="2159"/>
      <c r="N43" s="3475"/>
      <c r="O43" s="3475"/>
      <c r="P43" s="3475"/>
      <c r="Q43" s="3475"/>
      <c r="R43" s="3680">
        <f>ROUND(O43*N43*P43*(1-Q43)/10000,0)</f>
        <v>0</v>
      </c>
      <c r="S43" s="2065"/>
      <c r="T43" s="2065"/>
      <c r="V43" s="2178"/>
      <c r="W43" s="2179"/>
    </row>
    <row r="44" spans="1:23" ht="13.15" customHeight="1" thickBot="1">
      <c r="A44" s="2076"/>
      <c r="B44" s="2076"/>
      <c r="C44" s="2076"/>
      <c r="D44" s="2076"/>
      <c r="E44" s="2076"/>
      <c r="F44" s="2076"/>
      <c r="G44" s="2071"/>
      <c r="H44" s="2071"/>
      <c r="J44" s="2160">
        <v>6</v>
      </c>
      <c r="K44" s="2161" t="s">
        <v>2298</v>
      </c>
      <c r="L44" s="2180" t="s">
        <v>2299</v>
      </c>
      <c r="M44" s="3480"/>
      <c r="N44" s="2180" t="s">
        <v>2300</v>
      </c>
      <c r="O44" s="2163"/>
      <c r="P44" s="2180" t="s">
        <v>2301</v>
      </c>
      <c r="Q44" s="2165">
        <v>1.4999999999999999E-2</v>
      </c>
      <c r="R44" s="3479"/>
    </row>
    <row r="45" spans="1:23" ht="13.15" customHeight="1" thickBot="1">
      <c r="A45" s="2076"/>
      <c r="B45" s="2076"/>
      <c r="C45" s="2076"/>
      <c r="D45" s="2076"/>
      <c r="E45" s="2076"/>
      <c r="F45" s="2076"/>
      <c r="G45" s="2071"/>
      <c r="H45" s="2071"/>
    </row>
    <row r="46" spans="1:23" ht="15">
      <c r="A46" s="2076"/>
      <c r="B46" s="2076"/>
      <c r="C46" s="3585" t="s">
        <v>3707</v>
      </c>
      <c r="D46" s="3586" t="s">
        <v>3778</v>
      </c>
      <c r="E46" s="3959">
        <f>ROUND(D6*G46,0)</f>
        <v>0</v>
      </c>
      <c r="F46" s="3597" t="s">
        <v>3767</v>
      </c>
      <c r="G46" s="3960">
        <v>0.05</v>
      </c>
      <c r="H46" s="2076"/>
      <c r="I46" s="2179"/>
    </row>
    <row r="47" spans="1:23" ht="13.15" customHeight="1">
      <c r="A47" s="2076"/>
      <c r="B47" s="2076"/>
      <c r="C47" s="3587" t="s">
        <v>3708</v>
      </c>
      <c r="D47" s="3588" t="s">
        <v>3709</v>
      </c>
      <c r="E47" s="4067" t="s">
        <v>3943</v>
      </c>
      <c r="F47" s="3598" t="s">
        <v>3710</v>
      </c>
      <c r="G47" s="3599" t="s">
        <v>3711</v>
      </c>
      <c r="H47" s="2066"/>
      <c r="I47" s="2179"/>
    </row>
    <row r="48" spans="1:23" ht="13.15" customHeight="1">
      <c r="C48" s="3589">
        <v>1</v>
      </c>
      <c r="D48" s="3588" t="s">
        <v>3712</v>
      </c>
      <c r="E48" s="3609">
        <f>E49-E54</f>
        <v>0</v>
      </c>
      <c r="F48" s="3588"/>
      <c r="G48" s="3599"/>
      <c r="H48" s="2066"/>
      <c r="I48" s="2179"/>
    </row>
    <row r="49" spans="1:9" ht="13.15" customHeight="1">
      <c r="C49" s="3589">
        <v>2</v>
      </c>
      <c r="D49" s="3588" t="s">
        <v>3713</v>
      </c>
      <c r="E49" s="3609">
        <f>SUM(E50:E53)</f>
        <v>0</v>
      </c>
      <c r="F49" s="3588"/>
      <c r="G49" s="3954"/>
      <c r="H49" s="2066"/>
      <c r="I49" s="2179"/>
    </row>
    <row r="50" spans="1:9" ht="13.15" customHeight="1">
      <c r="C50" s="3590" t="s">
        <v>3729</v>
      </c>
      <c r="D50" s="3591" t="s">
        <v>3714</v>
      </c>
      <c r="E50" s="3610">
        <f>R14*G50/(1+G50)</f>
        <v>0</v>
      </c>
      <c r="F50" s="3600" t="s">
        <v>3730</v>
      </c>
      <c r="G50" s="3955">
        <v>0.06</v>
      </c>
      <c r="H50" s="2066"/>
      <c r="I50" s="2179"/>
    </row>
    <row r="51" spans="1:9" ht="13.15" customHeight="1">
      <c r="C51" s="3590" t="s">
        <v>3731</v>
      </c>
      <c r="D51" s="3591" t="s">
        <v>3715</v>
      </c>
      <c r="E51" s="3610">
        <f>R19*G51/(1+G51)</f>
        <v>0</v>
      </c>
      <c r="F51" s="3600" t="s">
        <v>3732</v>
      </c>
      <c r="G51" s="3955">
        <v>0.06</v>
      </c>
      <c r="H51" s="2066"/>
      <c r="I51" s="2179"/>
    </row>
    <row r="52" spans="1:9" ht="13.15" customHeight="1">
      <c r="C52" s="3590" t="s">
        <v>3733</v>
      </c>
      <c r="D52" s="3591" t="s">
        <v>3716</v>
      </c>
      <c r="E52" s="3610">
        <f>R24*G52/(1+R24)</f>
        <v>0</v>
      </c>
      <c r="F52" s="3600" t="s">
        <v>3717</v>
      </c>
      <c r="G52" s="3955">
        <v>0.09</v>
      </c>
      <c r="H52" s="2066"/>
      <c r="I52" s="2179"/>
    </row>
    <row r="53" spans="1:9" ht="13.15" customHeight="1">
      <c r="C53" s="3590" t="s">
        <v>3734</v>
      </c>
      <c r="D53" s="3591" t="s">
        <v>3718</v>
      </c>
      <c r="E53" s="3610">
        <f>R27*G53/(1+G53)</f>
        <v>0</v>
      </c>
      <c r="F53" s="3600" t="s">
        <v>3717</v>
      </c>
      <c r="G53" s="3955">
        <v>0.09</v>
      </c>
      <c r="H53" s="2066"/>
      <c r="I53" s="2179"/>
    </row>
    <row r="54" spans="1:9" ht="13.15" customHeight="1">
      <c r="A54" s="2066" t="s">
        <v>3762</v>
      </c>
      <c r="B54" s="2179"/>
      <c r="C54" s="3589">
        <v>3</v>
      </c>
      <c r="D54" s="3588" t="s">
        <v>3719</v>
      </c>
      <c r="E54" s="3609">
        <f>E55+E56+E60</f>
        <v>0</v>
      </c>
      <c r="F54" s="3588"/>
      <c r="G54" s="3954"/>
      <c r="H54" s="2066"/>
      <c r="I54" s="2179"/>
    </row>
    <row r="55" spans="1:9" ht="13.15" customHeight="1">
      <c r="A55" s="3581">
        <v>0.05</v>
      </c>
      <c r="B55" s="3582" t="s">
        <v>3766</v>
      </c>
      <c r="C55" s="3590" t="s">
        <v>3729</v>
      </c>
      <c r="D55" s="3591" t="s">
        <v>3720</v>
      </c>
      <c r="E55" s="3610">
        <f>D9*G55/(1+G55)</f>
        <v>0</v>
      </c>
      <c r="F55" s="3602" t="s">
        <v>3768</v>
      </c>
      <c r="G55" s="3955">
        <v>0.13</v>
      </c>
      <c r="H55" s="2066"/>
      <c r="I55" s="2179"/>
    </row>
    <row r="56" spans="1:9" ht="13.15" customHeight="1">
      <c r="A56" s="3581">
        <f>SUM(A57:A59)</f>
        <v>0.39</v>
      </c>
      <c r="B56" s="3582"/>
      <c r="C56" s="3590" t="s">
        <v>3731</v>
      </c>
      <c r="D56" s="3591" t="s">
        <v>3721</v>
      </c>
      <c r="E56" s="3610">
        <f>SUM(E57:E59)</f>
        <v>0</v>
      </c>
      <c r="F56" s="3600"/>
      <c r="G56" s="3603"/>
      <c r="H56" s="2066" t="s">
        <v>3775</v>
      </c>
      <c r="I56" s="2066" t="s">
        <v>3776</v>
      </c>
    </row>
    <row r="57" spans="1:9" ht="13.15" customHeight="1">
      <c r="A57" s="3581">
        <v>0.25</v>
      </c>
      <c r="B57" s="3582" t="s">
        <v>3763</v>
      </c>
      <c r="C57" s="3592" t="s">
        <v>3722</v>
      </c>
      <c r="D57" s="3593" t="s">
        <v>3723</v>
      </c>
      <c r="E57" s="3611">
        <v>0</v>
      </c>
      <c r="F57" s="3604"/>
      <c r="G57" s="3605" t="s">
        <v>3724</v>
      </c>
      <c r="H57" s="3577">
        <v>0.65</v>
      </c>
      <c r="I57" s="3583">
        <f>A57/SUM(A57:A59)</f>
        <v>0.64102564102564097</v>
      </c>
    </row>
    <row r="58" spans="1:9" ht="13.15" customHeight="1">
      <c r="A58" s="3581">
        <v>0.06</v>
      </c>
      <c r="B58" s="3582" t="s">
        <v>3764</v>
      </c>
      <c r="C58" s="3592" t="s">
        <v>3725</v>
      </c>
      <c r="D58" s="3594" t="s">
        <v>3770</v>
      </c>
      <c r="E58" s="3611">
        <f>D10*H58*G58/(1+G58)</f>
        <v>0</v>
      </c>
      <c r="F58" s="3604" t="s">
        <v>3735</v>
      </c>
      <c r="G58" s="3956">
        <v>0.09</v>
      </c>
      <c r="H58" s="3577">
        <v>0.15</v>
      </c>
      <c r="I58" s="3583">
        <f>A58/SUM(A57:A59)</f>
        <v>0.15384615384615383</v>
      </c>
    </row>
    <row r="59" spans="1:9" ht="13.15" customHeight="1">
      <c r="A59" s="3581">
        <v>0.08</v>
      </c>
      <c r="B59" s="3582" t="s">
        <v>3765</v>
      </c>
      <c r="C59" s="3592" t="s">
        <v>3726</v>
      </c>
      <c r="D59" s="3593" t="s">
        <v>3736</v>
      </c>
      <c r="E59" s="3611">
        <f>D10*H59*G59/(1+G59)</f>
        <v>0</v>
      </c>
      <c r="F59" s="3604" t="s">
        <v>3737</v>
      </c>
      <c r="G59" s="3956">
        <v>0.06</v>
      </c>
      <c r="H59" s="3577">
        <v>0.2</v>
      </c>
      <c r="I59" s="3583">
        <f>1-I57-I58</f>
        <v>0.2051282051282052</v>
      </c>
    </row>
    <row r="60" spans="1:9" ht="13.15" customHeight="1">
      <c r="A60" s="3581">
        <f>SUM(A61:A62)</f>
        <v>0.1</v>
      </c>
      <c r="B60" s="3582"/>
      <c r="C60" s="3590" t="s">
        <v>3733</v>
      </c>
      <c r="D60" s="3591" t="s">
        <v>3738</v>
      </c>
      <c r="E60" s="3610">
        <f>SUM(E61:E62)</f>
        <v>0</v>
      </c>
      <c r="F60" s="3600"/>
      <c r="G60" s="3957"/>
      <c r="I60" s="2179"/>
    </row>
    <row r="61" spans="1:9" ht="13.15" customHeight="1">
      <c r="A61" s="3581">
        <v>0.05</v>
      </c>
      <c r="B61" s="3582" t="s">
        <v>3766</v>
      </c>
      <c r="C61" s="3592" t="s">
        <v>3739</v>
      </c>
      <c r="D61" s="3593" t="s">
        <v>3740</v>
      </c>
      <c r="E61" s="3611">
        <f>D17*H61*G61/(1+G61)</f>
        <v>0</v>
      </c>
      <c r="F61" s="3604" t="s">
        <v>3737</v>
      </c>
      <c r="G61" s="3956">
        <v>0.06</v>
      </c>
      <c r="H61" s="3577">
        <v>0.5</v>
      </c>
      <c r="I61" s="2179"/>
    </row>
    <row r="62" spans="1:9" ht="13.15" customHeight="1" thickBot="1">
      <c r="A62" s="3581">
        <v>0.05</v>
      </c>
      <c r="B62" s="3582" t="s">
        <v>3767</v>
      </c>
      <c r="C62" s="3595" t="s">
        <v>3725</v>
      </c>
      <c r="D62" s="3596" t="s">
        <v>3741</v>
      </c>
      <c r="E62" s="3612">
        <f>D17*H62*G62/(1+G62)</f>
        <v>0</v>
      </c>
      <c r="F62" s="3607" t="s">
        <v>3742</v>
      </c>
      <c r="G62" s="3958">
        <v>0.09</v>
      </c>
      <c r="H62" s="3577">
        <v>0.5</v>
      </c>
      <c r="I62" s="2179"/>
    </row>
    <row r="63" spans="1:9" ht="13.15" customHeight="1">
      <c r="A63" s="3581">
        <f>A55+A56+A60</f>
        <v>0.54</v>
      </c>
      <c r="B63" s="3582"/>
      <c r="C63" s="2179"/>
      <c r="D63" s="3582"/>
      <c r="E63" s="3582"/>
      <c r="F63" s="2179"/>
      <c r="G63" s="2179"/>
      <c r="H63" s="2066"/>
      <c r="I63" s="2066"/>
    </row>
    <row r="64" spans="1:9" ht="13.15" customHeight="1" thickBot="1">
      <c r="C64" s="2179"/>
      <c r="D64" s="2179"/>
      <c r="E64" s="2179"/>
      <c r="F64" s="2179"/>
      <c r="G64" s="2179"/>
      <c r="H64" s="2066"/>
      <c r="I64" s="2179"/>
    </row>
    <row r="65" spans="1:9" ht="15">
      <c r="C65" s="3585" t="s">
        <v>3743</v>
      </c>
      <c r="D65" s="3586" t="s">
        <v>3778</v>
      </c>
      <c r="E65" s="3959">
        <f>ROUND(D6*G65,0)</f>
        <v>0</v>
      </c>
      <c r="F65" s="3597" t="s">
        <v>3779</v>
      </c>
      <c r="G65" s="3960">
        <v>0.03</v>
      </c>
      <c r="H65" s="2066"/>
      <c r="I65" s="2179"/>
    </row>
    <row r="66" spans="1:9" ht="12.75">
      <c r="C66" s="3587" t="s">
        <v>3744</v>
      </c>
      <c r="D66" s="3588" t="s">
        <v>3745</v>
      </c>
      <c r="E66" s="4067" t="s">
        <v>3943</v>
      </c>
      <c r="F66" s="3598" t="s">
        <v>3746</v>
      </c>
      <c r="G66" s="3599" t="s">
        <v>3747</v>
      </c>
      <c r="H66" s="2066"/>
      <c r="I66" s="2179"/>
    </row>
    <row r="67" spans="1:9" ht="12">
      <c r="C67" s="3589">
        <v>1</v>
      </c>
      <c r="D67" s="3588" t="s">
        <v>3748</v>
      </c>
      <c r="E67" s="3613">
        <f>E68-E73</f>
        <v>0</v>
      </c>
      <c r="F67" s="3588"/>
      <c r="G67" s="3599"/>
      <c r="H67" s="2066"/>
      <c r="I67" s="2179"/>
    </row>
    <row r="68" spans="1:9" ht="13.15" customHeight="1">
      <c r="C68" s="3614">
        <v>2</v>
      </c>
      <c r="D68" s="3588" t="s">
        <v>3749</v>
      </c>
      <c r="E68" s="3613">
        <f>SUM(E69:E70)</f>
        <v>0</v>
      </c>
      <c r="F68" s="3588"/>
      <c r="G68" s="3599"/>
      <c r="H68" s="2066"/>
      <c r="I68" s="2179"/>
    </row>
    <row r="69" spans="1:9" ht="13.15" customHeight="1">
      <c r="C69" s="3590" t="s">
        <v>3750</v>
      </c>
      <c r="D69" s="3591" t="s">
        <v>3751</v>
      </c>
      <c r="E69" s="3591"/>
      <c r="F69" s="3600" t="s">
        <v>3752</v>
      </c>
      <c r="G69" s="3601">
        <v>0.09</v>
      </c>
      <c r="H69" s="2066"/>
      <c r="I69" s="2179"/>
    </row>
    <row r="70" spans="1:9" ht="13.15" customHeight="1">
      <c r="C70" s="3590" t="s">
        <v>3731</v>
      </c>
      <c r="D70" s="3591" t="s">
        <v>3753</v>
      </c>
      <c r="E70" s="3591"/>
      <c r="F70" s="3600" t="s">
        <v>3754</v>
      </c>
      <c r="G70" s="3601">
        <v>0.06</v>
      </c>
      <c r="H70" s="2066"/>
      <c r="I70" s="2179"/>
    </row>
    <row r="71" spans="1:9" ht="13.15" customHeight="1">
      <c r="A71" s="2066" t="s">
        <v>3769</v>
      </c>
      <c r="C71" s="3614">
        <v>3</v>
      </c>
      <c r="D71" s="3588" t="s">
        <v>3755</v>
      </c>
      <c r="E71" s="3613">
        <f>E72+E77</f>
        <v>0</v>
      </c>
      <c r="F71" s="3588"/>
      <c r="G71" s="3599"/>
      <c r="H71" s="2066"/>
      <c r="I71" s="2179"/>
    </row>
    <row r="72" spans="1:9" ht="13.15" customHeight="1">
      <c r="A72" s="3581">
        <v>0.05</v>
      </c>
      <c r="B72" s="3584"/>
      <c r="C72" s="3590" t="s">
        <v>3750</v>
      </c>
      <c r="D72" s="3591" t="s">
        <v>3756</v>
      </c>
      <c r="E72" s="3591">
        <f>D9*G72/(1+G72)</f>
        <v>0</v>
      </c>
      <c r="F72" s="3602" t="s">
        <v>3768</v>
      </c>
      <c r="G72" s="3601">
        <v>0.13</v>
      </c>
      <c r="H72" s="2066"/>
      <c r="I72" s="2179"/>
    </row>
    <row r="73" spans="1:9" ht="13.15" customHeight="1">
      <c r="A73" s="3581">
        <f>SUM(A74:A76)</f>
        <v>0.2</v>
      </c>
      <c r="B73" s="3584"/>
      <c r="C73" s="3590" t="s">
        <v>3731</v>
      </c>
      <c r="D73" s="3591" t="s">
        <v>3757</v>
      </c>
      <c r="E73" s="3591">
        <f>SUM(E74:E76)</f>
        <v>0</v>
      </c>
      <c r="F73" s="3600"/>
      <c r="G73" s="3603"/>
      <c r="H73" s="2066" t="s">
        <v>3775</v>
      </c>
      <c r="I73" s="2066" t="s">
        <v>3776</v>
      </c>
    </row>
    <row r="74" spans="1:9" ht="13.15" customHeight="1">
      <c r="A74" s="3581">
        <v>0.05</v>
      </c>
      <c r="B74" s="3584" t="s">
        <v>3773</v>
      </c>
      <c r="C74" s="3615" t="s">
        <v>3758</v>
      </c>
      <c r="D74" s="3593" t="s">
        <v>3759</v>
      </c>
      <c r="E74" s="3593">
        <v>0</v>
      </c>
      <c r="F74" s="3604"/>
      <c r="G74" s="3605" t="s">
        <v>3760</v>
      </c>
      <c r="H74" s="3577">
        <v>0.25</v>
      </c>
      <c r="I74" s="3583">
        <f>A74/SUM(A74:A76)</f>
        <v>0.25</v>
      </c>
    </row>
    <row r="75" spans="1:9" ht="13.15" customHeight="1">
      <c r="A75" s="3581">
        <v>0.1</v>
      </c>
      <c r="B75" s="3584" t="s">
        <v>3771</v>
      </c>
      <c r="C75" s="3615" t="s">
        <v>3727</v>
      </c>
      <c r="D75" s="3594" t="s">
        <v>3770</v>
      </c>
      <c r="E75" s="3593">
        <f>D10*H75*G75/(1+G75)</f>
        <v>0</v>
      </c>
      <c r="F75" s="3604" t="s">
        <v>3761</v>
      </c>
      <c r="G75" s="3606">
        <v>0.09</v>
      </c>
      <c r="H75" s="3577">
        <v>0.5</v>
      </c>
      <c r="I75" s="3583">
        <f>A75/SUM(A74:A76)</f>
        <v>0.5</v>
      </c>
    </row>
    <row r="76" spans="1:9" ht="13.15" customHeight="1">
      <c r="A76" s="3581">
        <v>0.05</v>
      </c>
      <c r="B76" s="3584" t="s">
        <v>3774</v>
      </c>
      <c r="C76" s="3615" t="s">
        <v>3728</v>
      </c>
      <c r="D76" s="3593" t="s">
        <v>3736</v>
      </c>
      <c r="E76" s="3593">
        <f>D10*H76*G76/(1+G76)</f>
        <v>0</v>
      </c>
      <c r="F76" s="3604" t="s">
        <v>3737</v>
      </c>
      <c r="G76" s="3606">
        <v>0.06</v>
      </c>
      <c r="H76" s="3577">
        <v>0.25</v>
      </c>
      <c r="I76" s="3583">
        <f>1-I74-I75</f>
        <v>0.25</v>
      </c>
    </row>
    <row r="77" spans="1:9" ht="13.15" customHeight="1">
      <c r="A77" s="3581">
        <f>SUM(A78:A79)</f>
        <v>0.1</v>
      </c>
      <c r="B77" s="3584"/>
      <c r="C77" s="3590" t="s">
        <v>3733</v>
      </c>
      <c r="D77" s="3591" t="s">
        <v>3738</v>
      </c>
      <c r="E77" s="3591">
        <f>SUM(E78:E79)</f>
        <v>0</v>
      </c>
      <c r="F77" s="3600"/>
      <c r="G77" s="3603"/>
      <c r="I77" s="2179"/>
    </row>
    <row r="78" spans="1:9" ht="13.15" customHeight="1">
      <c r="A78" s="3581">
        <v>0.05</v>
      </c>
      <c r="B78" s="3584" t="s">
        <v>3764</v>
      </c>
      <c r="C78" s="3615" t="s">
        <v>3758</v>
      </c>
      <c r="D78" s="3593" t="s">
        <v>3740</v>
      </c>
      <c r="E78" s="3593">
        <f>D17*H78*G78/(1+G78)</f>
        <v>0</v>
      </c>
      <c r="F78" s="3604" t="s">
        <v>3737</v>
      </c>
      <c r="G78" s="3606">
        <v>0.06</v>
      </c>
      <c r="H78" s="3577">
        <v>0.5</v>
      </c>
      <c r="I78" s="2179"/>
    </row>
    <row r="79" spans="1:9" ht="13.15" customHeight="1" thickBot="1">
      <c r="A79" s="3581">
        <v>0.05</v>
      </c>
      <c r="B79" s="3584" t="s">
        <v>3772</v>
      </c>
      <c r="C79" s="3616" t="s">
        <v>3727</v>
      </c>
      <c r="D79" s="3596" t="s">
        <v>3741</v>
      </c>
      <c r="E79" s="3596">
        <f>D17*H79*G79/(1+G79)</f>
        <v>0</v>
      </c>
      <c r="F79" s="3607" t="s">
        <v>3742</v>
      </c>
      <c r="G79" s="3608">
        <v>0.09</v>
      </c>
      <c r="H79" s="3577">
        <v>0.5</v>
      </c>
      <c r="I79" s="2179"/>
    </row>
    <row r="80" spans="1:9" ht="13.15" customHeight="1">
      <c r="A80" s="3581">
        <f>A72+A73+A77</f>
        <v>0.35</v>
      </c>
      <c r="B80" s="3584"/>
      <c r="G80" s="2066"/>
      <c r="H80" s="2066"/>
      <c r="I80" s="2179"/>
    </row>
    <row r="81" spans="7:9" ht="13.15"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296.44799999999998</v>
      </c>
      <c r="C2" s="1347" t="s">
        <v>1558</v>
      </c>
      <c r="D2" s="1348" t="s">
        <v>1559</v>
      </c>
      <c r="E2" s="2878">
        <f>SUM(E6:E13)</f>
        <v>138.79</v>
      </c>
      <c r="F2" s="1967"/>
      <c r="G2" s="1032"/>
      <c r="H2" s="1032"/>
      <c r="I2" s="1032"/>
      <c r="J2" s="1032"/>
      <c r="K2" s="1032"/>
      <c r="L2" s="1032"/>
      <c r="M2" s="1032"/>
      <c r="N2" s="1032"/>
      <c r="O2" s="1032"/>
      <c r="P2" s="1032"/>
      <c r="Q2" s="1032"/>
      <c r="R2" s="1032"/>
      <c r="S2" s="1032"/>
    </row>
    <row r="3" spans="1:22" ht="15.75">
      <c r="A3" s="1346" t="s">
        <v>672</v>
      </c>
      <c r="B3" s="2877">
        <f ca="1">ROUND(B2*10000/E2,0)</f>
        <v>21359</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79" t="s">
        <v>1561</v>
      </c>
      <c r="C5" s="4580"/>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 (元)</v>
      </c>
      <c r="B6" s="3628">
        <f ca="1">IF(F6="是",'数据-取费表'!AO6,0)</f>
        <v>296.44799999999998</v>
      </c>
      <c r="C6" s="1347" t="s">
        <v>1558</v>
      </c>
      <c r="D6" s="1967"/>
      <c r="E6" s="2879">
        <f>IF(OR(A6=0,F6="否"),0,'数据-取费表'!K6+'数据-取费表'!S6)</f>
        <v>138.79</v>
      </c>
      <c r="F6" s="1350" t="s">
        <v>1564</v>
      </c>
      <c r="G6" s="1032"/>
      <c r="H6" s="1032"/>
      <c r="I6" s="1032"/>
      <c r="J6" s="1032"/>
      <c r="K6" s="1032"/>
      <c r="L6" s="1032"/>
      <c r="M6" s="1032"/>
      <c r="N6" s="1032"/>
      <c r="O6" s="1032"/>
      <c r="P6" s="1032"/>
      <c r="Q6" s="1032"/>
      <c r="R6" s="1032"/>
      <c r="S6" s="1032"/>
    </row>
    <row r="7" spans="1:22">
      <c r="A7" s="1883">
        <f>'数据-取费表'!AN7</f>
        <v>0</v>
      </c>
      <c r="B7" s="3628"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28"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8"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8"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8"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8"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8"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21" sqref="T21"/>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84" t="s">
        <v>1991</v>
      </c>
      <c r="D1" s="4585"/>
      <c r="E1" s="4585"/>
      <c r="F1" s="4585"/>
      <c r="G1" s="4585"/>
      <c r="H1" s="4585"/>
      <c r="I1" s="4585"/>
      <c r="J1" s="4585"/>
      <c r="K1" s="4585"/>
      <c r="L1" s="4585"/>
      <c r="M1" s="4585"/>
      <c r="N1" s="4585"/>
      <c r="O1" s="4585"/>
      <c r="P1" s="4585"/>
      <c r="Q1" s="4585"/>
      <c r="R1" s="4585"/>
      <c r="S1" s="4586"/>
      <c r="T1" s="659" t="s">
        <v>1992</v>
      </c>
    </row>
    <row r="2" spans="1:45" s="457" customFormat="1" ht="38.25">
      <c r="A2" s="660"/>
      <c r="B2" s="453" t="s">
        <v>1993</v>
      </c>
      <c r="C2" s="454" t="str">
        <f t="shared" ref="C2:L2" si="0">C3&amp;"(含)"&amp;"-"&amp;D3</f>
        <v>0(含)-50</v>
      </c>
      <c r="D2" s="455" t="str">
        <f t="shared" si="0"/>
        <v>50(含)-100</v>
      </c>
      <c r="E2" s="455" t="str">
        <f t="shared" si="0"/>
        <v>100(含)-200</v>
      </c>
      <c r="F2" s="455" t="str">
        <f t="shared" si="0"/>
        <v>200(含)-300</v>
      </c>
      <c r="G2" s="455" t="str">
        <f t="shared" si="0"/>
        <v>300(含)-400</v>
      </c>
      <c r="H2" s="455" t="str">
        <f t="shared" si="0"/>
        <v>400(含)-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2">
        <f>'比较法-商业'!C103</f>
        <v>0</v>
      </c>
      <c r="D3" s="694">
        <f>'比较法-商业'!D103</f>
        <v>50</v>
      </c>
      <c r="E3" s="694">
        <f>'比较法-商业'!E103</f>
        <v>100</v>
      </c>
      <c r="F3" s="3683">
        <f>'比较法-商业'!F103</f>
        <v>200</v>
      </c>
      <c r="G3" s="3683">
        <f>'比较法-商业'!G103</f>
        <v>300</v>
      </c>
      <c r="H3" s="3683">
        <f>'比较法-商业'!H103</f>
        <v>400</v>
      </c>
      <c r="I3" s="3683"/>
      <c r="J3" s="3683"/>
      <c r="K3" s="3683"/>
      <c r="L3" s="877"/>
      <c r="M3" s="3684"/>
      <c r="N3" s="3684"/>
      <c r="O3" s="3683"/>
      <c r="P3" s="3683"/>
      <c r="Q3" s="3683"/>
      <c r="R3" s="3683"/>
      <c r="S3" s="3685"/>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6">
        <f>'比较法-商业'!C104</f>
        <v>100</v>
      </c>
      <c r="D4" s="3687">
        <f>'比较法-商业'!D104</f>
        <v>99</v>
      </c>
      <c r="E4" s="3687">
        <f>'比较法-商业'!E104</f>
        <v>98</v>
      </c>
      <c r="F4" s="3688">
        <f>'比较法-商业'!F104</f>
        <v>97</v>
      </c>
      <c r="G4" s="3688">
        <f>'比较法-商业'!G104</f>
        <v>96</v>
      </c>
      <c r="H4" s="3688">
        <f>'比较法-商业'!H104</f>
        <v>95</v>
      </c>
      <c r="I4" s="3688"/>
      <c r="J4" s="3688"/>
      <c r="K4" s="3688"/>
      <c r="L4" s="3688"/>
      <c r="M4" s="3689"/>
      <c r="N4" s="3689"/>
      <c r="O4" s="3688"/>
      <c r="P4" s="3688"/>
      <c r="Q4" s="3688"/>
      <c r="R4" s="3688"/>
      <c r="S4" s="3690"/>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1"/>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2">
        <v>100</v>
      </c>
      <c r="D6" s="3693">
        <f>C6-$T5</f>
        <v>100</v>
      </c>
      <c r="E6" s="3693">
        <f t="shared" ref="E6:S6" si="7">D6-$T5</f>
        <v>100</v>
      </c>
      <c r="F6" s="3694">
        <f t="shared" si="7"/>
        <v>100</v>
      </c>
      <c r="G6" s="3694">
        <f t="shared" si="7"/>
        <v>100</v>
      </c>
      <c r="H6" s="3694">
        <f t="shared" si="7"/>
        <v>100</v>
      </c>
      <c r="I6" s="3694">
        <f t="shared" si="7"/>
        <v>100</v>
      </c>
      <c r="J6" s="3694">
        <f t="shared" si="7"/>
        <v>100</v>
      </c>
      <c r="K6" s="3694">
        <f t="shared" si="7"/>
        <v>100</v>
      </c>
      <c r="L6" s="3694">
        <f t="shared" si="7"/>
        <v>100</v>
      </c>
      <c r="M6" s="3694">
        <f t="shared" si="7"/>
        <v>100</v>
      </c>
      <c r="N6" s="3694">
        <f t="shared" si="7"/>
        <v>100</v>
      </c>
      <c r="O6" s="3694">
        <f t="shared" si="7"/>
        <v>100</v>
      </c>
      <c r="P6" s="3694">
        <f t="shared" si="7"/>
        <v>100</v>
      </c>
      <c r="Q6" s="3694">
        <f t="shared" si="7"/>
        <v>100</v>
      </c>
      <c r="R6" s="3694">
        <f t="shared" si="7"/>
        <v>100</v>
      </c>
      <c r="S6" s="3694">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5"/>
      <c r="O7" s="884"/>
      <c r="P7" s="884"/>
      <c r="Q7" s="884"/>
      <c r="R7" s="3696"/>
      <c r="S7" s="3697"/>
      <c r="T7" s="3698"/>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2">
        <v>100</v>
      </c>
      <c r="D8" s="3693">
        <f>C8-$T7</f>
        <v>100</v>
      </c>
      <c r="E8" s="3693">
        <f t="shared" ref="E8:S8" si="8">D8-$T7</f>
        <v>100</v>
      </c>
      <c r="F8" s="3694">
        <f t="shared" si="8"/>
        <v>100</v>
      </c>
      <c r="G8" s="3694">
        <f t="shared" si="8"/>
        <v>100</v>
      </c>
      <c r="H8" s="3694">
        <f t="shared" si="8"/>
        <v>100</v>
      </c>
      <c r="I8" s="3694">
        <f t="shared" si="8"/>
        <v>100</v>
      </c>
      <c r="J8" s="3694">
        <f t="shared" si="8"/>
        <v>100</v>
      </c>
      <c r="K8" s="3694">
        <f t="shared" si="8"/>
        <v>100</v>
      </c>
      <c r="L8" s="3694">
        <f t="shared" si="8"/>
        <v>100</v>
      </c>
      <c r="M8" s="3694">
        <f t="shared" si="8"/>
        <v>100</v>
      </c>
      <c r="N8" s="3694">
        <f t="shared" si="8"/>
        <v>100</v>
      </c>
      <c r="O8" s="3694">
        <f t="shared" si="8"/>
        <v>100</v>
      </c>
      <c r="P8" s="3694">
        <f t="shared" si="8"/>
        <v>100</v>
      </c>
      <c r="Q8" s="3694">
        <f t="shared" si="8"/>
        <v>100</v>
      </c>
      <c r="R8" s="3694">
        <f t="shared" si="8"/>
        <v>100</v>
      </c>
      <c r="S8" s="3694">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5"/>
      <c r="O9" s="884"/>
      <c r="P9" s="884"/>
      <c r="Q9" s="884"/>
      <c r="R9" s="3696"/>
      <c r="S9" s="3697"/>
      <c r="T9" s="3698"/>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9">
        <v>100</v>
      </c>
      <c r="D10" s="3700">
        <f>C10-$T9</f>
        <v>100</v>
      </c>
      <c r="E10" s="3700">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1"/>
      <c r="O11" s="669"/>
      <c r="P11" s="669"/>
      <c r="Q11" s="669"/>
      <c r="R11" s="3702"/>
      <c r="S11" s="3703"/>
      <c r="T11" s="3691"/>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2">
        <v>100</v>
      </c>
      <c r="D12" s="3693">
        <f>C12-$T11</f>
        <v>100</v>
      </c>
      <c r="E12" s="3693">
        <f t="shared" ref="E12:S12" si="10">D12-$T11</f>
        <v>100</v>
      </c>
      <c r="F12" s="3693">
        <f t="shared" si="10"/>
        <v>100</v>
      </c>
      <c r="G12" s="3693">
        <f t="shared" si="10"/>
        <v>100</v>
      </c>
      <c r="H12" s="3693">
        <f t="shared" si="10"/>
        <v>100</v>
      </c>
      <c r="I12" s="3693">
        <f t="shared" si="10"/>
        <v>100</v>
      </c>
      <c r="J12" s="3693">
        <f t="shared" si="10"/>
        <v>100</v>
      </c>
      <c r="K12" s="3693">
        <f t="shared" si="10"/>
        <v>100</v>
      </c>
      <c r="L12" s="3693">
        <f t="shared" si="10"/>
        <v>100</v>
      </c>
      <c r="M12" s="3693">
        <f t="shared" si="10"/>
        <v>100</v>
      </c>
      <c r="N12" s="3693">
        <f t="shared" si="10"/>
        <v>100</v>
      </c>
      <c r="O12" s="3693">
        <f t="shared" si="10"/>
        <v>100</v>
      </c>
      <c r="P12" s="3693">
        <f t="shared" si="10"/>
        <v>100</v>
      </c>
      <c r="Q12" s="3693">
        <f t="shared" si="10"/>
        <v>100</v>
      </c>
      <c r="R12" s="3693">
        <f>Q12-$T11</f>
        <v>100</v>
      </c>
      <c r="S12" s="3693">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1"/>
      <c r="O13" s="669"/>
      <c r="P13" s="669"/>
      <c r="Q13" s="669"/>
      <c r="R13" s="3702"/>
      <c r="S13" s="3703"/>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1"/>
      <c r="O15" s="669"/>
      <c r="P15" s="669"/>
      <c r="Q15" s="669"/>
      <c r="R15" s="3702"/>
      <c r="S15" s="3703"/>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6"/>
      <c r="D16" s="3687"/>
      <c r="E16" s="3687"/>
      <c r="F16" s="3687"/>
      <c r="G16" s="3687"/>
      <c r="H16" s="3687"/>
      <c r="I16" s="3687"/>
      <c r="J16" s="3687"/>
      <c r="K16" s="3687"/>
      <c r="L16" s="3687"/>
      <c r="M16" s="3704"/>
      <c r="N16" s="3704"/>
      <c r="O16" s="3687"/>
      <c r="P16" s="3687"/>
      <c r="Q16" s="3687"/>
      <c r="R16" s="3687"/>
      <c r="S16" s="3705"/>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6"/>
      <c r="O17" s="677"/>
      <c r="P17" s="677"/>
      <c r="Q17" s="677"/>
      <c r="R17" s="3707"/>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08"/>
      <c r="D18" s="3709"/>
      <c r="E18" s="3709"/>
      <c r="F18" s="3709"/>
      <c r="G18" s="3709"/>
      <c r="H18" s="3709"/>
      <c r="I18" s="3709"/>
      <c r="J18" s="3709"/>
      <c r="K18" s="3709"/>
      <c r="L18" s="3709"/>
      <c r="M18" s="3710"/>
      <c r="N18" s="3710"/>
      <c r="O18" s="3709"/>
      <c r="P18" s="3709"/>
      <c r="Q18" s="3709"/>
      <c r="R18" s="3709"/>
      <c r="S18" s="3711"/>
      <c r="T18" s="3711"/>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c r="A19" s="47"/>
      <c r="B19" s="60"/>
      <c r="C19" s="60"/>
      <c r="D19" s="1578" t="s">
        <v>2002</v>
      </c>
      <c r="E19" s="896"/>
      <c r="F19" s="896"/>
      <c r="G19" s="896"/>
      <c r="H19" s="701"/>
      <c r="I19" s="60"/>
      <c r="J19" s="60"/>
      <c r="K19" s="60"/>
      <c r="L19" s="60"/>
      <c r="M19" s="60"/>
      <c r="N19" s="60"/>
      <c r="O19" s="60"/>
      <c r="P19" s="60"/>
      <c r="Q19" s="60"/>
      <c r="R19" s="60"/>
      <c r="S19" s="47"/>
      <c r="T19" s="4264" t="s">
        <v>4167</v>
      </c>
    </row>
    <row r="20" spans="1:45" ht="16.5" thickBot="1">
      <c r="A20" s="461" t="s">
        <v>2003</v>
      </c>
      <c r="B20" s="3184">
        <f ca="1">IF(D20="——",S22,S22-F20)</f>
        <v>1502</v>
      </c>
      <c r="C20" s="60"/>
      <c r="D20" s="1579" t="s">
        <v>41</v>
      </c>
      <c r="E20" s="897"/>
      <c r="F20" s="3183" t="e">
        <f ca="1">SUMIF(INDIRECT("'"&amp;H20&amp;"'"&amp;"!A:A"),"承租人权益价值",INDIRECT("'"&amp;H20&amp;"'"&amp;"!c:c"))</f>
        <v>#REF!</v>
      </c>
      <c r="G20" s="659" t="s">
        <v>2004</v>
      </c>
      <c r="H20" s="1580"/>
      <c r="I20" s="60"/>
      <c r="J20" s="60"/>
      <c r="K20" s="60"/>
      <c r="L20" s="60"/>
      <c r="M20" s="60"/>
      <c r="N20" s="60"/>
      <c r="O20" s="60"/>
      <c r="P20" s="60"/>
      <c r="Q20" s="60"/>
      <c r="R20" s="60"/>
      <c r="S20" s="47"/>
      <c r="T20" s="493">
        <f ca="1">ROUND(T22/B22,0)</f>
        <v>34294</v>
      </c>
    </row>
    <row r="21" spans="1:45" ht="15.75">
      <c r="A21" s="461" t="s">
        <v>2005</v>
      </c>
      <c r="B21" s="3184">
        <f ca="1">ROUND(B20*10000/B22,0)</f>
        <v>34292</v>
      </c>
      <c r="C21" s="60"/>
      <c r="D21" s="60"/>
      <c r="E21" s="60"/>
      <c r="F21" s="60"/>
      <c r="G21" s="60"/>
      <c r="H21" s="60"/>
      <c r="I21" s="60"/>
      <c r="J21" s="60"/>
      <c r="K21" s="60"/>
      <c r="L21" s="60"/>
      <c r="M21" s="60"/>
      <c r="N21" s="60"/>
      <c r="O21" s="60"/>
      <c r="P21" s="60"/>
      <c r="Q21" s="60"/>
      <c r="R21" s="60"/>
      <c r="S21" s="47"/>
      <c r="T21" s="4264" t="s">
        <v>4141</v>
      </c>
    </row>
    <row r="22" spans="1:45">
      <c r="A22" s="200" t="s">
        <v>2006</v>
      </c>
      <c r="B22" s="12">
        <f>SUM(B24:B10000)</f>
        <v>438</v>
      </c>
      <c r="C22" s="4581" t="s">
        <v>25</v>
      </c>
      <c r="D22" s="4582"/>
      <c r="E22" s="4582"/>
      <c r="F22" s="4582"/>
      <c r="G22" s="4582"/>
      <c r="H22" s="4582"/>
      <c r="I22" s="4582"/>
      <c r="J22" s="4582"/>
      <c r="K22" s="4582"/>
      <c r="L22" s="4582"/>
      <c r="M22" s="4582"/>
      <c r="N22" s="4582"/>
      <c r="O22" s="4582"/>
      <c r="P22" s="4582"/>
      <c r="Q22" s="4583"/>
      <c r="R22" s="2665">
        <f ca="1">ROUND(S22*10000/B22,0)</f>
        <v>34292</v>
      </c>
      <c r="S22" s="2665">
        <f ca="1">SUM(S24:S10000)</f>
        <v>1502</v>
      </c>
      <c r="T22" s="493">
        <f ca="1">SUM(T24:T26)</f>
        <v>15020771</v>
      </c>
      <c r="U22" s="493">
        <f>[1]典型户型修正!$T$22</f>
        <v>15265614</v>
      </c>
      <c r="V22" s="493">
        <f ca="1">U22-T22</f>
        <v>244843</v>
      </c>
    </row>
    <row r="23" spans="1:45" s="7" customFormat="1" ht="24">
      <c r="A23" s="6" t="s">
        <v>2007</v>
      </c>
      <c r="B23" s="3178"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5" t="s">
        <v>4067</v>
      </c>
      <c r="B24" s="3179">
        <f>'数据-基础表'!I13</f>
        <v>138.79</v>
      </c>
      <c r="C24" s="2913">
        <v>1</v>
      </c>
      <c r="D24" s="3181"/>
      <c r="E24" s="2913">
        <v>1</v>
      </c>
      <c r="F24" s="3181"/>
      <c r="G24" s="2913">
        <v>1</v>
      </c>
      <c r="H24" s="3181"/>
      <c r="I24" s="2913">
        <v>1</v>
      </c>
      <c r="J24" s="3181"/>
      <c r="K24" s="2913">
        <v>1</v>
      </c>
      <c r="L24" s="3181"/>
      <c r="M24" s="2913">
        <v>1</v>
      </c>
      <c r="N24" s="3181"/>
      <c r="O24" s="2913">
        <v>1</v>
      </c>
      <c r="P24" s="3181"/>
      <c r="Q24" s="2913">
        <v>1</v>
      </c>
      <c r="R24" s="3712">
        <f ca="1">结果表!G20</f>
        <v>34294</v>
      </c>
      <c r="S24" s="3713">
        <f t="shared" ref="S24:S54" ca="1" si="11">ROUND(R24*B24/10000,0)</f>
        <v>476</v>
      </c>
      <c r="T24" s="498">
        <f ca="1">ROUND(B24*R24,0)</f>
        <v>4759664</v>
      </c>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6" t="s">
        <v>4068</v>
      </c>
      <c r="B25" s="3180">
        <f>'数据-基础表'!I14</f>
        <v>128.29</v>
      </c>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 ca="1">IF(B25="",0,ROUND($R$24*C25*E25*G25*I25*K25*M25*O25*Q25,0))</f>
        <v>34294</v>
      </c>
      <c r="S25" s="2790">
        <f t="shared" ca="1" si="11"/>
        <v>440</v>
      </c>
      <c r="T25" s="493">
        <f t="shared" ref="T25:T26" ca="1" si="12">ROUND(B25*R25,0)</f>
        <v>4399577</v>
      </c>
    </row>
    <row r="26" spans="1:45">
      <c r="A26" s="2916" t="s">
        <v>4069</v>
      </c>
      <c r="B26" s="3180">
        <f>'数据-基础表'!I15</f>
        <v>170.92</v>
      </c>
      <c r="C26" s="2914">
        <f t="shared" ref="C26:C89" si="13">IF(B26="",1,(LOOKUP(B26,$3:$3,$4:$4)-LOOKUP($B$24,$3:$3,$4:$4)+100)/100)</f>
        <v>1</v>
      </c>
      <c r="D26" s="3182"/>
      <c r="E26" s="2914">
        <f t="shared" ref="E26:E89" si="14">(SUMIF($5:$5,D26,$6:$6)-SUMIF($5:$5,$D$24,$6:$6)+100)/100</f>
        <v>1</v>
      </c>
      <c r="F26" s="3182"/>
      <c r="G26" s="2914">
        <f t="shared" ref="G26:G89" si="15">(SUMIF($7:$7,F26,$8:$8)-SUMIF($7:$7,$F$24,$8:$8)+100)/100</f>
        <v>1</v>
      </c>
      <c r="H26" s="3182"/>
      <c r="I26" s="2914">
        <f t="shared" ref="I26:I89" si="16">(SUMIF($9:$9,H26,$10:$10)-SUMIF($9:$9,$H$24,$10:$10)+100)/100</f>
        <v>1</v>
      </c>
      <c r="J26" s="3182"/>
      <c r="K26" s="2914">
        <f t="shared" ref="K26:K89" si="17">(SUMIF($11:$11,J26,$12:$12)-SUMIF($11:$11,$J$24,$12:$12)+100)/100</f>
        <v>1</v>
      </c>
      <c r="L26" s="3182"/>
      <c r="M26" s="2914">
        <f t="shared" ref="M26:M89" si="18">(SUMIF($13:$13,L26,$14:$14)-SUMIF($13:$13,$L$24,$14:$14)+100)/100</f>
        <v>1</v>
      </c>
      <c r="N26" s="3182"/>
      <c r="O26" s="2914">
        <f t="shared" ref="O26:O89" si="19">(SUMIF($15:$15,N26,$16:$16)-SUMIF($15:$15,$N$24,$16:$16)+100)/100</f>
        <v>1</v>
      </c>
      <c r="P26" s="3182"/>
      <c r="Q26" s="2914">
        <f t="shared" ref="Q26:Q89" si="20">(SUMIF($17:$17,P26,$18:$18)-SUMIF($17:$17,$P$24,$18:$18)+100)/100</f>
        <v>1</v>
      </c>
      <c r="R26" s="2665">
        <f t="shared" ref="R26:R89" ca="1" si="21">IF(B26="",0,ROUND($R$24*C26*E26*G26*I26*K26*M26*O26*Q26,0))</f>
        <v>34294</v>
      </c>
      <c r="S26" s="2790">
        <f t="shared" ca="1" si="11"/>
        <v>586</v>
      </c>
      <c r="T26" s="493">
        <f t="shared" ca="1" si="12"/>
        <v>5861530</v>
      </c>
    </row>
    <row r="27" spans="1:45">
      <c r="A27" s="2916"/>
      <c r="B27" s="3180"/>
      <c r="C27" s="2914">
        <f t="shared" si="13"/>
        <v>1</v>
      </c>
      <c r="D27" s="3182"/>
      <c r="E27" s="2914">
        <f t="shared" si="14"/>
        <v>1</v>
      </c>
      <c r="F27" s="3182"/>
      <c r="G27" s="2914">
        <f t="shared" si="15"/>
        <v>1</v>
      </c>
      <c r="H27" s="3182"/>
      <c r="I27" s="2914">
        <f t="shared" si="16"/>
        <v>1</v>
      </c>
      <c r="J27" s="3182"/>
      <c r="K27" s="2914">
        <f t="shared" si="17"/>
        <v>1</v>
      </c>
      <c r="L27" s="3182"/>
      <c r="M27" s="2914">
        <f t="shared" si="18"/>
        <v>1</v>
      </c>
      <c r="N27" s="3182"/>
      <c r="O27" s="2914">
        <f t="shared" si="19"/>
        <v>1</v>
      </c>
      <c r="P27" s="3182"/>
      <c r="Q27" s="2914">
        <f t="shared" si="20"/>
        <v>1</v>
      </c>
      <c r="R27" s="2665">
        <f t="shared" si="21"/>
        <v>0</v>
      </c>
      <c r="S27" s="2790">
        <f t="shared" si="11"/>
        <v>0</v>
      </c>
    </row>
    <row r="28" spans="1:45">
      <c r="A28" s="2916"/>
      <c r="B28" s="3180"/>
      <c r="C28" s="2914">
        <f t="shared" si="13"/>
        <v>1</v>
      </c>
      <c r="D28" s="3182"/>
      <c r="E28" s="2914">
        <f t="shared" si="14"/>
        <v>1</v>
      </c>
      <c r="F28" s="3182"/>
      <c r="G28" s="2914">
        <f t="shared" si="15"/>
        <v>1</v>
      </c>
      <c r="H28" s="3182"/>
      <c r="I28" s="2914">
        <f t="shared" si="16"/>
        <v>1</v>
      </c>
      <c r="J28" s="3182"/>
      <c r="K28" s="2914">
        <f t="shared" si="17"/>
        <v>1</v>
      </c>
      <c r="L28" s="3182"/>
      <c r="M28" s="2914">
        <f t="shared" si="18"/>
        <v>1</v>
      </c>
      <c r="N28" s="3182"/>
      <c r="O28" s="2914">
        <f t="shared" si="19"/>
        <v>1</v>
      </c>
      <c r="P28" s="3182"/>
      <c r="Q28" s="2914">
        <f t="shared" si="20"/>
        <v>1</v>
      </c>
      <c r="R28" s="2665">
        <f t="shared" si="21"/>
        <v>0</v>
      </c>
      <c r="S28" s="2790">
        <f t="shared" si="11"/>
        <v>0</v>
      </c>
    </row>
    <row r="29" spans="1:45">
      <c r="A29" s="2916"/>
      <c r="B29" s="3180"/>
      <c r="C29" s="2914">
        <f t="shared" si="13"/>
        <v>1</v>
      </c>
      <c r="D29" s="3182"/>
      <c r="E29" s="2914">
        <f t="shared" si="14"/>
        <v>1</v>
      </c>
      <c r="F29" s="3182"/>
      <c r="G29" s="2914">
        <f t="shared" si="15"/>
        <v>1</v>
      </c>
      <c r="H29" s="3182"/>
      <c r="I29" s="2914">
        <f t="shared" si="16"/>
        <v>1</v>
      </c>
      <c r="J29" s="3182"/>
      <c r="K29" s="2914">
        <f t="shared" si="17"/>
        <v>1</v>
      </c>
      <c r="L29" s="3182"/>
      <c r="M29" s="2914">
        <f t="shared" si="18"/>
        <v>1</v>
      </c>
      <c r="N29" s="3182"/>
      <c r="O29" s="2914">
        <f t="shared" si="19"/>
        <v>1</v>
      </c>
      <c r="P29" s="3182"/>
      <c r="Q29" s="2914">
        <f t="shared" si="20"/>
        <v>1</v>
      </c>
      <c r="R29" s="2665">
        <f t="shared" si="21"/>
        <v>0</v>
      </c>
      <c r="S29" s="2790">
        <f t="shared" si="11"/>
        <v>0</v>
      </c>
    </row>
    <row r="30" spans="1:45">
      <c r="A30" s="2916"/>
      <c r="B30" s="3180"/>
      <c r="C30" s="2914">
        <f t="shared" si="13"/>
        <v>1</v>
      </c>
      <c r="D30" s="3182"/>
      <c r="E30" s="2914">
        <f t="shared" si="14"/>
        <v>1</v>
      </c>
      <c r="F30" s="3182"/>
      <c r="G30" s="2914">
        <f t="shared" si="15"/>
        <v>1</v>
      </c>
      <c r="H30" s="3182"/>
      <c r="I30" s="2914">
        <f t="shared" si="16"/>
        <v>1</v>
      </c>
      <c r="J30" s="3182"/>
      <c r="K30" s="2914">
        <f t="shared" si="17"/>
        <v>1</v>
      </c>
      <c r="L30" s="3182"/>
      <c r="M30" s="2914">
        <f t="shared" si="18"/>
        <v>1</v>
      </c>
      <c r="N30" s="3182"/>
      <c r="O30" s="2914">
        <f t="shared" si="19"/>
        <v>1</v>
      </c>
      <c r="P30" s="3182"/>
      <c r="Q30" s="2914">
        <f t="shared" si="20"/>
        <v>1</v>
      </c>
      <c r="R30" s="2665">
        <f t="shared" si="21"/>
        <v>0</v>
      </c>
      <c r="S30" s="2790">
        <f t="shared" si="11"/>
        <v>0</v>
      </c>
    </row>
    <row r="31" spans="1:45">
      <c r="A31" s="2916"/>
      <c r="B31" s="3180"/>
      <c r="C31" s="2914">
        <f t="shared" si="13"/>
        <v>1</v>
      </c>
      <c r="D31" s="3182"/>
      <c r="E31" s="2914">
        <f t="shared" si="14"/>
        <v>1</v>
      </c>
      <c r="F31" s="3182"/>
      <c r="G31" s="2914">
        <f t="shared" si="15"/>
        <v>1</v>
      </c>
      <c r="H31" s="3182"/>
      <c r="I31" s="2914">
        <f t="shared" si="16"/>
        <v>1</v>
      </c>
      <c r="J31" s="3182"/>
      <c r="K31" s="2914">
        <f t="shared" si="17"/>
        <v>1</v>
      </c>
      <c r="L31" s="3182"/>
      <c r="M31" s="2914">
        <f t="shared" si="18"/>
        <v>1</v>
      </c>
      <c r="N31" s="3182"/>
      <c r="O31" s="2914">
        <f t="shared" si="19"/>
        <v>1</v>
      </c>
      <c r="P31" s="3182"/>
      <c r="Q31" s="2914">
        <f t="shared" si="20"/>
        <v>1</v>
      </c>
      <c r="R31" s="2665">
        <f t="shared" si="21"/>
        <v>0</v>
      </c>
      <c r="S31" s="2790">
        <f t="shared" si="11"/>
        <v>0</v>
      </c>
    </row>
    <row r="32" spans="1:45">
      <c r="A32" s="2916"/>
      <c r="B32" s="3180"/>
      <c r="C32" s="2914">
        <f t="shared" si="13"/>
        <v>1</v>
      </c>
      <c r="D32" s="3182"/>
      <c r="E32" s="2914">
        <f t="shared" si="14"/>
        <v>1</v>
      </c>
      <c r="F32" s="3182"/>
      <c r="G32" s="2914">
        <f t="shared" si="15"/>
        <v>1</v>
      </c>
      <c r="H32" s="3182"/>
      <c r="I32" s="2914">
        <f t="shared" si="16"/>
        <v>1</v>
      </c>
      <c r="J32" s="3182"/>
      <c r="K32" s="2914">
        <f t="shared" si="17"/>
        <v>1</v>
      </c>
      <c r="L32" s="3182"/>
      <c r="M32" s="2914">
        <f t="shared" si="18"/>
        <v>1</v>
      </c>
      <c r="N32" s="3182"/>
      <c r="O32" s="2914">
        <f t="shared" si="19"/>
        <v>1</v>
      </c>
      <c r="P32" s="3182"/>
      <c r="Q32" s="2914">
        <f t="shared" si="20"/>
        <v>1</v>
      </c>
      <c r="R32" s="2665">
        <f t="shared" si="21"/>
        <v>0</v>
      </c>
      <c r="S32" s="2790">
        <f t="shared" si="11"/>
        <v>0</v>
      </c>
    </row>
    <row r="33" spans="1:19">
      <c r="A33" s="2916"/>
      <c r="B33" s="3180"/>
      <c r="C33" s="2914">
        <f t="shared" si="13"/>
        <v>1</v>
      </c>
      <c r="D33" s="3182"/>
      <c r="E33" s="2914">
        <f t="shared" si="14"/>
        <v>1</v>
      </c>
      <c r="F33" s="3182"/>
      <c r="G33" s="2914">
        <f t="shared" si="15"/>
        <v>1</v>
      </c>
      <c r="H33" s="3182"/>
      <c r="I33" s="2914">
        <f t="shared" si="16"/>
        <v>1</v>
      </c>
      <c r="J33" s="3182"/>
      <c r="K33" s="2914">
        <f t="shared" si="17"/>
        <v>1</v>
      </c>
      <c r="L33" s="3182"/>
      <c r="M33" s="2914">
        <f t="shared" si="18"/>
        <v>1</v>
      </c>
      <c r="N33" s="3182"/>
      <c r="O33" s="2914">
        <f t="shared" si="19"/>
        <v>1</v>
      </c>
      <c r="P33" s="3182"/>
      <c r="Q33" s="2914">
        <f t="shared" si="20"/>
        <v>1</v>
      </c>
      <c r="R33" s="2665">
        <f t="shared" si="21"/>
        <v>0</v>
      </c>
      <c r="S33" s="2790">
        <f t="shared" si="11"/>
        <v>0</v>
      </c>
    </row>
    <row r="34" spans="1:19">
      <c r="A34" s="2916"/>
      <c r="B34" s="3180"/>
      <c r="C34" s="2914">
        <f t="shared" si="13"/>
        <v>1</v>
      </c>
      <c r="D34" s="3182"/>
      <c r="E34" s="2914">
        <f t="shared" si="14"/>
        <v>1</v>
      </c>
      <c r="F34" s="3182"/>
      <c r="G34" s="2914">
        <f t="shared" si="15"/>
        <v>1</v>
      </c>
      <c r="H34" s="3182"/>
      <c r="I34" s="2914">
        <f t="shared" si="16"/>
        <v>1</v>
      </c>
      <c r="J34" s="3182"/>
      <c r="K34" s="2914">
        <f t="shared" si="17"/>
        <v>1</v>
      </c>
      <c r="L34" s="3182"/>
      <c r="M34" s="2914">
        <f t="shared" si="18"/>
        <v>1</v>
      </c>
      <c r="N34" s="3182"/>
      <c r="O34" s="2914">
        <f t="shared" si="19"/>
        <v>1</v>
      </c>
      <c r="P34" s="3182"/>
      <c r="Q34" s="2914">
        <f t="shared" si="20"/>
        <v>1</v>
      </c>
      <c r="R34" s="2665">
        <f t="shared" si="21"/>
        <v>0</v>
      </c>
      <c r="S34" s="2790">
        <f t="shared" si="11"/>
        <v>0</v>
      </c>
    </row>
    <row r="35" spans="1:19">
      <c r="A35" s="2916"/>
      <c r="B35" s="3180"/>
      <c r="C35" s="2914">
        <f t="shared" si="13"/>
        <v>1</v>
      </c>
      <c r="D35" s="3182"/>
      <c r="E35" s="2914">
        <f t="shared" si="14"/>
        <v>1</v>
      </c>
      <c r="F35" s="3182"/>
      <c r="G35" s="2914">
        <f t="shared" si="15"/>
        <v>1</v>
      </c>
      <c r="H35" s="3182"/>
      <c r="I35" s="2914">
        <f t="shared" si="16"/>
        <v>1</v>
      </c>
      <c r="J35" s="3182"/>
      <c r="K35" s="2914">
        <f t="shared" si="17"/>
        <v>1</v>
      </c>
      <c r="L35" s="3182"/>
      <c r="M35" s="2914">
        <f t="shared" si="18"/>
        <v>1</v>
      </c>
      <c r="N35" s="3182"/>
      <c r="O35" s="2914">
        <f t="shared" si="19"/>
        <v>1</v>
      </c>
      <c r="P35" s="3182"/>
      <c r="Q35" s="2914">
        <f t="shared" si="20"/>
        <v>1</v>
      </c>
      <c r="R35" s="2665">
        <f t="shared" si="21"/>
        <v>0</v>
      </c>
      <c r="S35" s="2790">
        <f t="shared" si="11"/>
        <v>0</v>
      </c>
    </row>
    <row r="36" spans="1:19">
      <c r="A36" s="2916"/>
      <c r="B36" s="3180"/>
      <c r="C36" s="2914">
        <f t="shared" si="13"/>
        <v>1</v>
      </c>
      <c r="D36" s="3182"/>
      <c r="E36" s="2914">
        <f t="shared" si="14"/>
        <v>1</v>
      </c>
      <c r="F36" s="3182"/>
      <c r="G36" s="2914">
        <f t="shared" si="15"/>
        <v>1</v>
      </c>
      <c r="H36" s="3182"/>
      <c r="I36" s="2914">
        <f t="shared" si="16"/>
        <v>1</v>
      </c>
      <c r="J36" s="3182"/>
      <c r="K36" s="2914">
        <f t="shared" si="17"/>
        <v>1</v>
      </c>
      <c r="L36" s="3182"/>
      <c r="M36" s="2914">
        <f t="shared" si="18"/>
        <v>1</v>
      </c>
      <c r="N36" s="3182"/>
      <c r="O36" s="2914">
        <f t="shared" si="19"/>
        <v>1</v>
      </c>
      <c r="P36" s="3182"/>
      <c r="Q36" s="2914">
        <f t="shared" si="20"/>
        <v>1</v>
      </c>
      <c r="R36" s="2665">
        <f t="shared" si="21"/>
        <v>0</v>
      </c>
      <c r="S36" s="2790">
        <f t="shared" si="11"/>
        <v>0</v>
      </c>
    </row>
    <row r="37" spans="1:19">
      <c r="A37" s="2916"/>
      <c r="B37" s="3180"/>
      <c r="C37" s="2914">
        <f t="shared" si="13"/>
        <v>1</v>
      </c>
      <c r="D37" s="3182"/>
      <c r="E37" s="2914">
        <f t="shared" si="14"/>
        <v>1</v>
      </c>
      <c r="F37" s="3182"/>
      <c r="G37" s="2914">
        <f t="shared" si="15"/>
        <v>1</v>
      </c>
      <c r="H37" s="3182"/>
      <c r="I37" s="2914">
        <f t="shared" si="16"/>
        <v>1</v>
      </c>
      <c r="J37" s="3182"/>
      <c r="K37" s="2914">
        <f t="shared" si="17"/>
        <v>1</v>
      </c>
      <c r="L37" s="3182"/>
      <c r="M37" s="2914">
        <f t="shared" si="18"/>
        <v>1</v>
      </c>
      <c r="N37" s="3182"/>
      <c r="O37" s="2914">
        <f t="shared" si="19"/>
        <v>1</v>
      </c>
      <c r="P37" s="3182"/>
      <c r="Q37" s="2914">
        <f t="shared" si="20"/>
        <v>1</v>
      </c>
      <c r="R37" s="2665">
        <f t="shared" si="21"/>
        <v>0</v>
      </c>
      <c r="S37" s="2790">
        <f t="shared" si="11"/>
        <v>0</v>
      </c>
    </row>
    <row r="38" spans="1:19">
      <c r="A38" s="2916"/>
      <c r="B38" s="3180"/>
      <c r="C38" s="2914">
        <f t="shared" si="13"/>
        <v>1</v>
      </c>
      <c r="D38" s="3182"/>
      <c r="E38" s="2914">
        <f t="shared" si="14"/>
        <v>1</v>
      </c>
      <c r="F38" s="3182"/>
      <c r="G38" s="2914">
        <f t="shared" si="15"/>
        <v>1</v>
      </c>
      <c r="H38" s="3182"/>
      <c r="I38" s="2914">
        <f t="shared" si="16"/>
        <v>1</v>
      </c>
      <c r="J38" s="3182"/>
      <c r="K38" s="2914">
        <f t="shared" si="17"/>
        <v>1</v>
      </c>
      <c r="L38" s="3182"/>
      <c r="M38" s="2914">
        <f t="shared" si="18"/>
        <v>1</v>
      </c>
      <c r="N38" s="3182"/>
      <c r="O38" s="2914">
        <f t="shared" si="19"/>
        <v>1</v>
      </c>
      <c r="P38" s="3182"/>
      <c r="Q38" s="2914">
        <f t="shared" si="20"/>
        <v>1</v>
      </c>
      <c r="R38" s="2665">
        <f t="shared" si="21"/>
        <v>0</v>
      </c>
      <c r="S38" s="2790">
        <f t="shared" si="11"/>
        <v>0</v>
      </c>
    </row>
    <row r="39" spans="1:19">
      <c r="A39" s="2916"/>
      <c r="B39" s="3180"/>
      <c r="C39" s="2914">
        <f t="shared" si="13"/>
        <v>1</v>
      </c>
      <c r="D39" s="3182"/>
      <c r="E39" s="2914">
        <f t="shared" si="14"/>
        <v>1</v>
      </c>
      <c r="F39" s="3182"/>
      <c r="G39" s="2914">
        <f t="shared" si="15"/>
        <v>1</v>
      </c>
      <c r="H39" s="3182"/>
      <c r="I39" s="2914">
        <f t="shared" si="16"/>
        <v>1</v>
      </c>
      <c r="J39" s="3182"/>
      <c r="K39" s="2914">
        <f t="shared" si="17"/>
        <v>1</v>
      </c>
      <c r="L39" s="3182"/>
      <c r="M39" s="2914">
        <f t="shared" si="18"/>
        <v>1</v>
      </c>
      <c r="N39" s="3182"/>
      <c r="O39" s="2914">
        <f t="shared" si="19"/>
        <v>1</v>
      </c>
      <c r="P39" s="3182"/>
      <c r="Q39" s="2914">
        <f t="shared" si="20"/>
        <v>1</v>
      </c>
      <c r="R39" s="2665">
        <f t="shared" si="21"/>
        <v>0</v>
      </c>
      <c r="S39" s="2790">
        <f t="shared" si="11"/>
        <v>0</v>
      </c>
    </row>
    <row r="40" spans="1:19">
      <c r="A40" s="2916"/>
      <c r="B40" s="3180"/>
      <c r="C40" s="2914">
        <f t="shared" si="13"/>
        <v>1</v>
      </c>
      <c r="D40" s="3182"/>
      <c r="E40" s="2914">
        <f t="shared" si="14"/>
        <v>1</v>
      </c>
      <c r="F40" s="3182"/>
      <c r="G40" s="2914">
        <f t="shared" si="15"/>
        <v>1</v>
      </c>
      <c r="H40" s="3182"/>
      <c r="I40" s="2914">
        <f t="shared" si="16"/>
        <v>1</v>
      </c>
      <c r="J40" s="3182"/>
      <c r="K40" s="2914">
        <f t="shared" si="17"/>
        <v>1</v>
      </c>
      <c r="L40" s="3182"/>
      <c r="M40" s="2914">
        <f t="shared" si="18"/>
        <v>1</v>
      </c>
      <c r="N40" s="3182"/>
      <c r="O40" s="2914">
        <f t="shared" si="19"/>
        <v>1</v>
      </c>
      <c r="P40" s="3182"/>
      <c r="Q40" s="2914">
        <f t="shared" si="20"/>
        <v>1</v>
      </c>
      <c r="R40" s="2665">
        <f t="shared" si="21"/>
        <v>0</v>
      </c>
      <c r="S40" s="2790">
        <f t="shared" si="11"/>
        <v>0</v>
      </c>
    </row>
    <row r="41" spans="1:19">
      <c r="A41" s="2916"/>
      <c r="B41" s="3180"/>
      <c r="C41" s="2914">
        <f t="shared" si="13"/>
        <v>1</v>
      </c>
      <c r="D41" s="3182"/>
      <c r="E41" s="2914">
        <f t="shared" si="14"/>
        <v>1</v>
      </c>
      <c r="F41" s="3182"/>
      <c r="G41" s="2914">
        <f t="shared" si="15"/>
        <v>1</v>
      </c>
      <c r="H41" s="3182"/>
      <c r="I41" s="2914">
        <f t="shared" si="16"/>
        <v>1</v>
      </c>
      <c r="J41" s="3182"/>
      <c r="K41" s="2914">
        <f t="shared" si="17"/>
        <v>1</v>
      </c>
      <c r="L41" s="3182"/>
      <c r="M41" s="2914">
        <f t="shared" si="18"/>
        <v>1</v>
      </c>
      <c r="N41" s="3182"/>
      <c r="O41" s="2914">
        <f t="shared" si="19"/>
        <v>1</v>
      </c>
      <c r="P41" s="3182"/>
      <c r="Q41" s="2914">
        <f t="shared" si="20"/>
        <v>1</v>
      </c>
      <c r="R41" s="2665">
        <f t="shared" si="21"/>
        <v>0</v>
      </c>
      <c r="S41" s="2790">
        <f t="shared" si="11"/>
        <v>0</v>
      </c>
    </row>
    <row r="42" spans="1:19">
      <c r="A42" s="2916"/>
      <c r="B42" s="3180"/>
      <c r="C42" s="2914">
        <f t="shared" si="13"/>
        <v>1</v>
      </c>
      <c r="D42" s="3182"/>
      <c r="E42" s="2914">
        <f t="shared" si="14"/>
        <v>1</v>
      </c>
      <c r="F42" s="3182"/>
      <c r="G42" s="2914">
        <f t="shared" si="15"/>
        <v>1</v>
      </c>
      <c r="H42" s="3182"/>
      <c r="I42" s="2914">
        <f t="shared" si="16"/>
        <v>1</v>
      </c>
      <c r="J42" s="3182"/>
      <c r="K42" s="2914">
        <f t="shared" si="17"/>
        <v>1</v>
      </c>
      <c r="L42" s="3182"/>
      <c r="M42" s="2914">
        <f t="shared" si="18"/>
        <v>1</v>
      </c>
      <c r="N42" s="3182"/>
      <c r="O42" s="2914">
        <f t="shared" si="19"/>
        <v>1</v>
      </c>
      <c r="P42" s="3182"/>
      <c r="Q42" s="2914">
        <f t="shared" si="20"/>
        <v>1</v>
      </c>
      <c r="R42" s="2665">
        <f t="shared" si="21"/>
        <v>0</v>
      </c>
      <c r="S42" s="2790">
        <f t="shared" si="11"/>
        <v>0</v>
      </c>
    </row>
    <row r="43" spans="1:19">
      <c r="A43" s="2916"/>
      <c r="B43" s="3180"/>
      <c r="C43" s="2914">
        <f t="shared" si="13"/>
        <v>1</v>
      </c>
      <c r="D43" s="3182"/>
      <c r="E43" s="2914">
        <f t="shared" si="14"/>
        <v>1</v>
      </c>
      <c r="F43" s="3182"/>
      <c r="G43" s="2914">
        <f t="shared" si="15"/>
        <v>1</v>
      </c>
      <c r="H43" s="3182"/>
      <c r="I43" s="2914">
        <f t="shared" si="16"/>
        <v>1</v>
      </c>
      <c r="J43" s="3182"/>
      <c r="K43" s="2914">
        <f t="shared" si="17"/>
        <v>1</v>
      </c>
      <c r="L43" s="3182"/>
      <c r="M43" s="2914">
        <f t="shared" si="18"/>
        <v>1</v>
      </c>
      <c r="N43" s="3182"/>
      <c r="O43" s="2914">
        <f t="shared" si="19"/>
        <v>1</v>
      </c>
      <c r="P43" s="3182"/>
      <c r="Q43" s="2914">
        <f t="shared" si="20"/>
        <v>1</v>
      </c>
      <c r="R43" s="2665">
        <f t="shared" si="21"/>
        <v>0</v>
      </c>
      <c r="S43" s="2790">
        <f t="shared" si="11"/>
        <v>0</v>
      </c>
    </row>
    <row r="44" spans="1:19">
      <c r="A44" s="2916"/>
      <c r="B44" s="3180"/>
      <c r="C44" s="2914">
        <f t="shared" si="13"/>
        <v>1</v>
      </c>
      <c r="D44" s="3182"/>
      <c r="E44" s="2914">
        <f t="shared" si="14"/>
        <v>1</v>
      </c>
      <c r="F44" s="3182"/>
      <c r="G44" s="2914">
        <f t="shared" si="15"/>
        <v>1</v>
      </c>
      <c r="H44" s="3182"/>
      <c r="I44" s="2914">
        <f t="shared" si="16"/>
        <v>1</v>
      </c>
      <c r="J44" s="3182"/>
      <c r="K44" s="2914">
        <f t="shared" si="17"/>
        <v>1</v>
      </c>
      <c r="L44" s="3182"/>
      <c r="M44" s="2914">
        <f t="shared" si="18"/>
        <v>1</v>
      </c>
      <c r="N44" s="3182"/>
      <c r="O44" s="2914">
        <f t="shared" si="19"/>
        <v>1</v>
      </c>
      <c r="P44" s="3182"/>
      <c r="Q44" s="2914">
        <f t="shared" si="20"/>
        <v>1</v>
      </c>
      <c r="R44" s="2665">
        <f t="shared" si="21"/>
        <v>0</v>
      </c>
      <c r="S44" s="2790">
        <f t="shared" si="11"/>
        <v>0</v>
      </c>
    </row>
    <row r="45" spans="1:19">
      <c r="A45" s="2916"/>
      <c r="B45" s="3180"/>
      <c r="C45" s="2914">
        <f t="shared" si="13"/>
        <v>1</v>
      </c>
      <c r="D45" s="3182"/>
      <c r="E45" s="2914">
        <f t="shared" si="14"/>
        <v>1</v>
      </c>
      <c r="F45" s="3182"/>
      <c r="G45" s="2914">
        <f t="shared" si="15"/>
        <v>1</v>
      </c>
      <c r="H45" s="3182"/>
      <c r="I45" s="2914">
        <f t="shared" si="16"/>
        <v>1</v>
      </c>
      <c r="J45" s="3182"/>
      <c r="K45" s="2914">
        <f t="shared" si="17"/>
        <v>1</v>
      </c>
      <c r="L45" s="3182"/>
      <c r="M45" s="2914">
        <f t="shared" si="18"/>
        <v>1</v>
      </c>
      <c r="N45" s="3182"/>
      <c r="O45" s="2914">
        <f t="shared" si="19"/>
        <v>1</v>
      </c>
      <c r="P45" s="3182"/>
      <c r="Q45" s="2914">
        <f t="shared" si="20"/>
        <v>1</v>
      </c>
      <c r="R45" s="2665">
        <f t="shared" si="21"/>
        <v>0</v>
      </c>
      <c r="S45" s="2790">
        <f t="shared" si="11"/>
        <v>0</v>
      </c>
    </row>
    <row r="46" spans="1:19">
      <c r="A46" s="2916"/>
      <c r="B46" s="3180"/>
      <c r="C46" s="2914">
        <f t="shared" si="13"/>
        <v>1</v>
      </c>
      <c r="D46" s="3182"/>
      <c r="E46" s="2914">
        <f t="shared" si="14"/>
        <v>1</v>
      </c>
      <c r="F46" s="3182"/>
      <c r="G46" s="2914">
        <f t="shared" si="15"/>
        <v>1</v>
      </c>
      <c r="H46" s="3182"/>
      <c r="I46" s="2914">
        <f t="shared" si="16"/>
        <v>1</v>
      </c>
      <c r="J46" s="3182"/>
      <c r="K46" s="2914">
        <f t="shared" si="17"/>
        <v>1</v>
      </c>
      <c r="L46" s="3182"/>
      <c r="M46" s="2914">
        <f t="shared" si="18"/>
        <v>1</v>
      </c>
      <c r="N46" s="3182"/>
      <c r="O46" s="2914">
        <f t="shared" si="19"/>
        <v>1</v>
      </c>
      <c r="P46" s="3182"/>
      <c r="Q46" s="2914">
        <f t="shared" si="20"/>
        <v>1</v>
      </c>
      <c r="R46" s="2665">
        <f t="shared" si="21"/>
        <v>0</v>
      </c>
      <c r="S46" s="2790">
        <f t="shared" si="11"/>
        <v>0</v>
      </c>
    </row>
    <row r="47" spans="1:19">
      <c r="A47" s="2916"/>
      <c r="B47" s="3180"/>
      <c r="C47" s="2914">
        <f t="shared" si="13"/>
        <v>1</v>
      </c>
      <c r="D47" s="3182"/>
      <c r="E47" s="2914">
        <f t="shared" si="14"/>
        <v>1</v>
      </c>
      <c r="F47" s="3182"/>
      <c r="G47" s="2914">
        <f t="shared" si="15"/>
        <v>1</v>
      </c>
      <c r="H47" s="3182"/>
      <c r="I47" s="2914">
        <f t="shared" si="16"/>
        <v>1</v>
      </c>
      <c r="J47" s="3182"/>
      <c r="K47" s="2914">
        <f t="shared" si="17"/>
        <v>1</v>
      </c>
      <c r="L47" s="3182"/>
      <c r="M47" s="2914">
        <f t="shared" si="18"/>
        <v>1</v>
      </c>
      <c r="N47" s="3182"/>
      <c r="O47" s="2914">
        <f t="shared" si="19"/>
        <v>1</v>
      </c>
      <c r="P47" s="3182"/>
      <c r="Q47" s="2914">
        <f t="shared" si="20"/>
        <v>1</v>
      </c>
      <c r="R47" s="2665">
        <f t="shared" si="21"/>
        <v>0</v>
      </c>
      <c r="S47" s="2790">
        <f t="shared" si="11"/>
        <v>0</v>
      </c>
    </row>
    <row r="48" spans="1:19">
      <c r="A48" s="2916"/>
      <c r="B48" s="3180"/>
      <c r="C48" s="2914">
        <f t="shared" si="13"/>
        <v>1</v>
      </c>
      <c r="D48" s="3182"/>
      <c r="E48" s="2914">
        <f t="shared" si="14"/>
        <v>1</v>
      </c>
      <c r="F48" s="3182"/>
      <c r="G48" s="2914">
        <f t="shared" si="15"/>
        <v>1</v>
      </c>
      <c r="H48" s="3182"/>
      <c r="I48" s="2914">
        <f t="shared" si="16"/>
        <v>1</v>
      </c>
      <c r="J48" s="3182"/>
      <c r="K48" s="2914">
        <f t="shared" si="17"/>
        <v>1</v>
      </c>
      <c r="L48" s="3182"/>
      <c r="M48" s="2914">
        <f t="shared" si="18"/>
        <v>1</v>
      </c>
      <c r="N48" s="3182"/>
      <c r="O48" s="2914">
        <f t="shared" si="19"/>
        <v>1</v>
      </c>
      <c r="P48" s="3182"/>
      <c r="Q48" s="2914">
        <f t="shared" si="20"/>
        <v>1</v>
      </c>
      <c r="R48" s="2665">
        <f t="shared" si="21"/>
        <v>0</v>
      </c>
      <c r="S48" s="2790">
        <f t="shared" si="11"/>
        <v>0</v>
      </c>
    </row>
    <row r="49" spans="1:19">
      <c r="A49" s="2916"/>
      <c r="B49" s="3180"/>
      <c r="C49" s="2914">
        <f t="shared" si="13"/>
        <v>1</v>
      </c>
      <c r="D49" s="3182"/>
      <c r="E49" s="2914">
        <f t="shared" si="14"/>
        <v>1</v>
      </c>
      <c r="F49" s="3182"/>
      <c r="G49" s="2914">
        <f t="shared" si="15"/>
        <v>1</v>
      </c>
      <c r="H49" s="3182"/>
      <c r="I49" s="2914">
        <f t="shared" si="16"/>
        <v>1</v>
      </c>
      <c r="J49" s="3182"/>
      <c r="K49" s="2914">
        <f t="shared" si="17"/>
        <v>1</v>
      </c>
      <c r="L49" s="3182"/>
      <c r="M49" s="2914">
        <f t="shared" si="18"/>
        <v>1</v>
      </c>
      <c r="N49" s="3182"/>
      <c r="O49" s="2914">
        <f t="shared" si="19"/>
        <v>1</v>
      </c>
      <c r="P49" s="3182"/>
      <c r="Q49" s="2914">
        <f t="shared" si="20"/>
        <v>1</v>
      </c>
      <c r="R49" s="2665">
        <f t="shared" si="21"/>
        <v>0</v>
      </c>
      <c r="S49" s="2790">
        <f t="shared" si="11"/>
        <v>0</v>
      </c>
    </row>
    <row r="50" spans="1:19">
      <c r="A50" s="2916"/>
      <c r="B50" s="3180"/>
      <c r="C50" s="2914">
        <f t="shared" si="13"/>
        <v>1</v>
      </c>
      <c r="D50" s="3182"/>
      <c r="E50" s="2914">
        <f t="shared" si="14"/>
        <v>1</v>
      </c>
      <c r="F50" s="3182"/>
      <c r="G50" s="2914">
        <f t="shared" si="15"/>
        <v>1</v>
      </c>
      <c r="H50" s="3182"/>
      <c r="I50" s="2914">
        <f t="shared" si="16"/>
        <v>1</v>
      </c>
      <c r="J50" s="3182"/>
      <c r="K50" s="2914">
        <f t="shared" si="17"/>
        <v>1</v>
      </c>
      <c r="L50" s="3182"/>
      <c r="M50" s="2914">
        <f t="shared" si="18"/>
        <v>1</v>
      </c>
      <c r="N50" s="3182"/>
      <c r="O50" s="2914">
        <f t="shared" si="19"/>
        <v>1</v>
      </c>
      <c r="P50" s="3182"/>
      <c r="Q50" s="2914">
        <f t="shared" si="20"/>
        <v>1</v>
      </c>
      <c r="R50" s="2665">
        <f t="shared" si="21"/>
        <v>0</v>
      </c>
      <c r="S50" s="2790">
        <f t="shared" si="11"/>
        <v>0</v>
      </c>
    </row>
    <row r="51" spans="1:19">
      <c r="A51" s="2916"/>
      <c r="B51" s="3180"/>
      <c r="C51" s="2914">
        <f t="shared" si="13"/>
        <v>1</v>
      </c>
      <c r="D51" s="3182"/>
      <c r="E51" s="2914">
        <f t="shared" si="14"/>
        <v>1</v>
      </c>
      <c r="F51" s="3182"/>
      <c r="G51" s="2914">
        <f t="shared" si="15"/>
        <v>1</v>
      </c>
      <c r="H51" s="3182"/>
      <c r="I51" s="2914">
        <f t="shared" si="16"/>
        <v>1</v>
      </c>
      <c r="J51" s="3182"/>
      <c r="K51" s="2914">
        <f t="shared" si="17"/>
        <v>1</v>
      </c>
      <c r="L51" s="3182"/>
      <c r="M51" s="2914">
        <f t="shared" si="18"/>
        <v>1</v>
      </c>
      <c r="N51" s="3182"/>
      <c r="O51" s="2914">
        <f t="shared" si="19"/>
        <v>1</v>
      </c>
      <c r="P51" s="3182"/>
      <c r="Q51" s="2914">
        <f t="shared" si="20"/>
        <v>1</v>
      </c>
      <c r="R51" s="2665">
        <f t="shared" si="21"/>
        <v>0</v>
      </c>
      <c r="S51" s="2790">
        <f t="shared" si="11"/>
        <v>0</v>
      </c>
    </row>
    <row r="52" spans="1:19">
      <c r="A52" s="2916"/>
      <c r="B52" s="3180"/>
      <c r="C52" s="2914">
        <f t="shared" si="13"/>
        <v>1</v>
      </c>
      <c r="D52" s="3182"/>
      <c r="E52" s="2914">
        <f t="shared" si="14"/>
        <v>1</v>
      </c>
      <c r="F52" s="3182"/>
      <c r="G52" s="2914">
        <f t="shared" si="15"/>
        <v>1</v>
      </c>
      <c r="H52" s="3182"/>
      <c r="I52" s="2914">
        <f t="shared" si="16"/>
        <v>1</v>
      </c>
      <c r="J52" s="3182"/>
      <c r="K52" s="2914">
        <f t="shared" si="17"/>
        <v>1</v>
      </c>
      <c r="L52" s="3182"/>
      <c r="M52" s="2914">
        <f t="shared" si="18"/>
        <v>1</v>
      </c>
      <c r="N52" s="3182"/>
      <c r="O52" s="2914">
        <f t="shared" si="19"/>
        <v>1</v>
      </c>
      <c r="P52" s="3182"/>
      <c r="Q52" s="2914">
        <f t="shared" si="20"/>
        <v>1</v>
      </c>
      <c r="R52" s="2665">
        <f t="shared" si="21"/>
        <v>0</v>
      </c>
      <c r="S52" s="2790">
        <f t="shared" si="11"/>
        <v>0</v>
      </c>
    </row>
    <row r="53" spans="1:19">
      <c r="A53" s="2916"/>
      <c r="B53" s="3180"/>
      <c r="C53" s="2914">
        <f t="shared" si="13"/>
        <v>1</v>
      </c>
      <c r="D53" s="3182"/>
      <c r="E53" s="2914">
        <f t="shared" si="14"/>
        <v>1</v>
      </c>
      <c r="F53" s="3182"/>
      <c r="G53" s="2914">
        <f t="shared" si="15"/>
        <v>1</v>
      </c>
      <c r="H53" s="3182"/>
      <c r="I53" s="2914">
        <f t="shared" si="16"/>
        <v>1</v>
      </c>
      <c r="J53" s="3182"/>
      <c r="K53" s="2914">
        <f t="shared" si="17"/>
        <v>1</v>
      </c>
      <c r="L53" s="3182"/>
      <c r="M53" s="2914">
        <f t="shared" si="18"/>
        <v>1</v>
      </c>
      <c r="N53" s="3182"/>
      <c r="O53" s="2914">
        <f t="shared" si="19"/>
        <v>1</v>
      </c>
      <c r="P53" s="3182"/>
      <c r="Q53" s="2914">
        <f t="shared" si="20"/>
        <v>1</v>
      </c>
      <c r="R53" s="2665">
        <f t="shared" si="21"/>
        <v>0</v>
      </c>
      <c r="S53" s="2790">
        <f t="shared" si="11"/>
        <v>0</v>
      </c>
    </row>
    <row r="54" spans="1:19">
      <c r="A54" s="2916"/>
      <c r="B54" s="3180"/>
      <c r="C54" s="2914">
        <f t="shared" si="13"/>
        <v>1</v>
      </c>
      <c r="D54" s="3182"/>
      <c r="E54" s="2914">
        <f t="shared" si="14"/>
        <v>1</v>
      </c>
      <c r="F54" s="3182"/>
      <c r="G54" s="2914">
        <f t="shared" si="15"/>
        <v>1</v>
      </c>
      <c r="H54" s="3182"/>
      <c r="I54" s="2914">
        <f t="shared" si="16"/>
        <v>1</v>
      </c>
      <c r="J54" s="3182"/>
      <c r="K54" s="2914">
        <f t="shared" si="17"/>
        <v>1</v>
      </c>
      <c r="L54" s="3182"/>
      <c r="M54" s="2914">
        <f t="shared" si="18"/>
        <v>1</v>
      </c>
      <c r="N54" s="3182"/>
      <c r="O54" s="2914">
        <f t="shared" si="19"/>
        <v>1</v>
      </c>
      <c r="P54" s="3182"/>
      <c r="Q54" s="2914">
        <f t="shared" si="20"/>
        <v>1</v>
      </c>
      <c r="R54" s="2665">
        <f t="shared" si="21"/>
        <v>0</v>
      </c>
      <c r="S54" s="2790">
        <f t="shared" si="11"/>
        <v>0</v>
      </c>
    </row>
    <row r="55" spans="1:19">
      <c r="A55" s="2916"/>
      <c r="B55" s="3180"/>
      <c r="C55" s="2914">
        <f t="shared" si="13"/>
        <v>1</v>
      </c>
      <c r="D55" s="3182"/>
      <c r="E55" s="2914">
        <f t="shared" si="14"/>
        <v>1</v>
      </c>
      <c r="F55" s="3182"/>
      <c r="G55" s="2914">
        <f t="shared" si="15"/>
        <v>1</v>
      </c>
      <c r="H55" s="3182"/>
      <c r="I55" s="2914">
        <f t="shared" si="16"/>
        <v>1</v>
      </c>
      <c r="J55" s="3182"/>
      <c r="K55" s="2914">
        <f t="shared" si="17"/>
        <v>1</v>
      </c>
      <c r="L55" s="3182"/>
      <c r="M55" s="2914">
        <f t="shared" si="18"/>
        <v>1</v>
      </c>
      <c r="N55" s="3182"/>
      <c r="O55" s="2914">
        <f t="shared" si="19"/>
        <v>1</v>
      </c>
      <c r="P55" s="3182"/>
      <c r="Q55" s="2914">
        <f t="shared" si="20"/>
        <v>1</v>
      </c>
      <c r="R55" s="2665">
        <f t="shared" si="21"/>
        <v>0</v>
      </c>
      <c r="S55" s="2790">
        <f t="shared" ref="S55:S77" si="22">ROUND(R55*B55/10000,0)</f>
        <v>0</v>
      </c>
    </row>
    <row r="56" spans="1:19">
      <c r="A56" s="2916"/>
      <c r="B56" s="3180"/>
      <c r="C56" s="2914">
        <f t="shared" si="13"/>
        <v>1</v>
      </c>
      <c r="D56" s="3182"/>
      <c r="E56" s="2914">
        <f t="shared" si="14"/>
        <v>1</v>
      </c>
      <c r="F56" s="3182"/>
      <c r="G56" s="2914">
        <f t="shared" si="15"/>
        <v>1</v>
      </c>
      <c r="H56" s="3182"/>
      <c r="I56" s="2914">
        <f t="shared" si="16"/>
        <v>1</v>
      </c>
      <c r="J56" s="3182"/>
      <c r="K56" s="2914">
        <f t="shared" si="17"/>
        <v>1</v>
      </c>
      <c r="L56" s="3182"/>
      <c r="M56" s="2914">
        <f t="shared" si="18"/>
        <v>1</v>
      </c>
      <c r="N56" s="3182"/>
      <c r="O56" s="2914">
        <f t="shared" si="19"/>
        <v>1</v>
      </c>
      <c r="P56" s="3182"/>
      <c r="Q56" s="2914">
        <f t="shared" si="20"/>
        <v>1</v>
      </c>
      <c r="R56" s="2665">
        <f t="shared" si="21"/>
        <v>0</v>
      </c>
      <c r="S56" s="2790">
        <f t="shared" si="22"/>
        <v>0</v>
      </c>
    </row>
    <row r="57" spans="1:19">
      <c r="A57" s="2916"/>
      <c r="B57" s="3180"/>
      <c r="C57" s="2914">
        <f t="shared" si="13"/>
        <v>1</v>
      </c>
      <c r="D57" s="3182"/>
      <c r="E57" s="2914">
        <f t="shared" si="14"/>
        <v>1</v>
      </c>
      <c r="F57" s="3182"/>
      <c r="G57" s="2914">
        <f t="shared" si="15"/>
        <v>1</v>
      </c>
      <c r="H57" s="3182"/>
      <c r="I57" s="2914">
        <f t="shared" si="16"/>
        <v>1</v>
      </c>
      <c r="J57" s="3182"/>
      <c r="K57" s="2914">
        <f t="shared" si="17"/>
        <v>1</v>
      </c>
      <c r="L57" s="3182"/>
      <c r="M57" s="2914">
        <f t="shared" si="18"/>
        <v>1</v>
      </c>
      <c r="N57" s="3182"/>
      <c r="O57" s="2914">
        <f t="shared" si="19"/>
        <v>1</v>
      </c>
      <c r="P57" s="3182"/>
      <c r="Q57" s="2914">
        <f t="shared" si="20"/>
        <v>1</v>
      </c>
      <c r="R57" s="2665">
        <f t="shared" si="21"/>
        <v>0</v>
      </c>
      <c r="S57" s="2790">
        <f t="shared" si="22"/>
        <v>0</v>
      </c>
    </row>
    <row r="58" spans="1:19">
      <c r="A58" s="2916"/>
      <c r="B58" s="3180"/>
      <c r="C58" s="2914">
        <f t="shared" si="13"/>
        <v>1</v>
      </c>
      <c r="D58" s="3182"/>
      <c r="E58" s="2914">
        <f t="shared" si="14"/>
        <v>1</v>
      </c>
      <c r="F58" s="3182"/>
      <c r="G58" s="2914">
        <f t="shared" si="15"/>
        <v>1</v>
      </c>
      <c r="H58" s="3182"/>
      <c r="I58" s="2914">
        <f t="shared" si="16"/>
        <v>1</v>
      </c>
      <c r="J58" s="3182"/>
      <c r="K58" s="2914">
        <f t="shared" si="17"/>
        <v>1</v>
      </c>
      <c r="L58" s="3182"/>
      <c r="M58" s="2914">
        <f t="shared" si="18"/>
        <v>1</v>
      </c>
      <c r="N58" s="3182"/>
      <c r="O58" s="2914">
        <f t="shared" si="19"/>
        <v>1</v>
      </c>
      <c r="P58" s="3182"/>
      <c r="Q58" s="2914">
        <f t="shared" si="20"/>
        <v>1</v>
      </c>
      <c r="R58" s="2665">
        <f t="shared" si="21"/>
        <v>0</v>
      </c>
      <c r="S58" s="2790">
        <f t="shared" si="22"/>
        <v>0</v>
      </c>
    </row>
    <row r="59" spans="1:19">
      <c r="A59" s="2916"/>
      <c r="B59" s="3180"/>
      <c r="C59" s="2914">
        <f t="shared" si="13"/>
        <v>1</v>
      </c>
      <c r="D59" s="3182"/>
      <c r="E59" s="2914">
        <f t="shared" si="14"/>
        <v>1</v>
      </c>
      <c r="F59" s="3182"/>
      <c r="G59" s="2914">
        <f t="shared" si="15"/>
        <v>1</v>
      </c>
      <c r="H59" s="3182"/>
      <c r="I59" s="2914">
        <f t="shared" si="16"/>
        <v>1</v>
      </c>
      <c r="J59" s="3182"/>
      <c r="K59" s="2914">
        <f t="shared" si="17"/>
        <v>1</v>
      </c>
      <c r="L59" s="3182"/>
      <c r="M59" s="2914">
        <f t="shared" si="18"/>
        <v>1</v>
      </c>
      <c r="N59" s="3182"/>
      <c r="O59" s="2914">
        <f t="shared" si="19"/>
        <v>1</v>
      </c>
      <c r="P59" s="3182"/>
      <c r="Q59" s="2914">
        <f t="shared" si="20"/>
        <v>1</v>
      </c>
      <c r="R59" s="2665">
        <f t="shared" si="21"/>
        <v>0</v>
      </c>
      <c r="S59" s="2790">
        <f t="shared" si="22"/>
        <v>0</v>
      </c>
    </row>
    <row r="60" spans="1:19">
      <c r="A60" s="2916"/>
      <c r="B60" s="3180"/>
      <c r="C60" s="2914">
        <f t="shared" si="13"/>
        <v>1</v>
      </c>
      <c r="D60" s="3182"/>
      <c r="E60" s="2914">
        <f t="shared" si="14"/>
        <v>1</v>
      </c>
      <c r="F60" s="3182"/>
      <c r="G60" s="2914">
        <f t="shared" si="15"/>
        <v>1</v>
      </c>
      <c r="H60" s="3182"/>
      <c r="I60" s="2914">
        <f t="shared" si="16"/>
        <v>1</v>
      </c>
      <c r="J60" s="3182"/>
      <c r="K60" s="2914">
        <f t="shared" si="17"/>
        <v>1</v>
      </c>
      <c r="L60" s="3182"/>
      <c r="M60" s="2914">
        <f t="shared" si="18"/>
        <v>1</v>
      </c>
      <c r="N60" s="3182"/>
      <c r="O60" s="2914">
        <f t="shared" si="19"/>
        <v>1</v>
      </c>
      <c r="P60" s="3182"/>
      <c r="Q60" s="2914">
        <f t="shared" si="20"/>
        <v>1</v>
      </c>
      <c r="R60" s="2665">
        <f t="shared" si="21"/>
        <v>0</v>
      </c>
      <c r="S60" s="2790">
        <f t="shared" si="22"/>
        <v>0</v>
      </c>
    </row>
    <row r="61" spans="1:19">
      <c r="A61" s="2916"/>
      <c r="B61" s="3180"/>
      <c r="C61" s="2914">
        <f t="shared" si="13"/>
        <v>1</v>
      </c>
      <c r="D61" s="3182"/>
      <c r="E61" s="2914">
        <f t="shared" si="14"/>
        <v>1</v>
      </c>
      <c r="F61" s="3182"/>
      <c r="G61" s="2914">
        <f t="shared" si="15"/>
        <v>1</v>
      </c>
      <c r="H61" s="3182"/>
      <c r="I61" s="2914">
        <f t="shared" si="16"/>
        <v>1</v>
      </c>
      <c r="J61" s="3182"/>
      <c r="K61" s="2914">
        <f t="shared" si="17"/>
        <v>1</v>
      </c>
      <c r="L61" s="3182"/>
      <c r="M61" s="2914">
        <f t="shared" si="18"/>
        <v>1</v>
      </c>
      <c r="N61" s="3182"/>
      <c r="O61" s="2914">
        <f t="shared" si="19"/>
        <v>1</v>
      </c>
      <c r="P61" s="3182"/>
      <c r="Q61" s="2914">
        <f t="shared" si="20"/>
        <v>1</v>
      </c>
      <c r="R61" s="2665">
        <f t="shared" si="21"/>
        <v>0</v>
      </c>
      <c r="S61" s="2790">
        <f t="shared" si="22"/>
        <v>0</v>
      </c>
    </row>
    <row r="62" spans="1:19">
      <c r="A62" s="2916"/>
      <c r="B62" s="3180"/>
      <c r="C62" s="2914">
        <f t="shared" si="13"/>
        <v>1</v>
      </c>
      <c r="D62" s="3182"/>
      <c r="E62" s="2914">
        <f t="shared" si="14"/>
        <v>1</v>
      </c>
      <c r="F62" s="3182"/>
      <c r="G62" s="2914">
        <f t="shared" si="15"/>
        <v>1</v>
      </c>
      <c r="H62" s="3182"/>
      <c r="I62" s="2914">
        <f t="shared" si="16"/>
        <v>1</v>
      </c>
      <c r="J62" s="3182"/>
      <c r="K62" s="2914">
        <f t="shared" si="17"/>
        <v>1</v>
      </c>
      <c r="L62" s="3182"/>
      <c r="M62" s="2914">
        <f t="shared" si="18"/>
        <v>1</v>
      </c>
      <c r="N62" s="3182"/>
      <c r="O62" s="2914">
        <f t="shared" si="19"/>
        <v>1</v>
      </c>
      <c r="P62" s="3182"/>
      <c r="Q62" s="2914">
        <f t="shared" si="20"/>
        <v>1</v>
      </c>
      <c r="R62" s="2665">
        <f t="shared" si="21"/>
        <v>0</v>
      </c>
      <c r="S62" s="2790">
        <f t="shared" si="22"/>
        <v>0</v>
      </c>
    </row>
    <row r="63" spans="1:19">
      <c r="A63" s="2916"/>
      <c r="B63" s="3180"/>
      <c r="C63" s="2914">
        <f t="shared" si="13"/>
        <v>1</v>
      </c>
      <c r="D63" s="3182"/>
      <c r="E63" s="2914">
        <f t="shared" si="14"/>
        <v>1</v>
      </c>
      <c r="F63" s="3182"/>
      <c r="G63" s="2914">
        <f t="shared" si="15"/>
        <v>1</v>
      </c>
      <c r="H63" s="3182"/>
      <c r="I63" s="2914">
        <f t="shared" si="16"/>
        <v>1</v>
      </c>
      <c r="J63" s="3182"/>
      <c r="K63" s="2914">
        <f t="shared" si="17"/>
        <v>1</v>
      </c>
      <c r="L63" s="3182"/>
      <c r="M63" s="2914">
        <f t="shared" si="18"/>
        <v>1</v>
      </c>
      <c r="N63" s="3182"/>
      <c r="O63" s="2914">
        <f t="shared" si="19"/>
        <v>1</v>
      </c>
      <c r="P63" s="3182"/>
      <c r="Q63" s="2914">
        <f t="shared" si="20"/>
        <v>1</v>
      </c>
      <c r="R63" s="2665">
        <f t="shared" si="21"/>
        <v>0</v>
      </c>
      <c r="S63" s="2790">
        <f t="shared" si="22"/>
        <v>0</v>
      </c>
    </row>
    <row r="64" spans="1:19">
      <c r="A64" s="2916"/>
      <c r="B64" s="3180"/>
      <c r="C64" s="2914">
        <f t="shared" si="13"/>
        <v>1</v>
      </c>
      <c r="D64" s="3182"/>
      <c r="E64" s="2914">
        <f t="shared" si="14"/>
        <v>1</v>
      </c>
      <c r="F64" s="3182"/>
      <c r="G64" s="2914">
        <f t="shared" si="15"/>
        <v>1</v>
      </c>
      <c r="H64" s="3182"/>
      <c r="I64" s="2914">
        <f t="shared" si="16"/>
        <v>1</v>
      </c>
      <c r="J64" s="3182"/>
      <c r="K64" s="2914">
        <f t="shared" si="17"/>
        <v>1</v>
      </c>
      <c r="L64" s="3182"/>
      <c r="M64" s="2914">
        <f t="shared" si="18"/>
        <v>1</v>
      </c>
      <c r="N64" s="3182"/>
      <c r="O64" s="2914">
        <f t="shared" si="19"/>
        <v>1</v>
      </c>
      <c r="P64" s="3182"/>
      <c r="Q64" s="2914">
        <f t="shared" si="20"/>
        <v>1</v>
      </c>
      <c r="R64" s="2665">
        <f t="shared" si="21"/>
        <v>0</v>
      </c>
      <c r="S64" s="2790">
        <f t="shared" si="22"/>
        <v>0</v>
      </c>
    </row>
    <row r="65" spans="1:19">
      <c r="A65" s="2916"/>
      <c r="B65" s="3180"/>
      <c r="C65" s="2914">
        <f t="shared" si="13"/>
        <v>1</v>
      </c>
      <c r="D65" s="3182"/>
      <c r="E65" s="2914">
        <f t="shared" si="14"/>
        <v>1</v>
      </c>
      <c r="F65" s="3182"/>
      <c r="G65" s="2914">
        <f t="shared" si="15"/>
        <v>1</v>
      </c>
      <c r="H65" s="3182"/>
      <c r="I65" s="2914">
        <f t="shared" si="16"/>
        <v>1</v>
      </c>
      <c r="J65" s="3182"/>
      <c r="K65" s="2914">
        <f t="shared" si="17"/>
        <v>1</v>
      </c>
      <c r="L65" s="3182"/>
      <c r="M65" s="2914">
        <f t="shared" si="18"/>
        <v>1</v>
      </c>
      <c r="N65" s="3182"/>
      <c r="O65" s="2914">
        <f t="shared" si="19"/>
        <v>1</v>
      </c>
      <c r="P65" s="3182"/>
      <c r="Q65" s="2914">
        <f t="shared" si="20"/>
        <v>1</v>
      </c>
      <c r="R65" s="2665">
        <f t="shared" si="21"/>
        <v>0</v>
      </c>
      <c r="S65" s="2790">
        <f t="shared" si="22"/>
        <v>0</v>
      </c>
    </row>
    <row r="66" spans="1:19">
      <c r="A66" s="2916"/>
      <c r="B66" s="3180"/>
      <c r="C66" s="2914">
        <f t="shared" si="13"/>
        <v>1</v>
      </c>
      <c r="D66" s="3182"/>
      <c r="E66" s="2914">
        <f t="shared" si="14"/>
        <v>1</v>
      </c>
      <c r="F66" s="3182"/>
      <c r="G66" s="2914">
        <f t="shared" si="15"/>
        <v>1</v>
      </c>
      <c r="H66" s="3182"/>
      <c r="I66" s="2914">
        <f t="shared" si="16"/>
        <v>1</v>
      </c>
      <c r="J66" s="3182"/>
      <c r="K66" s="2914">
        <f t="shared" si="17"/>
        <v>1</v>
      </c>
      <c r="L66" s="3182"/>
      <c r="M66" s="2914">
        <f t="shared" si="18"/>
        <v>1</v>
      </c>
      <c r="N66" s="3182"/>
      <c r="O66" s="2914">
        <f t="shared" si="19"/>
        <v>1</v>
      </c>
      <c r="P66" s="3182"/>
      <c r="Q66" s="2914">
        <f t="shared" si="20"/>
        <v>1</v>
      </c>
      <c r="R66" s="2665">
        <f t="shared" si="21"/>
        <v>0</v>
      </c>
      <c r="S66" s="2790">
        <f t="shared" si="22"/>
        <v>0</v>
      </c>
    </row>
    <row r="67" spans="1:19">
      <c r="A67" s="2916"/>
      <c r="B67" s="3180"/>
      <c r="C67" s="2914">
        <f t="shared" si="13"/>
        <v>1</v>
      </c>
      <c r="D67" s="3182"/>
      <c r="E67" s="2914">
        <f t="shared" si="14"/>
        <v>1</v>
      </c>
      <c r="F67" s="3182"/>
      <c r="G67" s="2914">
        <f t="shared" si="15"/>
        <v>1</v>
      </c>
      <c r="H67" s="3182"/>
      <c r="I67" s="2914">
        <f t="shared" si="16"/>
        <v>1</v>
      </c>
      <c r="J67" s="3182"/>
      <c r="K67" s="2914">
        <f t="shared" si="17"/>
        <v>1</v>
      </c>
      <c r="L67" s="3182"/>
      <c r="M67" s="2914">
        <f t="shared" si="18"/>
        <v>1</v>
      </c>
      <c r="N67" s="3182"/>
      <c r="O67" s="2914">
        <f t="shared" si="19"/>
        <v>1</v>
      </c>
      <c r="P67" s="3182"/>
      <c r="Q67" s="2914">
        <f t="shared" si="20"/>
        <v>1</v>
      </c>
      <c r="R67" s="2665">
        <f t="shared" si="21"/>
        <v>0</v>
      </c>
      <c r="S67" s="2790">
        <f t="shared" si="22"/>
        <v>0</v>
      </c>
    </row>
    <row r="68" spans="1:19">
      <c r="A68" s="2916"/>
      <c r="B68" s="3180"/>
      <c r="C68" s="2914">
        <f t="shared" si="13"/>
        <v>1</v>
      </c>
      <c r="D68" s="3182"/>
      <c r="E68" s="2914">
        <f t="shared" si="14"/>
        <v>1</v>
      </c>
      <c r="F68" s="3182"/>
      <c r="G68" s="2914">
        <f t="shared" si="15"/>
        <v>1</v>
      </c>
      <c r="H68" s="3182"/>
      <c r="I68" s="2914">
        <f t="shared" si="16"/>
        <v>1</v>
      </c>
      <c r="J68" s="3182"/>
      <c r="K68" s="2914">
        <f t="shared" si="17"/>
        <v>1</v>
      </c>
      <c r="L68" s="3182"/>
      <c r="M68" s="2914">
        <f t="shared" si="18"/>
        <v>1</v>
      </c>
      <c r="N68" s="3182"/>
      <c r="O68" s="2914">
        <f t="shared" si="19"/>
        <v>1</v>
      </c>
      <c r="P68" s="3182"/>
      <c r="Q68" s="2914">
        <f t="shared" si="20"/>
        <v>1</v>
      </c>
      <c r="R68" s="2665">
        <f t="shared" si="21"/>
        <v>0</v>
      </c>
      <c r="S68" s="2790">
        <f t="shared" si="22"/>
        <v>0</v>
      </c>
    </row>
    <row r="69" spans="1:19">
      <c r="A69" s="2916"/>
      <c r="B69" s="3180"/>
      <c r="C69" s="2914">
        <f t="shared" si="13"/>
        <v>1</v>
      </c>
      <c r="D69" s="3182"/>
      <c r="E69" s="2914">
        <f t="shared" si="14"/>
        <v>1</v>
      </c>
      <c r="F69" s="3182"/>
      <c r="G69" s="2914">
        <f t="shared" si="15"/>
        <v>1</v>
      </c>
      <c r="H69" s="3182"/>
      <c r="I69" s="2914">
        <f t="shared" si="16"/>
        <v>1</v>
      </c>
      <c r="J69" s="3182"/>
      <c r="K69" s="2914">
        <f t="shared" si="17"/>
        <v>1</v>
      </c>
      <c r="L69" s="3182"/>
      <c r="M69" s="2914">
        <f t="shared" si="18"/>
        <v>1</v>
      </c>
      <c r="N69" s="3182"/>
      <c r="O69" s="2914">
        <f t="shared" si="19"/>
        <v>1</v>
      </c>
      <c r="P69" s="3182"/>
      <c r="Q69" s="2914">
        <f t="shared" si="20"/>
        <v>1</v>
      </c>
      <c r="R69" s="2665">
        <f t="shared" si="21"/>
        <v>0</v>
      </c>
      <c r="S69" s="2790">
        <f t="shared" si="22"/>
        <v>0</v>
      </c>
    </row>
    <row r="70" spans="1:19">
      <c r="A70" s="2916"/>
      <c r="B70" s="3180"/>
      <c r="C70" s="2914">
        <f t="shared" si="13"/>
        <v>1</v>
      </c>
      <c r="D70" s="3182"/>
      <c r="E70" s="2914">
        <f t="shared" si="14"/>
        <v>1</v>
      </c>
      <c r="F70" s="3182"/>
      <c r="G70" s="2914">
        <f t="shared" si="15"/>
        <v>1</v>
      </c>
      <c r="H70" s="3182"/>
      <c r="I70" s="2914">
        <f t="shared" si="16"/>
        <v>1</v>
      </c>
      <c r="J70" s="3182"/>
      <c r="K70" s="2914">
        <f t="shared" si="17"/>
        <v>1</v>
      </c>
      <c r="L70" s="3182"/>
      <c r="M70" s="2914">
        <f t="shared" si="18"/>
        <v>1</v>
      </c>
      <c r="N70" s="3182"/>
      <c r="O70" s="2914">
        <f t="shared" si="19"/>
        <v>1</v>
      </c>
      <c r="P70" s="3182"/>
      <c r="Q70" s="2914">
        <f t="shared" si="20"/>
        <v>1</v>
      </c>
      <c r="R70" s="2665">
        <f t="shared" si="21"/>
        <v>0</v>
      </c>
      <c r="S70" s="2790">
        <f t="shared" si="22"/>
        <v>0</v>
      </c>
    </row>
    <row r="71" spans="1:19">
      <c r="A71" s="2916"/>
      <c r="B71" s="3180"/>
      <c r="C71" s="2914">
        <f t="shared" si="13"/>
        <v>1</v>
      </c>
      <c r="D71" s="3182"/>
      <c r="E71" s="2914">
        <f t="shared" si="14"/>
        <v>1</v>
      </c>
      <c r="F71" s="3182"/>
      <c r="G71" s="2914">
        <f t="shared" si="15"/>
        <v>1</v>
      </c>
      <c r="H71" s="3182"/>
      <c r="I71" s="2914">
        <f t="shared" si="16"/>
        <v>1</v>
      </c>
      <c r="J71" s="3182"/>
      <c r="K71" s="2914">
        <f t="shared" si="17"/>
        <v>1</v>
      </c>
      <c r="L71" s="3182"/>
      <c r="M71" s="2914">
        <f t="shared" si="18"/>
        <v>1</v>
      </c>
      <c r="N71" s="3182"/>
      <c r="O71" s="2914">
        <f t="shared" si="19"/>
        <v>1</v>
      </c>
      <c r="P71" s="3182"/>
      <c r="Q71" s="2914">
        <f t="shared" si="20"/>
        <v>1</v>
      </c>
      <c r="R71" s="2665">
        <f t="shared" si="21"/>
        <v>0</v>
      </c>
      <c r="S71" s="2790">
        <f t="shared" si="22"/>
        <v>0</v>
      </c>
    </row>
    <row r="72" spans="1:19">
      <c r="A72" s="2916"/>
      <c r="B72" s="3180"/>
      <c r="C72" s="2914">
        <f t="shared" si="13"/>
        <v>1</v>
      </c>
      <c r="D72" s="3182"/>
      <c r="E72" s="2914">
        <f t="shared" si="14"/>
        <v>1</v>
      </c>
      <c r="F72" s="3182"/>
      <c r="G72" s="2914">
        <f t="shared" si="15"/>
        <v>1</v>
      </c>
      <c r="H72" s="3182"/>
      <c r="I72" s="2914">
        <f t="shared" si="16"/>
        <v>1</v>
      </c>
      <c r="J72" s="3182"/>
      <c r="K72" s="2914">
        <f t="shared" si="17"/>
        <v>1</v>
      </c>
      <c r="L72" s="3182"/>
      <c r="M72" s="2914">
        <f t="shared" si="18"/>
        <v>1</v>
      </c>
      <c r="N72" s="3182"/>
      <c r="O72" s="2914">
        <f t="shared" si="19"/>
        <v>1</v>
      </c>
      <c r="P72" s="3182"/>
      <c r="Q72" s="2914">
        <f t="shared" si="20"/>
        <v>1</v>
      </c>
      <c r="R72" s="2665">
        <f t="shared" si="21"/>
        <v>0</v>
      </c>
      <c r="S72" s="2790">
        <f t="shared" si="22"/>
        <v>0</v>
      </c>
    </row>
    <row r="73" spans="1:19">
      <c r="A73" s="2916"/>
      <c r="B73" s="3180"/>
      <c r="C73" s="2914">
        <f t="shared" si="13"/>
        <v>1</v>
      </c>
      <c r="D73" s="3182"/>
      <c r="E73" s="2914">
        <f t="shared" si="14"/>
        <v>1</v>
      </c>
      <c r="F73" s="3182"/>
      <c r="G73" s="2914">
        <f t="shared" si="15"/>
        <v>1</v>
      </c>
      <c r="H73" s="3182"/>
      <c r="I73" s="2914">
        <f t="shared" si="16"/>
        <v>1</v>
      </c>
      <c r="J73" s="3182"/>
      <c r="K73" s="2914">
        <f t="shared" si="17"/>
        <v>1</v>
      </c>
      <c r="L73" s="3182"/>
      <c r="M73" s="2914">
        <f t="shared" si="18"/>
        <v>1</v>
      </c>
      <c r="N73" s="3182"/>
      <c r="O73" s="2914">
        <f t="shared" si="19"/>
        <v>1</v>
      </c>
      <c r="P73" s="3182"/>
      <c r="Q73" s="2914">
        <f t="shared" si="20"/>
        <v>1</v>
      </c>
      <c r="R73" s="2665">
        <f t="shared" si="21"/>
        <v>0</v>
      </c>
      <c r="S73" s="2790">
        <f t="shared" si="22"/>
        <v>0</v>
      </c>
    </row>
    <row r="74" spans="1:19">
      <c r="A74" s="2916"/>
      <c r="B74" s="3180"/>
      <c r="C74" s="2914">
        <f t="shared" si="13"/>
        <v>1</v>
      </c>
      <c r="D74" s="3182"/>
      <c r="E74" s="2914">
        <f t="shared" si="14"/>
        <v>1</v>
      </c>
      <c r="F74" s="3182"/>
      <c r="G74" s="2914">
        <f t="shared" si="15"/>
        <v>1</v>
      </c>
      <c r="H74" s="3182"/>
      <c r="I74" s="2914">
        <f t="shared" si="16"/>
        <v>1</v>
      </c>
      <c r="J74" s="3182"/>
      <c r="K74" s="2914">
        <f t="shared" si="17"/>
        <v>1</v>
      </c>
      <c r="L74" s="3182"/>
      <c r="M74" s="2914">
        <f t="shared" si="18"/>
        <v>1</v>
      </c>
      <c r="N74" s="3182"/>
      <c r="O74" s="2914">
        <f t="shared" si="19"/>
        <v>1</v>
      </c>
      <c r="P74" s="3182"/>
      <c r="Q74" s="2914">
        <f t="shared" si="20"/>
        <v>1</v>
      </c>
      <c r="R74" s="2665">
        <f t="shared" si="21"/>
        <v>0</v>
      </c>
      <c r="S74" s="2790">
        <f t="shared" si="22"/>
        <v>0</v>
      </c>
    </row>
    <row r="75" spans="1:19">
      <c r="A75" s="2916"/>
      <c r="B75" s="3180"/>
      <c r="C75" s="2914">
        <f t="shared" si="13"/>
        <v>1</v>
      </c>
      <c r="D75" s="3182"/>
      <c r="E75" s="2914">
        <f t="shared" si="14"/>
        <v>1</v>
      </c>
      <c r="F75" s="3182"/>
      <c r="G75" s="2914">
        <f t="shared" si="15"/>
        <v>1</v>
      </c>
      <c r="H75" s="3182"/>
      <c r="I75" s="2914">
        <f t="shared" si="16"/>
        <v>1</v>
      </c>
      <c r="J75" s="3182"/>
      <c r="K75" s="2914">
        <f t="shared" si="17"/>
        <v>1</v>
      </c>
      <c r="L75" s="3182"/>
      <c r="M75" s="2914">
        <f t="shared" si="18"/>
        <v>1</v>
      </c>
      <c r="N75" s="3182"/>
      <c r="O75" s="2914">
        <f t="shared" si="19"/>
        <v>1</v>
      </c>
      <c r="P75" s="3182"/>
      <c r="Q75" s="2914">
        <f t="shared" si="20"/>
        <v>1</v>
      </c>
      <c r="R75" s="2665">
        <f t="shared" si="21"/>
        <v>0</v>
      </c>
      <c r="S75" s="2790">
        <f t="shared" si="22"/>
        <v>0</v>
      </c>
    </row>
    <row r="76" spans="1:19">
      <c r="A76" s="2916"/>
      <c r="B76" s="3180"/>
      <c r="C76" s="2914">
        <f t="shared" si="13"/>
        <v>1</v>
      </c>
      <c r="D76" s="3182"/>
      <c r="E76" s="2914">
        <f t="shared" si="14"/>
        <v>1</v>
      </c>
      <c r="F76" s="3182"/>
      <c r="G76" s="2914">
        <f t="shared" si="15"/>
        <v>1</v>
      </c>
      <c r="H76" s="3182"/>
      <c r="I76" s="2914">
        <f t="shared" si="16"/>
        <v>1</v>
      </c>
      <c r="J76" s="3182"/>
      <c r="K76" s="2914">
        <f t="shared" si="17"/>
        <v>1</v>
      </c>
      <c r="L76" s="3182"/>
      <c r="M76" s="2914">
        <f t="shared" si="18"/>
        <v>1</v>
      </c>
      <c r="N76" s="3182"/>
      <c r="O76" s="2914">
        <f t="shared" si="19"/>
        <v>1</v>
      </c>
      <c r="P76" s="3182"/>
      <c r="Q76" s="2914">
        <f t="shared" si="20"/>
        <v>1</v>
      </c>
      <c r="R76" s="2665">
        <f t="shared" si="21"/>
        <v>0</v>
      </c>
      <c r="S76" s="2790">
        <f t="shared" si="22"/>
        <v>0</v>
      </c>
    </row>
    <row r="77" spans="1:19">
      <c r="A77" s="2916"/>
      <c r="B77" s="3180"/>
      <c r="C77" s="2914">
        <f t="shared" si="13"/>
        <v>1</v>
      </c>
      <c r="D77" s="3182"/>
      <c r="E77" s="2914">
        <f t="shared" si="14"/>
        <v>1</v>
      </c>
      <c r="F77" s="3182"/>
      <c r="G77" s="2914">
        <f t="shared" si="15"/>
        <v>1</v>
      </c>
      <c r="H77" s="3182"/>
      <c r="I77" s="2914">
        <f t="shared" si="16"/>
        <v>1</v>
      </c>
      <c r="J77" s="3182"/>
      <c r="K77" s="2914">
        <f t="shared" si="17"/>
        <v>1</v>
      </c>
      <c r="L77" s="3182"/>
      <c r="M77" s="2914">
        <f t="shared" si="18"/>
        <v>1</v>
      </c>
      <c r="N77" s="3182"/>
      <c r="O77" s="2914">
        <f t="shared" si="19"/>
        <v>1</v>
      </c>
      <c r="P77" s="3182"/>
      <c r="Q77" s="2914">
        <f t="shared" si="20"/>
        <v>1</v>
      </c>
      <c r="R77" s="2665">
        <f t="shared" si="21"/>
        <v>0</v>
      </c>
      <c r="S77" s="2790">
        <f t="shared" si="22"/>
        <v>0</v>
      </c>
    </row>
    <row r="78" spans="1:19">
      <c r="A78" s="2916"/>
      <c r="B78" s="3180"/>
      <c r="C78" s="2914">
        <f t="shared" si="13"/>
        <v>1</v>
      </c>
      <c r="D78" s="3182"/>
      <c r="E78" s="2914">
        <f t="shared" si="14"/>
        <v>1</v>
      </c>
      <c r="F78" s="3182"/>
      <c r="G78" s="2914">
        <f t="shared" si="15"/>
        <v>1</v>
      </c>
      <c r="H78" s="3182"/>
      <c r="I78" s="2914">
        <f t="shared" si="16"/>
        <v>1</v>
      </c>
      <c r="J78" s="3182"/>
      <c r="K78" s="2914">
        <f t="shared" si="17"/>
        <v>1</v>
      </c>
      <c r="L78" s="3182"/>
      <c r="M78" s="2914">
        <f t="shared" si="18"/>
        <v>1</v>
      </c>
      <c r="N78" s="3182"/>
      <c r="O78" s="2914">
        <f t="shared" si="19"/>
        <v>1</v>
      </c>
      <c r="P78" s="3182"/>
      <c r="Q78" s="2914">
        <f t="shared" si="20"/>
        <v>1</v>
      </c>
      <c r="R78" s="2665">
        <f t="shared" si="21"/>
        <v>0</v>
      </c>
      <c r="S78" s="2790">
        <f t="shared" ref="S78:S122" si="23">ROUND(R78*B78/10000,0)</f>
        <v>0</v>
      </c>
    </row>
    <row r="79" spans="1:19">
      <c r="A79" s="2916"/>
      <c r="B79" s="3180"/>
      <c r="C79" s="2914">
        <f t="shared" si="13"/>
        <v>1</v>
      </c>
      <c r="D79" s="3182"/>
      <c r="E79" s="2914">
        <f t="shared" si="14"/>
        <v>1</v>
      </c>
      <c r="F79" s="3182"/>
      <c r="G79" s="2914">
        <f t="shared" si="15"/>
        <v>1</v>
      </c>
      <c r="H79" s="3182"/>
      <c r="I79" s="2914">
        <f t="shared" si="16"/>
        <v>1</v>
      </c>
      <c r="J79" s="3182"/>
      <c r="K79" s="2914">
        <f t="shared" si="17"/>
        <v>1</v>
      </c>
      <c r="L79" s="3182"/>
      <c r="M79" s="2914">
        <f t="shared" si="18"/>
        <v>1</v>
      </c>
      <c r="N79" s="3182"/>
      <c r="O79" s="2914">
        <f t="shared" si="19"/>
        <v>1</v>
      </c>
      <c r="P79" s="3182"/>
      <c r="Q79" s="2914">
        <f t="shared" si="20"/>
        <v>1</v>
      </c>
      <c r="R79" s="2665">
        <f t="shared" si="21"/>
        <v>0</v>
      </c>
      <c r="S79" s="2790">
        <f t="shared" si="23"/>
        <v>0</v>
      </c>
    </row>
    <row r="80" spans="1:19">
      <c r="A80" s="2916"/>
      <c r="B80" s="3180"/>
      <c r="C80" s="2914">
        <f t="shared" si="13"/>
        <v>1</v>
      </c>
      <c r="D80" s="3182"/>
      <c r="E80" s="2914">
        <f t="shared" si="14"/>
        <v>1</v>
      </c>
      <c r="F80" s="3182"/>
      <c r="G80" s="2914">
        <f t="shared" si="15"/>
        <v>1</v>
      </c>
      <c r="H80" s="3182"/>
      <c r="I80" s="2914">
        <f t="shared" si="16"/>
        <v>1</v>
      </c>
      <c r="J80" s="3182"/>
      <c r="K80" s="2914">
        <f t="shared" si="17"/>
        <v>1</v>
      </c>
      <c r="L80" s="3182"/>
      <c r="M80" s="2914">
        <f t="shared" si="18"/>
        <v>1</v>
      </c>
      <c r="N80" s="3182"/>
      <c r="O80" s="2914">
        <f t="shared" si="19"/>
        <v>1</v>
      </c>
      <c r="P80" s="3182"/>
      <c r="Q80" s="2914">
        <f t="shared" si="20"/>
        <v>1</v>
      </c>
      <c r="R80" s="2665">
        <f t="shared" si="21"/>
        <v>0</v>
      </c>
      <c r="S80" s="2790">
        <f t="shared" si="23"/>
        <v>0</v>
      </c>
    </row>
    <row r="81" spans="1:19">
      <c r="A81" s="2916"/>
      <c r="B81" s="3180"/>
      <c r="C81" s="2914">
        <f t="shared" si="13"/>
        <v>1</v>
      </c>
      <c r="D81" s="3182"/>
      <c r="E81" s="2914">
        <f t="shared" si="14"/>
        <v>1</v>
      </c>
      <c r="F81" s="3182"/>
      <c r="G81" s="2914">
        <f t="shared" si="15"/>
        <v>1</v>
      </c>
      <c r="H81" s="3182"/>
      <c r="I81" s="2914">
        <f t="shared" si="16"/>
        <v>1</v>
      </c>
      <c r="J81" s="3182"/>
      <c r="K81" s="2914">
        <f t="shared" si="17"/>
        <v>1</v>
      </c>
      <c r="L81" s="3182"/>
      <c r="M81" s="2914">
        <f t="shared" si="18"/>
        <v>1</v>
      </c>
      <c r="N81" s="3182"/>
      <c r="O81" s="2914">
        <f t="shared" si="19"/>
        <v>1</v>
      </c>
      <c r="P81" s="3182"/>
      <c r="Q81" s="2914">
        <f t="shared" si="20"/>
        <v>1</v>
      </c>
      <c r="R81" s="2665">
        <f t="shared" si="21"/>
        <v>0</v>
      </c>
      <c r="S81" s="2790">
        <f t="shared" si="23"/>
        <v>0</v>
      </c>
    </row>
    <row r="82" spans="1:19">
      <c r="A82" s="2916"/>
      <c r="B82" s="3180"/>
      <c r="C82" s="2914">
        <f t="shared" si="13"/>
        <v>1</v>
      </c>
      <c r="D82" s="3182"/>
      <c r="E82" s="2914">
        <f t="shared" si="14"/>
        <v>1</v>
      </c>
      <c r="F82" s="3182"/>
      <c r="G82" s="2914">
        <f t="shared" si="15"/>
        <v>1</v>
      </c>
      <c r="H82" s="3182"/>
      <c r="I82" s="2914">
        <f t="shared" si="16"/>
        <v>1</v>
      </c>
      <c r="J82" s="3182"/>
      <c r="K82" s="2914">
        <f t="shared" si="17"/>
        <v>1</v>
      </c>
      <c r="L82" s="3182"/>
      <c r="M82" s="2914">
        <f t="shared" si="18"/>
        <v>1</v>
      </c>
      <c r="N82" s="3182"/>
      <c r="O82" s="2914">
        <f t="shared" si="19"/>
        <v>1</v>
      </c>
      <c r="P82" s="3182"/>
      <c r="Q82" s="2914">
        <f t="shared" si="20"/>
        <v>1</v>
      </c>
      <c r="R82" s="2665">
        <f t="shared" si="21"/>
        <v>0</v>
      </c>
      <c r="S82" s="2790">
        <f t="shared" si="23"/>
        <v>0</v>
      </c>
    </row>
    <row r="83" spans="1:19">
      <c r="A83" s="2916"/>
      <c r="B83" s="3180"/>
      <c r="C83" s="2914">
        <f t="shared" si="13"/>
        <v>1</v>
      </c>
      <c r="D83" s="3182"/>
      <c r="E83" s="2914">
        <f t="shared" si="14"/>
        <v>1</v>
      </c>
      <c r="F83" s="3182"/>
      <c r="G83" s="2914">
        <f t="shared" si="15"/>
        <v>1</v>
      </c>
      <c r="H83" s="3182"/>
      <c r="I83" s="2914">
        <f t="shared" si="16"/>
        <v>1</v>
      </c>
      <c r="J83" s="3182"/>
      <c r="K83" s="2914">
        <f t="shared" si="17"/>
        <v>1</v>
      </c>
      <c r="L83" s="3182"/>
      <c r="M83" s="2914">
        <f t="shared" si="18"/>
        <v>1</v>
      </c>
      <c r="N83" s="3182"/>
      <c r="O83" s="2914">
        <f t="shared" si="19"/>
        <v>1</v>
      </c>
      <c r="P83" s="3182"/>
      <c r="Q83" s="2914">
        <f t="shared" si="20"/>
        <v>1</v>
      </c>
      <c r="R83" s="2665">
        <f t="shared" si="21"/>
        <v>0</v>
      </c>
      <c r="S83" s="2790">
        <f t="shared" si="23"/>
        <v>0</v>
      </c>
    </row>
    <row r="84" spans="1:19">
      <c r="A84" s="2916"/>
      <c r="B84" s="3180"/>
      <c r="C84" s="2914">
        <f t="shared" si="13"/>
        <v>1</v>
      </c>
      <c r="D84" s="3182"/>
      <c r="E84" s="2914">
        <f t="shared" si="14"/>
        <v>1</v>
      </c>
      <c r="F84" s="3182"/>
      <c r="G84" s="2914">
        <f t="shared" si="15"/>
        <v>1</v>
      </c>
      <c r="H84" s="3182"/>
      <c r="I84" s="2914">
        <f t="shared" si="16"/>
        <v>1</v>
      </c>
      <c r="J84" s="3182"/>
      <c r="K84" s="2914">
        <f t="shared" si="17"/>
        <v>1</v>
      </c>
      <c r="L84" s="3182"/>
      <c r="M84" s="2914">
        <f t="shared" si="18"/>
        <v>1</v>
      </c>
      <c r="N84" s="3182"/>
      <c r="O84" s="2914">
        <f t="shared" si="19"/>
        <v>1</v>
      </c>
      <c r="P84" s="3182"/>
      <c r="Q84" s="2914">
        <f t="shared" si="20"/>
        <v>1</v>
      </c>
      <c r="R84" s="2665">
        <f t="shared" si="21"/>
        <v>0</v>
      </c>
      <c r="S84" s="2790">
        <f t="shared" si="23"/>
        <v>0</v>
      </c>
    </row>
    <row r="85" spans="1:19">
      <c r="A85" s="2916"/>
      <c r="B85" s="3180"/>
      <c r="C85" s="2914">
        <f t="shared" si="13"/>
        <v>1</v>
      </c>
      <c r="D85" s="3182"/>
      <c r="E85" s="2914">
        <f t="shared" si="14"/>
        <v>1</v>
      </c>
      <c r="F85" s="3182"/>
      <c r="G85" s="2914">
        <f t="shared" si="15"/>
        <v>1</v>
      </c>
      <c r="H85" s="3182"/>
      <c r="I85" s="2914">
        <f t="shared" si="16"/>
        <v>1</v>
      </c>
      <c r="J85" s="3182"/>
      <c r="K85" s="2914">
        <f t="shared" si="17"/>
        <v>1</v>
      </c>
      <c r="L85" s="3182"/>
      <c r="M85" s="2914">
        <f t="shared" si="18"/>
        <v>1</v>
      </c>
      <c r="N85" s="3182"/>
      <c r="O85" s="2914">
        <f t="shared" si="19"/>
        <v>1</v>
      </c>
      <c r="P85" s="3182"/>
      <c r="Q85" s="2914">
        <f t="shared" si="20"/>
        <v>1</v>
      </c>
      <c r="R85" s="2665">
        <f t="shared" si="21"/>
        <v>0</v>
      </c>
      <c r="S85" s="2790">
        <f t="shared" si="23"/>
        <v>0</v>
      </c>
    </row>
    <row r="86" spans="1:19">
      <c r="A86" s="2916"/>
      <c r="B86" s="3180"/>
      <c r="C86" s="2914">
        <f t="shared" si="13"/>
        <v>1</v>
      </c>
      <c r="D86" s="3182"/>
      <c r="E86" s="2914">
        <f t="shared" si="14"/>
        <v>1</v>
      </c>
      <c r="F86" s="3182"/>
      <c r="G86" s="2914">
        <f t="shared" si="15"/>
        <v>1</v>
      </c>
      <c r="H86" s="3182"/>
      <c r="I86" s="2914">
        <f t="shared" si="16"/>
        <v>1</v>
      </c>
      <c r="J86" s="3182"/>
      <c r="K86" s="2914">
        <f t="shared" si="17"/>
        <v>1</v>
      </c>
      <c r="L86" s="3182"/>
      <c r="M86" s="2914">
        <f t="shared" si="18"/>
        <v>1</v>
      </c>
      <c r="N86" s="3182"/>
      <c r="O86" s="2914">
        <f t="shared" si="19"/>
        <v>1</v>
      </c>
      <c r="P86" s="3182"/>
      <c r="Q86" s="2914">
        <f t="shared" si="20"/>
        <v>1</v>
      </c>
      <c r="R86" s="2665">
        <f t="shared" si="21"/>
        <v>0</v>
      </c>
      <c r="S86" s="2790">
        <f t="shared" si="23"/>
        <v>0</v>
      </c>
    </row>
    <row r="87" spans="1:19">
      <c r="A87" s="2916"/>
      <c r="B87" s="3180"/>
      <c r="C87" s="2914">
        <f t="shared" si="13"/>
        <v>1</v>
      </c>
      <c r="D87" s="3182"/>
      <c r="E87" s="2914">
        <f t="shared" si="14"/>
        <v>1</v>
      </c>
      <c r="F87" s="3182"/>
      <c r="G87" s="2914">
        <f t="shared" si="15"/>
        <v>1</v>
      </c>
      <c r="H87" s="3182"/>
      <c r="I87" s="2914">
        <f t="shared" si="16"/>
        <v>1</v>
      </c>
      <c r="J87" s="3182"/>
      <c r="K87" s="2914">
        <f t="shared" si="17"/>
        <v>1</v>
      </c>
      <c r="L87" s="3182"/>
      <c r="M87" s="2914">
        <f t="shared" si="18"/>
        <v>1</v>
      </c>
      <c r="N87" s="3182"/>
      <c r="O87" s="2914">
        <f t="shared" si="19"/>
        <v>1</v>
      </c>
      <c r="P87" s="3182"/>
      <c r="Q87" s="2914">
        <f t="shared" si="20"/>
        <v>1</v>
      </c>
      <c r="R87" s="2665">
        <f t="shared" si="21"/>
        <v>0</v>
      </c>
      <c r="S87" s="2790">
        <f t="shared" si="23"/>
        <v>0</v>
      </c>
    </row>
    <row r="88" spans="1:19">
      <c r="A88" s="2916"/>
      <c r="B88" s="3180"/>
      <c r="C88" s="2914">
        <f t="shared" si="13"/>
        <v>1</v>
      </c>
      <c r="D88" s="3182"/>
      <c r="E88" s="2914">
        <f t="shared" si="14"/>
        <v>1</v>
      </c>
      <c r="F88" s="3182"/>
      <c r="G88" s="2914">
        <f t="shared" si="15"/>
        <v>1</v>
      </c>
      <c r="H88" s="3182"/>
      <c r="I88" s="2914">
        <f t="shared" si="16"/>
        <v>1</v>
      </c>
      <c r="J88" s="3182"/>
      <c r="K88" s="2914">
        <f t="shared" si="17"/>
        <v>1</v>
      </c>
      <c r="L88" s="3182"/>
      <c r="M88" s="2914">
        <f t="shared" si="18"/>
        <v>1</v>
      </c>
      <c r="N88" s="3182"/>
      <c r="O88" s="2914">
        <f t="shared" si="19"/>
        <v>1</v>
      </c>
      <c r="P88" s="3182"/>
      <c r="Q88" s="2914">
        <f t="shared" si="20"/>
        <v>1</v>
      </c>
      <c r="R88" s="2665">
        <f t="shared" si="21"/>
        <v>0</v>
      </c>
      <c r="S88" s="2790">
        <f t="shared" si="23"/>
        <v>0</v>
      </c>
    </row>
    <row r="89" spans="1:19">
      <c r="A89" s="2916"/>
      <c r="B89" s="3180"/>
      <c r="C89" s="2914">
        <f t="shared" si="13"/>
        <v>1</v>
      </c>
      <c r="D89" s="3182"/>
      <c r="E89" s="2914">
        <f t="shared" si="14"/>
        <v>1</v>
      </c>
      <c r="F89" s="3182"/>
      <c r="G89" s="2914">
        <f t="shared" si="15"/>
        <v>1</v>
      </c>
      <c r="H89" s="3182"/>
      <c r="I89" s="2914">
        <f t="shared" si="16"/>
        <v>1</v>
      </c>
      <c r="J89" s="3182"/>
      <c r="K89" s="2914">
        <f t="shared" si="17"/>
        <v>1</v>
      </c>
      <c r="L89" s="3182"/>
      <c r="M89" s="2914">
        <f t="shared" si="18"/>
        <v>1</v>
      </c>
      <c r="N89" s="3182"/>
      <c r="O89" s="2914">
        <f t="shared" si="19"/>
        <v>1</v>
      </c>
      <c r="P89" s="3182"/>
      <c r="Q89" s="2914">
        <f t="shared" si="20"/>
        <v>1</v>
      </c>
      <c r="R89" s="2665">
        <f t="shared" si="21"/>
        <v>0</v>
      </c>
      <c r="S89" s="2790">
        <f t="shared" si="23"/>
        <v>0</v>
      </c>
    </row>
    <row r="90" spans="1:19">
      <c r="A90" s="2916"/>
      <c r="B90" s="3180"/>
      <c r="C90" s="2914">
        <f t="shared" ref="C90:C153" si="24">IF(B90="",1,(LOOKUP(B90,$3:$3,$4:$4)-LOOKUP($B$24,$3:$3,$4:$4)+100)/100)</f>
        <v>1</v>
      </c>
      <c r="D90" s="3182"/>
      <c r="E90" s="2914">
        <f t="shared" ref="E90:E153" si="25">(SUMIF($5:$5,D90,$6:$6)-SUMIF($5:$5,$D$24,$6:$6)+100)/100</f>
        <v>1</v>
      </c>
      <c r="F90" s="3182"/>
      <c r="G90" s="2914">
        <f t="shared" ref="G90:G153" si="26">(SUMIF($7:$7,F90,$8:$8)-SUMIF($7:$7,$F$24,$8:$8)+100)/100</f>
        <v>1</v>
      </c>
      <c r="H90" s="3182"/>
      <c r="I90" s="2914">
        <f t="shared" ref="I90:I153" si="27">(SUMIF($9:$9,H90,$10:$10)-SUMIF($9:$9,$H$24,$10:$10)+100)/100</f>
        <v>1</v>
      </c>
      <c r="J90" s="3182"/>
      <c r="K90" s="2914">
        <f t="shared" ref="K90:K153" si="28">(SUMIF($11:$11,J90,$12:$12)-SUMIF($11:$11,$J$24,$12:$12)+100)/100</f>
        <v>1</v>
      </c>
      <c r="L90" s="3182"/>
      <c r="M90" s="2914">
        <f t="shared" ref="M90:M153" si="29">(SUMIF($13:$13,L90,$14:$14)-SUMIF($13:$13,$L$24,$14:$14)+100)/100</f>
        <v>1</v>
      </c>
      <c r="N90" s="3182"/>
      <c r="O90" s="2914">
        <f t="shared" ref="O90:O153" si="30">(SUMIF($15:$15,N90,$16:$16)-SUMIF($15:$15,$N$24,$16:$16)+100)/100</f>
        <v>1</v>
      </c>
      <c r="P90" s="3182"/>
      <c r="Q90" s="2914">
        <f t="shared" ref="Q90:Q153" si="31">(SUMIF($17:$17,P90,$18:$18)-SUMIF($17:$17,$P$24,$18:$18)+100)/100</f>
        <v>1</v>
      </c>
      <c r="R90" s="2665">
        <f t="shared" ref="R90:R153" si="32">IF(B90="",0,ROUND($R$24*C90*E90*G90*I90*K90*M90*O90*Q90,0))</f>
        <v>0</v>
      </c>
      <c r="S90" s="2790">
        <f t="shared" si="23"/>
        <v>0</v>
      </c>
    </row>
    <row r="91" spans="1:19">
      <c r="A91" s="2916"/>
      <c r="B91" s="3180"/>
      <c r="C91" s="2914">
        <f t="shared" si="24"/>
        <v>1</v>
      </c>
      <c r="D91" s="3182"/>
      <c r="E91" s="2914">
        <f t="shared" si="25"/>
        <v>1</v>
      </c>
      <c r="F91" s="3182"/>
      <c r="G91" s="2914">
        <f t="shared" si="26"/>
        <v>1</v>
      </c>
      <c r="H91" s="3182"/>
      <c r="I91" s="2914">
        <f t="shared" si="27"/>
        <v>1</v>
      </c>
      <c r="J91" s="3182"/>
      <c r="K91" s="2914">
        <f t="shared" si="28"/>
        <v>1</v>
      </c>
      <c r="L91" s="3182"/>
      <c r="M91" s="2914">
        <f t="shared" si="29"/>
        <v>1</v>
      </c>
      <c r="N91" s="3182"/>
      <c r="O91" s="2914">
        <f t="shared" si="30"/>
        <v>1</v>
      </c>
      <c r="P91" s="3182"/>
      <c r="Q91" s="2914">
        <f t="shared" si="31"/>
        <v>1</v>
      </c>
      <c r="R91" s="2665">
        <f t="shared" si="32"/>
        <v>0</v>
      </c>
      <c r="S91" s="2790">
        <f t="shared" si="23"/>
        <v>0</v>
      </c>
    </row>
    <row r="92" spans="1:19">
      <c r="A92" s="2916"/>
      <c r="B92" s="3180"/>
      <c r="C92" s="2914">
        <f t="shared" si="24"/>
        <v>1</v>
      </c>
      <c r="D92" s="3182"/>
      <c r="E92" s="2914">
        <f t="shared" si="25"/>
        <v>1</v>
      </c>
      <c r="F92" s="3182"/>
      <c r="G92" s="2914">
        <f t="shared" si="26"/>
        <v>1</v>
      </c>
      <c r="H92" s="3182"/>
      <c r="I92" s="2914">
        <f t="shared" si="27"/>
        <v>1</v>
      </c>
      <c r="J92" s="3182"/>
      <c r="K92" s="2914">
        <f t="shared" si="28"/>
        <v>1</v>
      </c>
      <c r="L92" s="3182"/>
      <c r="M92" s="2914">
        <f t="shared" si="29"/>
        <v>1</v>
      </c>
      <c r="N92" s="3182"/>
      <c r="O92" s="2914">
        <f t="shared" si="30"/>
        <v>1</v>
      </c>
      <c r="P92" s="3182"/>
      <c r="Q92" s="2914">
        <f t="shared" si="31"/>
        <v>1</v>
      </c>
      <c r="R92" s="2665">
        <f t="shared" si="32"/>
        <v>0</v>
      </c>
      <c r="S92" s="2790">
        <f t="shared" si="23"/>
        <v>0</v>
      </c>
    </row>
    <row r="93" spans="1:19">
      <c r="A93" s="2916"/>
      <c r="B93" s="3180"/>
      <c r="C93" s="2914">
        <f t="shared" si="24"/>
        <v>1</v>
      </c>
      <c r="D93" s="3182"/>
      <c r="E93" s="2914">
        <f t="shared" si="25"/>
        <v>1</v>
      </c>
      <c r="F93" s="3182"/>
      <c r="G93" s="2914">
        <f t="shared" si="26"/>
        <v>1</v>
      </c>
      <c r="H93" s="3182"/>
      <c r="I93" s="2914">
        <f t="shared" si="27"/>
        <v>1</v>
      </c>
      <c r="J93" s="3182"/>
      <c r="K93" s="2914">
        <f t="shared" si="28"/>
        <v>1</v>
      </c>
      <c r="L93" s="3182"/>
      <c r="M93" s="2914">
        <f t="shared" si="29"/>
        <v>1</v>
      </c>
      <c r="N93" s="3182"/>
      <c r="O93" s="2914">
        <f t="shared" si="30"/>
        <v>1</v>
      </c>
      <c r="P93" s="3182"/>
      <c r="Q93" s="2914">
        <f t="shared" si="31"/>
        <v>1</v>
      </c>
      <c r="R93" s="2665">
        <f t="shared" si="32"/>
        <v>0</v>
      </c>
      <c r="S93" s="2790">
        <f t="shared" si="23"/>
        <v>0</v>
      </c>
    </row>
    <row r="94" spans="1:19">
      <c r="A94" s="2916"/>
      <c r="B94" s="3180"/>
      <c r="C94" s="2914">
        <f t="shared" si="24"/>
        <v>1</v>
      </c>
      <c r="D94" s="3182"/>
      <c r="E94" s="2914">
        <f t="shared" si="25"/>
        <v>1</v>
      </c>
      <c r="F94" s="3182"/>
      <c r="G94" s="2914">
        <f t="shared" si="26"/>
        <v>1</v>
      </c>
      <c r="H94" s="3182"/>
      <c r="I94" s="2914">
        <f t="shared" si="27"/>
        <v>1</v>
      </c>
      <c r="J94" s="3182"/>
      <c r="K94" s="2914">
        <f t="shared" si="28"/>
        <v>1</v>
      </c>
      <c r="L94" s="3182"/>
      <c r="M94" s="2914">
        <f t="shared" si="29"/>
        <v>1</v>
      </c>
      <c r="N94" s="3182"/>
      <c r="O94" s="2914">
        <f t="shared" si="30"/>
        <v>1</v>
      </c>
      <c r="P94" s="3182"/>
      <c r="Q94" s="2914">
        <f t="shared" si="31"/>
        <v>1</v>
      </c>
      <c r="R94" s="2665">
        <f t="shared" si="32"/>
        <v>0</v>
      </c>
      <c r="S94" s="2790">
        <f t="shared" si="23"/>
        <v>0</v>
      </c>
    </row>
    <row r="95" spans="1:19">
      <c r="A95" s="2916"/>
      <c r="B95" s="3180"/>
      <c r="C95" s="2914">
        <f t="shared" si="24"/>
        <v>1</v>
      </c>
      <c r="D95" s="3182"/>
      <c r="E95" s="2914">
        <f t="shared" si="25"/>
        <v>1</v>
      </c>
      <c r="F95" s="3182"/>
      <c r="G95" s="2914">
        <f t="shared" si="26"/>
        <v>1</v>
      </c>
      <c r="H95" s="3182"/>
      <c r="I95" s="2914">
        <f t="shared" si="27"/>
        <v>1</v>
      </c>
      <c r="J95" s="3182"/>
      <c r="K95" s="2914">
        <f t="shared" si="28"/>
        <v>1</v>
      </c>
      <c r="L95" s="3182"/>
      <c r="M95" s="2914">
        <f t="shared" si="29"/>
        <v>1</v>
      </c>
      <c r="N95" s="3182"/>
      <c r="O95" s="2914">
        <f t="shared" si="30"/>
        <v>1</v>
      </c>
      <c r="P95" s="3182"/>
      <c r="Q95" s="2914">
        <f t="shared" si="31"/>
        <v>1</v>
      </c>
      <c r="R95" s="2665">
        <f t="shared" si="32"/>
        <v>0</v>
      </c>
      <c r="S95" s="2790">
        <f t="shared" si="23"/>
        <v>0</v>
      </c>
    </row>
    <row r="96" spans="1:19">
      <c r="A96" s="2916"/>
      <c r="B96" s="3180"/>
      <c r="C96" s="2914">
        <f t="shared" si="24"/>
        <v>1</v>
      </c>
      <c r="D96" s="3182"/>
      <c r="E96" s="2914">
        <f t="shared" si="25"/>
        <v>1</v>
      </c>
      <c r="F96" s="3182"/>
      <c r="G96" s="2914">
        <f t="shared" si="26"/>
        <v>1</v>
      </c>
      <c r="H96" s="3182"/>
      <c r="I96" s="2914">
        <f t="shared" si="27"/>
        <v>1</v>
      </c>
      <c r="J96" s="3182"/>
      <c r="K96" s="2914">
        <f t="shared" si="28"/>
        <v>1</v>
      </c>
      <c r="L96" s="3182"/>
      <c r="M96" s="2914">
        <f t="shared" si="29"/>
        <v>1</v>
      </c>
      <c r="N96" s="3182"/>
      <c r="O96" s="2914">
        <f t="shared" si="30"/>
        <v>1</v>
      </c>
      <c r="P96" s="3182"/>
      <c r="Q96" s="2914">
        <f t="shared" si="31"/>
        <v>1</v>
      </c>
      <c r="R96" s="2665">
        <f t="shared" si="32"/>
        <v>0</v>
      </c>
      <c r="S96" s="2790">
        <f t="shared" si="23"/>
        <v>0</v>
      </c>
    </row>
    <row r="97" spans="1:19">
      <c r="A97" s="2916"/>
      <c r="B97" s="3180"/>
      <c r="C97" s="2914">
        <f t="shared" si="24"/>
        <v>1</v>
      </c>
      <c r="D97" s="3182"/>
      <c r="E97" s="2914">
        <f t="shared" si="25"/>
        <v>1</v>
      </c>
      <c r="F97" s="3182"/>
      <c r="G97" s="2914">
        <f t="shared" si="26"/>
        <v>1</v>
      </c>
      <c r="H97" s="3182"/>
      <c r="I97" s="2914">
        <f t="shared" si="27"/>
        <v>1</v>
      </c>
      <c r="J97" s="3182"/>
      <c r="K97" s="2914">
        <f t="shared" si="28"/>
        <v>1</v>
      </c>
      <c r="L97" s="3182"/>
      <c r="M97" s="2914">
        <f t="shared" si="29"/>
        <v>1</v>
      </c>
      <c r="N97" s="3182"/>
      <c r="O97" s="2914">
        <f t="shared" si="30"/>
        <v>1</v>
      </c>
      <c r="P97" s="3182"/>
      <c r="Q97" s="2914">
        <f t="shared" si="31"/>
        <v>1</v>
      </c>
      <c r="R97" s="2665">
        <f t="shared" si="32"/>
        <v>0</v>
      </c>
      <c r="S97" s="2790">
        <f t="shared" si="23"/>
        <v>0</v>
      </c>
    </row>
    <row r="98" spans="1:19">
      <c r="A98" s="2916"/>
      <c r="B98" s="3180"/>
      <c r="C98" s="2914">
        <f t="shared" si="24"/>
        <v>1</v>
      </c>
      <c r="D98" s="3182"/>
      <c r="E98" s="2914">
        <f t="shared" si="25"/>
        <v>1</v>
      </c>
      <c r="F98" s="3182"/>
      <c r="G98" s="2914">
        <f t="shared" si="26"/>
        <v>1</v>
      </c>
      <c r="H98" s="3182"/>
      <c r="I98" s="2914">
        <f t="shared" si="27"/>
        <v>1</v>
      </c>
      <c r="J98" s="3182"/>
      <c r="K98" s="2914">
        <f t="shared" si="28"/>
        <v>1</v>
      </c>
      <c r="L98" s="3182"/>
      <c r="M98" s="2914">
        <f t="shared" si="29"/>
        <v>1</v>
      </c>
      <c r="N98" s="3182"/>
      <c r="O98" s="2914">
        <f t="shared" si="30"/>
        <v>1</v>
      </c>
      <c r="P98" s="3182"/>
      <c r="Q98" s="2914">
        <f t="shared" si="31"/>
        <v>1</v>
      </c>
      <c r="R98" s="2665">
        <f t="shared" si="32"/>
        <v>0</v>
      </c>
      <c r="S98" s="2790">
        <f t="shared" si="23"/>
        <v>0</v>
      </c>
    </row>
    <row r="99" spans="1:19">
      <c r="A99" s="2916"/>
      <c r="B99" s="3180"/>
      <c r="C99" s="2914">
        <f t="shared" si="24"/>
        <v>1</v>
      </c>
      <c r="D99" s="3182"/>
      <c r="E99" s="2914">
        <f t="shared" si="25"/>
        <v>1</v>
      </c>
      <c r="F99" s="3182"/>
      <c r="G99" s="2914">
        <f t="shared" si="26"/>
        <v>1</v>
      </c>
      <c r="H99" s="3182"/>
      <c r="I99" s="2914">
        <f t="shared" si="27"/>
        <v>1</v>
      </c>
      <c r="J99" s="3182"/>
      <c r="K99" s="2914">
        <f t="shared" si="28"/>
        <v>1</v>
      </c>
      <c r="L99" s="3182"/>
      <c r="M99" s="2914">
        <f t="shared" si="29"/>
        <v>1</v>
      </c>
      <c r="N99" s="3182"/>
      <c r="O99" s="2914">
        <f t="shared" si="30"/>
        <v>1</v>
      </c>
      <c r="P99" s="3182"/>
      <c r="Q99" s="2914">
        <f t="shared" si="31"/>
        <v>1</v>
      </c>
      <c r="R99" s="2665">
        <f t="shared" si="32"/>
        <v>0</v>
      </c>
      <c r="S99" s="2790">
        <f t="shared" si="23"/>
        <v>0</v>
      </c>
    </row>
    <row r="100" spans="1:19">
      <c r="A100" s="2916"/>
      <c r="B100" s="3180"/>
      <c r="C100" s="2914">
        <f t="shared" si="24"/>
        <v>1</v>
      </c>
      <c r="D100" s="3182"/>
      <c r="E100" s="2914">
        <f t="shared" si="25"/>
        <v>1</v>
      </c>
      <c r="F100" s="3182"/>
      <c r="G100" s="2914">
        <f t="shared" si="26"/>
        <v>1</v>
      </c>
      <c r="H100" s="3182"/>
      <c r="I100" s="2914">
        <f t="shared" si="27"/>
        <v>1</v>
      </c>
      <c r="J100" s="3182"/>
      <c r="K100" s="2914">
        <f t="shared" si="28"/>
        <v>1</v>
      </c>
      <c r="L100" s="3182"/>
      <c r="M100" s="2914">
        <f t="shared" si="29"/>
        <v>1</v>
      </c>
      <c r="N100" s="3182"/>
      <c r="O100" s="2914">
        <f t="shared" si="30"/>
        <v>1</v>
      </c>
      <c r="P100" s="3182"/>
      <c r="Q100" s="2914">
        <f t="shared" si="31"/>
        <v>1</v>
      </c>
      <c r="R100" s="2665">
        <f t="shared" si="32"/>
        <v>0</v>
      </c>
      <c r="S100" s="2790">
        <f t="shared" si="23"/>
        <v>0</v>
      </c>
    </row>
    <row r="101" spans="1:19">
      <c r="A101" s="2916"/>
      <c r="B101" s="3180"/>
      <c r="C101" s="2914">
        <f t="shared" si="24"/>
        <v>1</v>
      </c>
      <c r="D101" s="3182"/>
      <c r="E101" s="2914">
        <f t="shared" si="25"/>
        <v>1</v>
      </c>
      <c r="F101" s="3182"/>
      <c r="G101" s="2914">
        <f t="shared" si="26"/>
        <v>1</v>
      </c>
      <c r="H101" s="3182"/>
      <c r="I101" s="2914">
        <f t="shared" si="27"/>
        <v>1</v>
      </c>
      <c r="J101" s="3182"/>
      <c r="K101" s="2914">
        <f t="shared" si="28"/>
        <v>1</v>
      </c>
      <c r="L101" s="3182"/>
      <c r="M101" s="2914">
        <f t="shared" si="29"/>
        <v>1</v>
      </c>
      <c r="N101" s="3182"/>
      <c r="O101" s="2914">
        <f t="shared" si="30"/>
        <v>1</v>
      </c>
      <c r="P101" s="3182"/>
      <c r="Q101" s="2914">
        <f t="shared" si="31"/>
        <v>1</v>
      </c>
      <c r="R101" s="2665">
        <f t="shared" si="32"/>
        <v>0</v>
      </c>
      <c r="S101" s="2790">
        <f t="shared" si="23"/>
        <v>0</v>
      </c>
    </row>
    <row r="102" spans="1:19">
      <c r="A102" s="2916"/>
      <c r="B102" s="3180"/>
      <c r="C102" s="2914">
        <f t="shared" si="24"/>
        <v>1</v>
      </c>
      <c r="D102" s="3182"/>
      <c r="E102" s="2914">
        <f t="shared" si="25"/>
        <v>1</v>
      </c>
      <c r="F102" s="3182"/>
      <c r="G102" s="2914">
        <f t="shared" si="26"/>
        <v>1</v>
      </c>
      <c r="H102" s="3182"/>
      <c r="I102" s="2914">
        <f t="shared" si="27"/>
        <v>1</v>
      </c>
      <c r="J102" s="3182"/>
      <c r="K102" s="2914">
        <f t="shared" si="28"/>
        <v>1</v>
      </c>
      <c r="L102" s="3182"/>
      <c r="M102" s="2914">
        <f t="shared" si="29"/>
        <v>1</v>
      </c>
      <c r="N102" s="3182"/>
      <c r="O102" s="2914">
        <f t="shared" si="30"/>
        <v>1</v>
      </c>
      <c r="P102" s="3182"/>
      <c r="Q102" s="2914">
        <f t="shared" si="31"/>
        <v>1</v>
      </c>
      <c r="R102" s="2665">
        <f t="shared" si="32"/>
        <v>0</v>
      </c>
      <c r="S102" s="2790">
        <f t="shared" si="23"/>
        <v>0</v>
      </c>
    </row>
    <row r="103" spans="1:19">
      <c r="A103" s="2916"/>
      <c r="B103" s="3180"/>
      <c r="C103" s="2914">
        <f t="shared" si="24"/>
        <v>1</v>
      </c>
      <c r="D103" s="3182"/>
      <c r="E103" s="2914">
        <f t="shared" si="25"/>
        <v>1</v>
      </c>
      <c r="F103" s="3182"/>
      <c r="G103" s="2914">
        <f t="shared" si="26"/>
        <v>1</v>
      </c>
      <c r="H103" s="3182"/>
      <c r="I103" s="2914">
        <f t="shared" si="27"/>
        <v>1</v>
      </c>
      <c r="J103" s="3182"/>
      <c r="K103" s="2914">
        <f t="shared" si="28"/>
        <v>1</v>
      </c>
      <c r="L103" s="3182"/>
      <c r="M103" s="2914">
        <f t="shared" si="29"/>
        <v>1</v>
      </c>
      <c r="N103" s="3182"/>
      <c r="O103" s="2914">
        <f t="shared" si="30"/>
        <v>1</v>
      </c>
      <c r="P103" s="3182"/>
      <c r="Q103" s="2914">
        <f t="shared" si="31"/>
        <v>1</v>
      </c>
      <c r="R103" s="2665">
        <f t="shared" si="32"/>
        <v>0</v>
      </c>
      <c r="S103" s="2790">
        <f t="shared" si="23"/>
        <v>0</v>
      </c>
    </row>
    <row r="104" spans="1:19">
      <c r="A104" s="2916"/>
      <c r="B104" s="3180"/>
      <c r="C104" s="2914">
        <f t="shared" si="24"/>
        <v>1</v>
      </c>
      <c r="D104" s="3182"/>
      <c r="E104" s="2914">
        <f t="shared" si="25"/>
        <v>1</v>
      </c>
      <c r="F104" s="3182"/>
      <c r="G104" s="2914">
        <f t="shared" si="26"/>
        <v>1</v>
      </c>
      <c r="H104" s="3182"/>
      <c r="I104" s="2914">
        <f t="shared" si="27"/>
        <v>1</v>
      </c>
      <c r="J104" s="3182"/>
      <c r="K104" s="2914">
        <f t="shared" si="28"/>
        <v>1</v>
      </c>
      <c r="L104" s="3182"/>
      <c r="M104" s="2914">
        <f t="shared" si="29"/>
        <v>1</v>
      </c>
      <c r="N104" s="3182"/>
      <c r="O104" s="2914">
        <f t="shared" si="30"/>
        <v>1</v>
      </c>
      <c r="P104" s="3182"/>
      <c r="Q104" s="2914">
        <f t="shared" si="31"/>
        <v>1</v>
      </c>
      <c r="R104" s="2665">
        <f t="shared" si="32"/>
        <v>0</v>
      </c>
      <c r="S104" s="2790">
        <f t="shared" si="23"/>
        <v>0</v>
      </c>
    </row>
    <row r="105" spans="1:19">
      <c r="A105" s="2916"/>
      <c r="B105" s="3180"/>
      <c r="C105" s="2914">
        <f t="shared" si="24"/>
        <v>1</v>
      </c>
      <c r="D105" s="3182"/>
      <c r="E105" s="2914">
        <f t="shared" si="25"/>
        <v>1</v>
      </c>
      <c r="F105" s="3182"/>
      <c r="G105" s="2914">
        <f t="shared" si="26"/>
        <v>1</v>
      </c>
      <c r="H105" s="3182"/>
      <c r="I105" s="2914">
        <f t="shared" si="27"/>
        <v>1</v>
      </c>
      <c r="J105" s="3182"/>
      <c r="K105" s="2914">
        <f t="shared" si="28"/>
        <v>1</v>
      </c>
      <c r="L105" s="3182"/>
      <c r="M105" s="2914">
        <f t="shared" si="29"/>
        <v>1</v>
      </c>
      <c r="N105" s="3182"/>
      <c r="O105" s="2914">
        <f t="shared" si="30"/>
        <v>1</v>
      </c>
      <c r="P105" s="3182"/>
      <c r="Q105" s="2914">
        <f t="shared" si="31"/>
        <v>1</v>
      </c>
      <c r="R105" s="2665">
        <f t="shared" si="32"/>
        <v>0</v>
      </c>
      <c r="S105" s="2790">
        <f t="shared" si="23"/>
        <v>0</v>
      </c>
    </row>
    <row r="106" spans="1:19">
      <c r="A106" s="2916"/>
      <c r="B106" s="3180"/>
      <c r="C106" s="2914">
        <f t="shared" si="24"/>
        <v>1</v>
      </c>
      <c r="D106" s="3182"/>
      <c r="E106" s="2914">
        <f t="shared" si="25"/>
        <v>1</v>
      </c>
      <c r="F106" s="3182"/>
      <c r="G106" s="2914">
        <f t="shared" si="26"/>
        <v>1</v>
      </c>
      <c r="H106" s="3182"/>
      <c r="I106" s="2914">
        <f t="shared" si="27"/>
        <v>1</v>
      </c>
      <c r="J106" s="3182"/>
      <c r="K106" s="2914">
        <f t="shared" si="28"/>
        <v>1</v>
      </c>
      <c r="L106" s="3182"/>
      <c r="M106" s="2914">
        <f t="shared" si="29"/>
        <v>1</v>
      </c>
      <c r="N106" s="3182"/>
      <c r="O106" s="2914">
        <f t="shared" si="30"/>
        <v>1</v>
      </c>
      <c r="P106" s="3182"/>
      <c r="Q106" s="2914">
        <f t="shared" si="31"/>
        <v>1</v>
      </c>
      <c r="R106" s="2665">
        <f t="shared" si="32"/>
        <v>0</v>
      </c>
      <c r="S106" s="2790">
        <f t="shared" si="23"/>
        <v>0</v>
      </c>
    </row>
    <row r="107" spans="1:19">
      <c r="A107" s="2916"/>
      <c r="B107" s="3180"/>
      <c r="C107" s="2914">
        <f t="shared" si="24"/>
        <v>1</v>
      </c>
      <c r="D107" s="3182"/>
      <c r="E107" s="2914">
        <f t="shared" si="25"/>
        <v>1</v>
      </c>
      <c r="F107" s="3182"/>
      <c r="G107" s="2914">
        <f t="shared" si="26"/>
        <v>1</v>
      </c>
      <c r="H107" s="3182"/>
      <c r="I107" s="2914">
        <f t="shared" si="27"/>
        <v>1</v>
      </c>
      <c r="J107" s="3182"/>
      <c r="K107" s="2914">
        <f t="shared" si="28"/>
        <v>1</v>
      </c>
      <c r="L107" s="3182"/>
      <c r="M107" s="2914">
        <f t="shared" si="29"/>
        <v>1</v>
      </c>
      <c r="N107" s="3182"/>
      <c r="O107" s="2914">
        <f t="shared" si="30"/>
        <v>1</v>
      </c>
      <c r="P107" s="3182"/>
      <c r="Q107" s="2914">
        <f t="shared" si="31"/>
        <v>1</v>
      </c>
      <c r="R107" s="2665">
        <f t="shared" si="32"/>
        <v>0</v>
      </c>
      <c r="S107" s="2790">
        <f t="shared" si="23"/>
        <v>0</v>
      </c>
    </row>
    <row r="108" spans="1:19">
      <c r="A108" s="2916"/>
      <c r="B108" s="3180"/>
      <c r="C108" s="2914">
        <f t="shared" si="24"/>
        <v>1</v>
      </c>
      <c r="D108" s="3182"/>
      <c r="E108" s="2914">
        <f t="shared" si="25"/>
        <v>1</v>
      </c>
      <c r="F108" s="3182"/>
      <c r="G108" s="2914">
        <f t="shared" si="26"/>
        <v>1</v>
      </c>
      <c r="H108" s="3182"/>
      <c r="I108" s="2914">
        <f t="shared" si="27"/>
        <v>1</v>
      </c>
      <c r="J108" s="3182"/>
      <c r="K108" s="2914">
        <f t="shared" si="28"/>
        <v>1</v>
      </c>
      <c r="L108" s="3182"/>
      <c r="M108" s="2914">
        <f t="shared" si="29"/>
        <v>1</v>
      </c>
      <c r="N108" s="3182"/>
      <c r="O108" s="2914">
        <f t="shared" si="30"/>
        <v>1</v>
      </c>
      <c r="P108" s="3182"/>
      <c r="Q108" s="2914">
        <f t="shared" si="31"/>
        <v>1</v>
      </c>
      <c r="R108" s="2665">
        <f t="shared" si="32"/>
        <v>0</v>
      </c>
      <c r="S108" s="2790">
        <f t="shared" si="23"/>
        <v>0</v>
      </c>
    </row>
    <row r="109" spans="1:19">
      <c r="A109" s="2916"/>
      <c r="B109" s="3180"/>
      <c r="C109" s="2914">
        <f t="shared" si="24"/>
        <v>1</v>
      </c>
      <c r="D109" s="3182"/>
      <c r="E109" s="2914">
        <f t="shared" si="25"/>
        <v>1</v>
      </c>
      <c r="F109" s="3182"/>
      <c r="G109" s="2914">
        <f t="shared" si="26"/>
        <v>1</v>
      </c>
      <c r="H109" s="3182"/>
      <c r="I109" s="2914">
        <f t="shared" si="27"/>
        <v>1</v>
      </c>
      <c r="J109" s="3182"/>
      <c r="K109" s="2914">
        <f t="shared" si="28"/>
        <v>1</v>
      </c>
      <c r="L109" s="3182"/>
      <c r="M109" s="2914">
        <f t="shared" si="29"/>
        <v>1</v>
      </c>
      <c r="N109" s="3182"/>
      <c r="O109" s="2914">
        <f t="shared" si="30"/>
        <v>1</v>
      </c>
      <c r="P109" s="3182"/>
      <c r="Q109" s="2914">
        <f t="shared" si="31"/>
        <v>1</v>
      </c>
      <c r="R109" s="2665">
        <f t="shared" si="32"/>
        <v>0</v>
      </c>
      <c r="S109" s="2790">
        <f t="shared" si="23"/>
        <v>0</v>
      </c>
    </row>
    <row r="110" spans="1:19">
      <c r="A110" s="2916"/>
      <c r="B110" s="3180"/>
      <c r="C110" s="2914">
        <f t="shared" si="24"/>
        <v>1</v>
      </c>
      <c r="D110" s="3182"/>
      <c r="E110" s="2914">
        <f t="shared" si="25"/>
        <v>1</v>
      </c>
      <c r="F110" s="3182"/>
      <c r="G110" s="2914">
        <f t="shared" si="26"/>
        <v>1</v>
      </c>
      <c r="H110" s="3182"/>
      <c r="I110" s="2914">
        <f t="shared" si="27"/>
        <v>1</v>
      </c>
      <c r="J110" s="3182"/>
      <c r="K110" s="2914">
        <f t="shared" si="28"/>
        <v>1</v>
      </c>
      <c r="L110" s="3182"/>
      <c r="M110" s="2914">
        <f t="shared" si="29"/>
        <v>1</v>
      </c>
      <c r="N110" s="3182"/>
      <c r="O110" s="2914">
        <f t="shared" si="30"/>
        <v>1</v>
      </c>
      <c r="P110" s="3182"/>
      <c r="Q110" s="2914">
        <f t="shared" si="31"/>
        <v>1</v>
      </c>
      <c r="R110" s="2665">
        <f t="shared" si="32"/>
        <v>0</v>
      </c>
      <c r="S110" s="2790">
        <f t="shared" si="23"/>
        <v>0</v>
      </c>
    </row>
    <row r="111" spans="1:19">
      <c r="A111" s="2916"/>
      <c r="B111" s="3180"/>
      <c r="C111" s="2914">
        <f t="shared" si="24"/>
        <v>1</v>
      </c>
      <c r="D111" s="3182"/>
      <c r="E111" s="2914">
        <f t="shared" si="25"/>
        <v>1</v>
      </c>
      <c r="F111" s="3182"/>
      <c r="G111" s="2914">
        <f t="shared" si="26"/>
        <v>1</v>
      </c>
      <c r="H111" s="3182"/>
      <c r="I111" s="2914">
        <f t="shared" si="27"/>
        <v>1</v>
      </c>
      <c r="J111" s="3182"/>
      <c r="K111" s="2914">
        <f t="shared" si="28"/>
        <v>1</v>
      </c>
      <c r="L111" s="3182"/>
      <c r="M111" s="2914">
        <f t="shared" si="29"/>
        <v>1</v>
      </c>
      <c r="N111" s="3182"/>
      <c r="O111" s="2914">
        <f t="shared" si="30"/>
        <v>1</v>
      </c>
      <c r="P111" s="3182"/>
      <c r="Q111" s="2914">
        <f t="shared" si="31"/>
        <v>1</v>
      </c>
      <c r="R111" s="2665">
        <f t="shared" si="32"/>
        <v>0</v>
      </c>
      <c r="S111" s="2790">
        <f t="shared" si="23"/>
        <v>0</v>
      </c>
    </row>
    <row r="112" spans="1:19">
      <c r="A112" s="2916"/>
      <c r="B112" s="3180"/>
      <c r="C112" s="2914">
        <f t="shared" si="24"/>
        <v>1</v>
      </c>
      <c r="D112" s="3182"/>
      <c r="E112" s="2914">
        <f t="shared" si="25"/>
        <v>1</v>
      </c>
      <c r="F112" s="3182"/>
      <c r="G112" s="2914">
        <f t="shared" si="26"/>
        <v>1</v>
      </c>
      <c r="H112" s="3182"/>
      <c r="I112" s="2914">
        <f t="shared" si="27"/>
        <v>1</v>
      </c>
      <c r="J112" s="3182"/>
      <c r="K112" s="2914">
        <f t="shared" si="28"/>
        <v>1</v>
      </c>
      <c r="L112" s="3182"/>
      <c r="M112" s="2914">
        <f t="shared" si="29"/>
        <v>1</v>
      </c>
      <c r="N112" s="3182"/>
      <c r="O112" s="2914">
        <f t="shared" si="30"/>
        <v>1</v>
      </c>
      <c r="P112" s="3182"/>
      <c r="Q112" s="2914">
        <f t="shared" si="31"/>
        <v>1</v>
      </c>
      <c r="R112" s="2665">
        <f t="shared" si="32"/>
        <v>0</v>
      </c>
      <c r="S112" s="2790">
        <f t="shared" si="23"/>
        <v>0</v>
      </c>
    </row>
    <row r="113" spans="1:19">
      <c r="A113" s="2916"/>
      <c r="B113" s="3180"/>
      <c r="C113" s="2914">
        <f t="shared" si="24"/>
        <v>1</v>
      </c>
      <c r="D113" s="3182"/>
      <c r="E113" s="2914">
        <f t="shared" si="25"/>
        <v>1</v>
      </c>
      <c r="F113" s="3182"/>
      <c r="G113" s="2914">
        <f t="shared" si="26"/>
        <v>1</v>
      </c>
      <c r="H113" s="3182"/>
      <c r="I113" s="2914">
        <f t="shared" si="27"/>
        <v>1</v>
      </c>
      <c r="J113" s="3182"/>
      <c r="K113" s="2914">
        <f t="shared" si="28"/>
        <v>1</v>
      </c>
      <c r="L113" s="3182"/>
      <c r="M113" s="2914">
        <f t="shared" si="29"/>
        <v>1</v>
      </c>
      <c r="N113" s="3182"/>
      <c r="O113" s="2914">
        <f t="shared" si="30"/>
        <v>1</v>
      </c>
      <c r="P113" s="3182"/>
      <c r="Q113" s="2914">
        <f t="shared" si="31"/>
        <v>1</v>
      </c>
      <c r="R113" s="2665">
        <f t="shared" si="32"/>
        <v>0</v>
      </c>
      <c r="S113" s="2790">
        <f t="shared" si="23"/>
        <v>0</v>
      </c>
    </row>
    <row r="114" spans="1:19">
      <c r="A114" s="2916"/>
      <c r="B114" s="3180"/>
      <c r="C114" s="2914">
        <f t="shared" si="24"/>
        <v>1</v>
      </c>
      <c r="D114" s="3182"/>
      <c r="E114" s="2914">
        <f t="shared" si="25"/>
        <v>1</v>
      </c>
      <c r="F114" s="3182"/>
      <c r="G114" s="2914">
        <f t="shared" si="26"/>
        <v>1</v>
      </c>
      <c r="H114" s="3182"/>
      <c r="I114" s="2914">
        <f t="shared" si="27"/>
        <v>1</v>
      </c>
      <c r="J114" s="3182"/>
      <c r="K114" s="2914">
        <f t="shared" si="28"/>
        <v>1</v>
      </c>
      <c r="L114" s="3182"/>
      <c r="M114" s="2914">
        <f t="shared" si="29"/>
        <v>1</v>
      </c>
      <c r="N114" s="3182"/>
      <c r="O114" s="2914">
        <f t="shared" si="30"/>
        <v>1</v>
      </c>
      <c r="P114" s="3182"/>
      <c r="Q114" s="2914">
        <f t="shared" si="31"/>
        <v>1</v>
      </c>
      <c r="R114" s="2665">
        <f t="shared" si="32"/>
        <v>0</v>
      </c>
      <c r="S114" s="2790">
        <f t="shared" si="23"/>
        <v>0</v>
      </c>
    </row>
    <row r="115" spans="1:19">
      <c r="A115" s="2916"/>
      <c r="B115" s="3180"/>
      <c r="C115" s="2914">
        <f t="shared" si="24"/>
        <v>1</v>
      </c>
      <c r="D115" s="3182"/>
      <c r="E115" s="2914">
        <f t="shared" si="25"/>
        <v>1</v>
      </c>
      <c r="F115" s="3182"/>
      <c r="G115" s="2914">
        <f t="shared" si="26"/>
        <v>1</v>
      </c>
      <c r="H115" s="3182"/>
      <c r="I115" s="2914">
        <f t="shared" si="27"/>
        <v>1</v>
      </c>
      <c r="J115" s="3182"/>
      <c r="K115" s="2914">
        <f t="shared" si="28"/>
        <v>1</v>
      </c>
      <c r="L115" s="3182"/>
      <c r="M115" s="2914">
        <f t="shared" si="29"/>
        <v>1</v>
      </c>
      <c r="N115" s="3182"/>
      <c r="O115" s="2914">
        <f t="shared" si="30"/>
        <v>1</v>
      </c>
      <c r="P115" s="3182"/>
      <c r="Q115" s="2914">
        <f t="shared" si="31"/>
        <v>1</v>
      </c>
      <c r="R115" s="2665">
        <f t="shared" si="32"/>
        <v>0</v>
      </c>
      <c r="S115" s="2790">
        <f t="shared" si="23"/>
        <v>0</v>
      </c>
    </row>
    <row r="116" spans="1:19">
      <c r="A116" s="2916"/>
      <c r="B116" s="3180"/>
      <c r="C116" s="2914">
        <f t="shared" si="24"/>
        <v>1</v>
      </c>
      <c r="D116" s="3182"/>
      <c r="E116" s="2914">
        <f t="shared" si="25"/>
        <v>1</v>
      </c>
      <c r="F116" s="3182"/>
      <c r="G116" s="2914">
        <f t="shared" si="26"/>
        <v>1</v>
      </c>
      <c r="H116" s="3182"/>
      <c r="I116" s="2914">
        <f t="shared" si="27"/>
        <v>1</v>
      </c>
      <c r="J116" s="3182"/>
      <c r="K116" s="2914">
        <f t="shared" si="28"/>
        <v>1</v>
      </c>
      <c r="L116" s="3182"/>
      <c r="M116" s="2914">
        <f t="shared" si="29"/>
        <v>1</v>
      </c>
      <c r="N116" s="3182"/>
      <c r="O116" s="2914">
        <f t="shared" si="30"/>
        <v>1</v>
      </c>
      <c r="P116" s="3182"/>
      <c r="Q116" s="2914">
        <f t="shared" si="31"/>
        <v>1</v>
      </c>
      <c r="R116" s="2665">
        <f t="shared" si="32"/>
        <v>0</v>
      </c>
      <c r="S116" s="2790">
        <f t="shared" si="23"/>
        <v>0</v>
      </c>
    </row>
    <row r="117" spans="1:19">
      <c r="A117" s="2916"/>
      <c r="B117" s="3180"/>
      <c r="C117" s="2914">
        <f t="shared" si="24"/>
        <v>1</v>
      </c>
      <c r="D117" s="3182"/>
      <c r="E117" s="2914">
        <f t="shared" si="25"/>
        <v>1</v>
      </c>
      <c r="F117" s="3182"/>
      <c r="G117" s="2914">
        <f t="shared" si="26"/>
        <v>1</v>
      </c>
      <c r="H117" s="3182"/>
      <c r="I117" s="2914">
        <f t="shared" si="27"/>
        <v>1</v>
      </c>
      <c r="J117" s="3182"/>
      <c r="K117" s="2914">
        <f t="shared" si="28"/>
        <v>1</v>
      </c>
      <c r="L117" s="3182"/>
      <c r="M117" s="2914">
        <f t="shared" si="29"/>
        <v>1</v>
      </c>
      <c r="N117" s="3182"/>
      <c r="O117" s="2914">
        <f t="shared" si="30"/>
        <v>1</v>
      </c>
      <c r="P117" s="3182"/>
      <c r="Q117" s="2914">
        <f t="shared" si="31"/>
        <v>1</v>
      </c>
      <c r="R117" s="2665">
        <f t="shared" si="32"/>
        <v>0</v>
      </c>
      <c r="S117" s="2790">
        <f t="shared" si="23"/>
        <v>0</v>
      </c>
    </row>
    <row r="118" spans="1:19">
      <c r="A118" s="2916"/>
      <c r="B118" s="3180"/>
      <c r="C118" s="2914">
        <f t="shared" si="24"/>
        <v>1</v>
      </c>
      <c r="D118" s="3182"/>
      <c r="E118" s="2914">
        <f t="shared" si="25"/>
        <v>1</v>
      </c>
      <c r="F118" s="3182"/>
      <c r="G118" s="2914">
        <f t="shared" si="26"/>
        <v>1</v>
      </c>
      <c r="H118" s="3182"/>
      <c r="I118" s="2914">
        <f t="shared" si="27"/>
        <v>1</v>
      </c>
      <c r="J118" s="3182"/>
      <c r="K118" s="2914">
        <f t="shared" si="28"/>
        <v>1</v>
      </c>
      <c r="L118" s="3182"/>
      <c r="M118" s="2914">
        <f t="shared" si="29"/>
        <v>1</v>
      </c>
      <c r="N118" s="3182"/>
      <c r="O118" s="2914">
        <f t="shared" si="30"/>
        <v>1</v>
      </c>
      <c r="P118" s="3182"/>
      <c r="Q118" s="2914">
        <f t="shared" si="31"/>
        <v>1</v>
      </c>
      <c r="R118" s="2665">
        <f t="shared" si="32"/>
        <v>0</v>
      </c>
      <c r="S118" s="2790">
        <f t="shared" si="23"/>
        <v>0</v>
      </c>
    </row>
    <row r="119" spans="1:19">
      <c r="A119" s="2916"/>
      <c r="B119" s="3180"/>
      <c r="C119" s="2914">
        <f t="shared" si="24"/>
        <v>1</v>
      </c>
      <c r="D119" s="3182"/>
      <c r="E119" s="2914">
        <f t="shared" si="25"/>
        <v>1</v>
      </c>
      <c r="F119" s="3182"/>
      <c r="G119" s="2914">
        <f t="shared" si="26"/>
        <v>1</v>
      </c>
      <c r="H119" s="3182"/>
      <c r="I119" s="2914">
        <f t="shared" si="27"/>
        <v>1</v>
      </c>
      <c r="J119" s="3182"/>
      <c r="K119" s="2914">
        <f t="shared" si="28"/>
        <v>1</v>
      </c>
      <c r="L119" s="3182"/>
      <c r="M119" s="2914">
        <f t="shared" si="29"/>
        <v>1</v>
      </c>
      <c r="N119" s="3182"/>
      <c r="O119" s="2914">
        <f t="shared" si="30"/>
        <v>1</v>
      </c>
      <c r="P119" s="3182"/>
      <c r="Q119" s="2914">
        <f t="shared" si="31"/>
        <v>1</v>
      </c>
      <c r="R119" s="2665">
        <f t="shared" si="32"/>
        <v>0</v>
      </c>
      <c r="S119" s="2790">
        <f t="shared" si="23"/>
        <v>0</v>
      </c>
    </row>
    <row r="120" spans="1:19">
      <c r="A120" s="2916"/>
      <c r="B120" s="3180"/>
      <c r="C120" s="2914">
        <f t="shared" si="24"/>
        <v>1</v>
      </c>
      <c r="D120" s="3182"/>
      <c r="E120" s="2914">
        <f t="shared" si="25"/>
        <v>1</v>
      </c>
      <c r="F120" s="3182"/>
      <c r="G120" s="2914">
        <f t="shared" si="26"/>
        <v>1</v>
      </c>
      <c r="H120" s="3182"/>
      <c r="I120" s="2914">
        <f t="shared" si="27"/>
        <v>1</v>
      </c>
      <c r="J120" s="3182"/>
      <c r="K120" s="2914">
        <f t="shared" si="28"/>
        <v>1</v>
      </c>
      <c r="L120" s="3182"/>
      <c r="M120" s="2914">
        <f t="shared" si="29"/>
        <v>1</v>
      </c>
      <c r="N120" s="3182"/>
      <c r="O120" s="2914">
        <f t="shared" si="30"/>
        <v>1</v>
      </c>
      <c r="P120" s="3182"/>
      <c r="Q120" s="2914">
        <f t="shared" si="31"/>
        <v>1</v>
      </c>
      <c r="R120" s="2665">
        <f t="shared" si="32"/>
        <v>0</v>
      </c>
      <c r="S120" s="2790">
        <f t="shared" si="23"/>
        <v>0</v>
      </c>
    </row>
    <row r="121" spans="1:19">
      <c r="A121" s="2916"/>
      <c r="B121" s="3180"/>
      <c r="C121" s="2914">
        <f t="shared" si="24"/>
        <v>1</v>
      </c>
      <c r="D121" s="3182"/>
      <c r="E121" s="2914">
        <f t="shared" si="25"/>
        <v>1</v>
      </c>
      <c r="F121" s="3182"/>
      <c r="G121" s="2914">
        <f t="shared" si="26"/>
        <v>1</v>
      </c>
      <c r="H121" s="3182"/>
      <c r="I121" s="2914">
        <f t="shared" si="27"/>
        <v>1</v>
      </c>
      <c r="J121" s="3182"/>
      <c r="K121" s="2914">
        <f t="shared" si="28"/>
        <v>1</v>
      </c>
      <c r="L121" s="3182"/>
      <c r="M121" s="2914">
        <f t="shared" si="29"/>
        <v>1</v>
      </c>
      <c r="N121" s="3182"/>
      <c r="O121" s="2914">
        <f t="shared" si="30"/>
        <v>1</v>
      </c>
      <c r="P121" s="3182"/>
      <c r="Q121" s="2914">
        <f t="shared" si="31"/>
        <v>1</v>
      </c>
      <c r="R121" s="2665">
        <f t="shared" si="32"/>
        <v>0</v>
      </c>
      <c r="S121" s="2790">
        <f t="shared" si="23"/>
        <v>0</v>
      </c>
    </row>
    <row r="122" spans="1:19">
      <c r="A122" s="2916"/>
      <c r="B122" s="3180"/>
      <c r="C122" s="2914">
        <f t="shared" si="24"/>
        <v>1</v>
      </c>
      <c r="D122" s="3182"/>
      <c r="E122" s="2914">
        <f t="shared" si="25"/>
        <v>1</v>
      </c>
      <c r="F122" s="3182"/>
      <c r="G122" s="2914">
        <f t="shared" si="26"/>
        <v>1</v>
      </c>
      <c r="H122" s="3182"/>
      <c r="I122" s="2914">
        <f t="shared" si="27"/>
        <v>1</v>
      </c>
      <c r="J122" s="3182"/>
      <c r="K122" s="2914">
        <f t="shared" si="28"/>
        <v>1</v>
      </c>
      <c r="L122" s="3182"/>
      <c r="M122" s="2914">
        <f t="shared" si="29"/>
        <v>1</v>
      </c>
      <c r="N122" s="3182"/>
      <c r="O122" s="2914">
        <f t="shared" si="30"/>
        <v>1</v>
      </c>
      <c r="P122" s="3182"/>
      <c r="Q122" s="2914">
        <f t="shared" si="31"/>
        <v>1</v>
      </c>
      <c r="R122" s="2665">
        <f t="shared" si="32"/>
        <v>0</v>
      </c>
      <c r="S122" s="2790">
        <f t="shared" si="23"/>
        <v>0</v>
      </c>
    </row>
    <row r="123" spans="1:19">
      <c r="A123" s="2916"/>
      <c r="B123" s="3180"/>
      <c r="C123" s="2914">
        <f t="shared" si="24"/>
        <v>1</v>
      </c>
      <c r="D123" s="3182"/>
      <c r="E123" s="2914">
        <f t="shared" si="25"/>
        <v>1</v>
      </c>
      <c r="F123" s="3182"/>
      <c r="G123" s="2914">
        <f t="shared" si="26"/>
        <v>1</v>
      </c>
      <c r="H123" s="3182"/>
      <c r="I123" s="2914">
        <f t="shared" si="27"/>
        <v>1</v>
      </c>
      <c r="J123" s="3182"/>
      <c r="K123" s="2914">
        <f t="shared" si="28"/>
        <v>1</v>
      </c>
      <c r="L123" s="3182"/>
      <c r="M123" s="2914">
        <f t="shared" si="29"/>
        <v>1</v>
      </c>
      <c r="N123" s="3182"/>
      <c r="O123" s="2914">
        <f t="shared" si="30"/>
        <v>1</v>
      </c>
      <c r="P123" s="3182"/>
      <c r="Q123" s="2914">
        <f t="shared" si="31"/>
        <v>1</v>
      </c>
      <c r="R123" s="2665">
        <f t="shared" si="32"/>
        <v>0</v>
      </c>
      <c r="S123" s="2790">
        <f t="shared" ref="S123:S186" si="33">ROUND(R123*B123/10000,0)</f>
        <v>0</v>
      </c>
    </row>
    <row r="124" spans="1:19">
      <c r="A124" s="2916"/>
      <c r="B124" s="3180"/>
      <c r="C124" s="2914">
        <f t="shared" si="24"/>
        <v>1</v>
      </c>
      <c r="D124" s="3182"/>
      <c r="E124" s="2914">
        <f t="shared" si="25"/>
        <v>1</v>
      </c>
      <c r="F124" s="3182"/>
      <c r="G124" s="2914">
        <f t="shared" si="26"/>
        <v>1</v>
      </c>
      <c r="H124" s="3182"/>
      <c r="I124" s="2914">
        <f t="shared" si="27"/>
        <v>1</v>
      </c>
      <c r="J124" s="3182"/>
      <c r="K124" s="2914">
        <f t="shared" si="28"/>
        <v>1</v>
      </c>
      <c r="L124" s="3182"/>
      <c r="M124" s="2914">
        <f t="shared" si="29"/>
        <v>1</v>
      </c>
      <c r="N124" s="3182"/>
      <c r="O124" s="2914">
        <f t="shared" si="30"/>
        <v>1</v>
      </c>
      <c r="P124" s="3182"/>
      <c r="Q124" s="2914">
        <f t="shared" si="31"/>
        <v>1</v>
      </c>
      <c r="R124" s="2665">
        <f t="shared" si="32"/>
        <v>0</v>
      </c>
      <c r="S124" s="2790">
        <f t="shared" si="33"/>
        <v>0</v>
      </c>
    </row>
    <row r="125" spans="1:19">
      <c r="A125" s="2916"/>
      <c r="B125" s="3180"/>
      <c r="C125" s="2914">
        <f t="shared" si="24"/>
        <v>1</v>
      </c>
      <c r="D125" s="3182"/>
      <c r="E125" s="2914">
        <f t="shared" si="25"/>
        <v>1</v>
      </c>
      <c r="F125" s="3182"/>
      <c r="G125" s="2914">
        <f t="shared" si="26"/>
        <v>1</v>
      </c>
      <c r="H125" s="3182"/>
      <c r="I125" s="2914">
        <f t="shared" si="27"/>
        <v>1</v>
      </c>
      <c r="J125" s="3182"/>
      <c r="K125" s="2914">
        <f t="shared" si="28"/>
        <v>1</v>
      </c>
      <c r="L125" s="3182"/>
      <c r="M125" s="2914">
        <f t="shared" si="29"/>
        <v>1</v>
      </c>
      <c r="N125" s="3182"/>
      <c r="O125" s="2914">
        <f t="shared" si="30"/>
        <v>1</v>
      </c>
      <c r="P125" s="3182"/>
      <c r="Q125" s="2914">
        <f t="shared" si="31"/>
        <v>1</v>
      </c>
      <c r="R125" s="2665">
        <f t="shared" si="32"/>
        <v>0</v>
      </c>
      <c r="S125" s="2790">
        <f t="shared" si="33"/>
        <v>0</v>
      </c>
    </row>
    <row r="126" spans="1:19">
      <c r="A126" s="2916"/>
      <c r="B126" s="3180"/>
      <c r="C126" s="2914">
        <f t="shared" si="24"/>
        <v>1</v>
      </c>
      <c r="D126" s="3182"/>
      <c r="E126" s="2914">
        <f t="shared" si="25"/>
        <v>1</v>
      </c>
      <c r="F126" s="3182"/>
      <c r="G126" s="2914">
        <f t="shared" si="26"/>
        <v>1</v>
      </c>
      <c r="H126" s="3182"/>
      <c r="I126" s="2914">
        <f t="shared" si="27"/>
        <v>1</v>
      </c>
      <c r="J126" s="3182"/>
      <c r="K126" s="2914">
        <f t="shared" si="28"/>
        <v>1</v>
      </c>
      <c r="L126" s="3182"/>
      <c r="M126" s="2914">
        <f t="shared" si="29"/>
        <v>1</v>
      </c>
      <c r="N126" s="3182"/>
      <c r="O126" s="2914">
        <f t="shared" si="30"/>
        <v>1</v>
      </c>
      <c r="P126" s="3182"/>
      <c r="Q126" s="2914">
        <f t="shared" si="31"/>
        <v>1</v>
      </c>
      <c r="R126" s="2665">
        <f t="shared" si="32"/>
        <v>0</v>
      </c>
      <c r="S126" s="2790">
        <f t="shared" si="33"/>
        <v>0</v>
      </c>
    </row>
    <row r="127" spans="1:19">
      <c r="A127" s="2916"/>
      <c r="B127" s="3180"/>
      <c r="C127" s="2914">
        <f t="shared" si="24"/>
        <v>1</v>
      </c>
      <c r="D127" s="3182"/>
      <c r="E127" s="2914">
        <f t="shared" si="25"/>
        <v>1</v>
      </c>
      <c r="F127" s="3182"/>
      <c r="G127" s="2914">
        <f t="shared" si="26"/>
        <v>1</v>
      </c>
      <c r="H127" s="3182"/>
      <c r="I127" s="2914">
        <f t="shared" si="27"/>
        <v>1</v>
      </c>
      <c r="J127" s="3182"/>
      <c r="K127" s="2914">
        <f t="shared" si="28"/>
        <v>1</v>
      </c>
      <c r="L127" s="3182"/>
      <c r="M127" s="2914">
        <f t="shared" si="29"/>
        <v>1</v>
      </c>
      <c r="N127" s="3182"/>
      <c r="O127" s="2914">
        <f t="shared" si="30"/>
        <v>1</v>
      </c>
      <c r="P127" s="3182"/>
      <c r="Q127" s="2914">
        <f t="shared" si="31"/>
        <v>1</v>
      </c>
      <c r="R127" s="2665">
        <f t="shared" si="32"/>
        <v>0</v>
      </c>
      <c r="S127" s="2790">
        <f t="shared" si="33"/>
        <v>0</v>
      </c>
    </row>
    <row r="128" spans="1:19">
      <c r="A128" s="2916"/>
      <c r="B128" s="3180"/>
      <c r="C128" s="2914">
        <f t="shared" si="24"/>
        <v>1</v>
      </c>
      <c r="D128" s="3182"/>
      <c r="E128" s="2914">
        <f t="shared" si="25"/>
        <v>1</v>
      </c>
      <c r="F128" s="3182"/>
      <c r="G128" s="2914">
        <f t="shared" si="26"/>
        <v>1</v>
      </c>
      <c r="H128" s="3182"/>
      <c r="I128" s="2914">
        <f t="shared" si="27"/>
        <v>1</v>
      </c>
      <c r="J128" s="3182"/>
      <c r="K128" s="2914">
        <f t="shared" si="28"/>
        <v>1</v>
      </c>
      <c r="L128" s="3182"/>
      <c r="M128" s="2914">
        <f t="shared" si="29"/>
        <v>1</v>
      </c>
      <c r="N128" s="3182"/>
      <c r="O128" s="2914">
        <f t="shared" si="30"/>
        <v>1</v>
      </c>
      <c r="P128" s="3182"/>
      <c r="Q128" s="2914">
        <f t="shared" si="31"/>
        <v>1</v>
      </c>
      <c r="R128" s="2665">
        <f t="shared" si="32"/>
        <v>0</v>
      </c>
      <c r="S128" s="2790">
        <f t="shared" si="33"/>
        <v>0</v>
      </c>
    </row>
    <row r="129" spans="1:19">
      <c r="A129" s="2916"/>
      <c r="B129" s="3180"/>
      <c r="C129" s="2914">
        <f t="shared" si="24"/>
        <v>1</v>
      </c>
      <c r="D129" s="3182"/>
      <c r="E129" s="2914">
        <f t="shared" si="25"/>
        <v>1</v>
      </c>
      <c r="F129" s="3182"/>
      <c r="G129" s="2914">
        <f t="shared" si="26"/>
        <v>1</v>
      </c>
      <c r="H129" s="3182"/>
      <c r="I129" s="2914">
        <f t="shared" si="27"/>
        <v>1</v>
      </c>
      <c r="J129" s="3182"/>
      <c r="K129" s="2914">
        <f t="shared" si="28"/>
        <v>1</v>
      </c>
      <c r="L129" s="3182"/>
      <c r="M129" s="2914">
        <f t="shared" si="29"/>
        <v>1</v>
      </c>
      <c r="N129" s="3182"/>
      <c r="O129" s="2914">
        <f t="shared" si="30"/>
        <v>1</v>
      </c>
      <c r="P129" s="3182"/>
      <c r="Q129" s="2914">
        <f t="shared" si="31"/>
        <v>1</v>
      </c>
      <c r="R129" s="2665">
        <f t="shared" si="32"/>
        <v>0</v>
      </c>
      <c r="S129" s="2790">
        <f t="shared" si="33"/>
        <v>0</v>
      </c>
    </row>
    <row r="130" spans="1:19">
      <c r="A130" s="2916"/>
      <c r="B130" s="3180"/>
      <c r="C130" s="2914">
        <f t="shared" si="24"/>
        <v>1</v>
      </c>
      <c r="D130" s="3182"/>
      <c r="E130" s="2914">
        <f t="shared" si="25"/>
        <v>1</v>
      </c>
      <c r="F130" s="3182"/>
      <c r="G130" s="2914">
        <f t="shared" si="26"/>
        <v>1</v>
      </c>
      <c r="H130" s="3182"/>
      <c r="I130" s="2914">
        <f t="shared" si="27"/>
        <v>1</v>
      </c>
      <c r="J130" s="3182"/>
      <c r="K130" s="2914">
        <f t="shared" si="28"/>
        <v>1</v>
      </c>
      <c r="L130" s="3182"/>
      <c r="M130" s="2914">
        <f t="shared" si="29"/>
        <v>1</v>
      </c>
      <c r="N130" s="3182"/>
      <c r="O130" s="2914">
        <f t="shared" si="30"/>
        <v>1</v>
      </c>
      <c r="P130" s="3182"/>
      <c r="Q130" s="2914">
        <f t="shared" si="31"/>
        <v>1</v>
      </c>
      <c r="R130" s="2665">
        <f t="shared" si="32"/>
        <v>0</v>
      </c>
      <c r="S130" s="2790">
        <f t="shared" si="33"/>
        <v>0</v>
      </c>
    </row>
    <row r="131" spans="1:19">
      <c r="A131" s="2916"/>
      <c r="B131" s="3180"/>
      <c r="C131" s="2914">
        <f t="shared" si="24"/>
        <v>1</v>
      </c>
      <c r="D131" s="3182"/>
      <c r="E131" s="2914">
        <f t="shared" si="25"/>
        <v>1</v>
      </c>
      <c r="F131" s="3182"/>
      <c r="G131" s="2914">
        <f t="shared" si="26"/>
        <v>1</v>
      </c>
      <c r="H131" s="3182"/>
      <c r="I131" s="2914">
        <f t="shared" si="27"/>
        <v>1</v>
      </c>
      <c r="J131" s="3182"/>
      <c r="K131" s="2914">
        <f t="shared" si="28"/>
        <v>1</v>
      </c>
      <c r="L131" s="3182"/>
      <c r="M131" s="2914">
        <f t="shared" si="29"/>
        <v>1</v>
      </c>
      <c r="N131" s="3182"/>
      <c r="O131" s="2914">
        <f t="shared" si="30"/>
        <v>1</v>
      </c>
      <c r="P131" s="3182"/>
      <c r="Q131" s="2914">
        <f t="shared" si="31"/>
        <v>1</v>
      </c>
      <c r="R131" s="2665">
        <f t="shared" si="32"/>
        <v>0</v>
      </c>
      <c r="S131" s="2790">
        <f t="shared" si="33"/>
        <v>0</v>
      </c>
    </row>
    <row r="132" spans="1:19">
      <c r="A132" s="2916"/>
      <c r="B132" s="3180"/>
      <c r="C132" s="2914">
        <f t="shared" si="24"/>
        <v>1</v>
      </c>
      <c r="D132" s="3182"/>
      <c r="E132" s="2914">
        <f t="shared" si="25"/>
        <v>1</v>
      </c>
      <c r="F132" s="3182"/>
      <c r="G132" s="2914">
        <f t="shared" si="26"/>
        <v>1</v>
      </c>
      <c r="H132" s="3182"/>
      <c r="I132" s="2914">
        <f t="shared" si="27"/>
        <v>1</v>
      </c>
      <c r="J132" s="3182"/>
      <c r="K132" s="2914">
        <f t="shared" si="28"/>
        <v>1</v>
      </c>
      <c r="L132" s="3182"/>
      <c r="M132" s="2914">
        <f t="shared" si="29"/>
        <v>1</v>
      </c>
      <c r="N132" s="3182"/>
      <c r="O132" s="2914">
        <f t="shared" si="30"/>
        <v>1</v>
      </c>
      <c r="P132" s="3182"/>
      <c r="Q132" s="2914">
        <f t="shared" si="31"/>
        <v>1</v>
      </c>
      <c r="R132" s="2665">
        <f t="shared" si="32"/>
        <v>0</v>
      </c>
      <c r="S132" s="2790">
        <f t="shared" si="33"/>
        <v>0</v>
      </c>
    </row>
    <row r="133" spans="1:19">
      <c r="A133" s="2916"/>
      <c r="B133" s="3180"/>
      <c r="C133" s="2914">
        <f t="shared" si="24"/>
        <v>1</v>
      </c>
      <c r="D133" s="3182"/>
      <c r="E133" s="2914">
        <f t="shared" si="25"/>
        <v>1</v>
      </c>
      <c r="F133" s="3182"/>
      <c r="G133" s="2914">
        <f t="shared" si="26"/>
        <v>1</v>
      </c>
      <c r="H133" s="3182"/>
      <c r="I133" s="2914">
        <f t="shared" si="27"/>
        <v>1</v>
      </c>
      <c r="J133" s="3182"/>
      <c r="K133" s="2914">
        <f t="shared" si="28"/>
        <v>1</v>
      </c>
      <c r="L133" s="3182"/>
      <c r="M133" s="2914">
        <f t="shared" si="29"/>
        <v>1</v>
      </c>
      <c r="N133" s="3182"/>
      <c r="O133" s="2914">
        <f t="shared" si="30"/>
        <v>1</v>
      </c>
      <c r="P133" s="3182"/>
      <c r="Q133" s="2914">
        <f t="shared" si="31"/>
        <v>1</v>
      </c>
      <c r="R133" s="2665">
        <f t="shared" si="32"/>
        <v>0</v>
      </c>
      <c r="S133" s="2790">
        <f t="shared" si="33"/>
        <v>0</v>
      </c>
    </row>
    <row r="134" spans="1:19">
      <c r="A134" s="2916"/>
      <c r="B134" s="3180"/>
      <c r="C134" s="2914">
        <f t="shared" si="24"/>
        <v>1</v>
      </c>
      <c r="D134" s="3182"/>
      <c r="E134" s="2914">
        <f t="shared" si="25"/>
        <v>1</v>
      </c>
      <c r="F134" s="3182"/>
      <c r="G134" s="2914">
        <f t="shared" si="26"/>
        <v>1</v>
      </c>
      <c r="H134" s="3182"/>
      <c r="I134" s="2914">
        <f t="shared" si="27"/>
        <v>1</v>
      </c>
      <c r="J134" s="3182"/>
      <c r="K134" s="2914">
        <f t="shared" si="28"/>
        <v>1</v>
      </c>
      <c r="L134" s="3182"/>
      <c r="M134" s="2914">
        <f t="shared" si="29"/>
        <v>1</v>
      </c>
      <c r="N134" s="3182"/>
      <c r="O134" s="2914">
        <f t="shared" si="30"/>
        <v>1</v>
      </c>
      <c r="P134" s="3182"/>
      <c r="Q134" s="2914">
        <f t="shared" si="31"/>
        <v>1</v>
      </c>
      <c r="R134" s="2665">
        <f t="shared" si="32"/>
        <v>0</v>
      </c>
      <c r="S134" s="2790">
        <f t="shared" si="33"/>
        <v>0</v>
      </c>
    </row>
    <row r="135" spans="1:19">
      <c r="A135" s="2916"/>
      <c r="B135" s="3180"/>
      <c r="C135" s="2914">
        <f t="shared" si="24"/>
        <v>1</v>
      </c>
      <c r="D135" s="3182"/>
      <c r="E135" s="2914">
        <f t="shared" si="25"/>
        <v>1</v>
      </c>
      <c r="F135" s="3182"/>
      <c r="G135" s="2914">
        <f t="shared" si="26"/>
        <v>1</v>
      </c>
      <c r="H135" s="3182"/>
      <c r="I135" s="2914">
        <f t="shared" si="27"/>
        <v>1</v>
      </c>
      <c r="J135" s="3182"/>
      <c r="K135" s="2914">
        <f t="shared" si="28"/>
        <v>1</v>
      </c>
      <c r="L135" s="3182"/>
      <c r="M135" s="2914">
        <f t="shared" si="29"/>
        <v>1</v>
      </c>
      <c r="N135" s="3182"/>
      <c r="O135" s="2914">
        <f t="shared" si="30"/>
        <v>1</v>
      </c>
      <c r="P135" s="3182"/>
      <c r="Q135" s="2914">
        <f t="shared" si="31"/>
        <v>1</v>
      </c>
      <c r="R135" s="2665">
        <f t="shared" si="32"/>
        <v>0</v>
      </c>
      <c r="S135" s="2790">
        <f t="shared" si="33"/>
        <v>0</v>
      </c>
    </row>
    <row r="136" spans="1:19">
      <c r="A136" s="2916"/>
      <c r="B136" s="3180"/>
      <c r="C136" s="2914">
        <f t="shared" si="24"/>
        <v>1</v>
      </c>
      <c r="D136" s="3182"/>
      <c r="E136" s="2914">
        <f t="shared" si="25"/>
        <v>1</v>
      </c>
      <c r="F136" s="3182"/>
      <c r="G136" s="2914">
        <f t="shared" si="26"/>
        <v>1</v>
      </c>
      <c r="H136" s="3182"/>
      <c r="I136" s="2914">
        <f t="shared" si="27"/>
        <v>1</v>
      </c>
      <c r="J136" s="3182"/>
      <c r="K136" s="2914">
        <f t="shared" si="28"/>
        <v>1</v>
      </c>
      <c r="L136" s="3182"/>
      <c r="M136" s="2914">
        <f t="shared" si="29"/>
        <v>1</v>
      </c>
      <c r="N136" s="3182"/>
      <c r="O136" s="2914">
        <f t="shared" si="30"/>
        <v>1</v>
      </c>
      <c r="P136" s="3182"/>
      <c r="Q136" s="2914">
        <f t="shared" si="31"/>
        <v>1</v>
      </c>
      <c r="R136" s="2665">
        <f t="shared" si="32"/>
        <v>0</v>
      </c>
      <c r="S136" s="2790">
        <f t="shared" si="33"/>
        <v>0</v>
      </c>
    </row>
    <row r="137" spans="1:19">
      <c r="A137" s="2916"/>
      <c r="B137" s="3180"/>
      <c r="C137" s="2914">
        <f t="shared" si="24"/>
        <v>1</v>
      </c>
      <c r="D137" s="3182"/>
      <c r="E137" s="2914">
        <f t="shared" si="25"/>
        <v>1</v>
      </c>
      <c r="F137" s="3182"/>
      <c r="G137" s="2914">
        <f t="shared" si="26"/>
        <v>1</v>
      </c>
      <c r="H137" s="3182"/>
      <c r="I137" s="2914">
        <f t="shared" si="27"/>
        <v>1</v>
      </c>
      <c r="J137" s="3182"/>
      <c r="K137" s="2914">
        <f t="shared" si="28"/>
        <v>1</v>
      </c>
      <c r="L137" s="3182"/>
      <c r="M137" s="2914">
        <f t="shared" si="29"/>
        <v>1</v>
      </c>
      <c r="N137" s="3182"/>
      <c r="O137" s="2914">
        <f t="shared" si="30"/>
        <v>1</v>
      </c>
      <c r="P137" s="3182"/>
      <c r="Q137" s="2914">
        <f t="shared" si="31"/>
        <v>1</v>
      </c>
      <c r="R137" s="2665">
        <f t="shared" si="32"/>
        <v>0</v>
      </c>
      <c r="S137" s="2790">
        <f t="shared" si="33"/>
        <v>0</v>
      </c>
    </row>
    <row r="138" spans="1:19">
      <c r="A138" s="2916"/>
      <c r="B138" s="3180"/>
      <c r="C138" s="2914">
        <f t="shared" si="24"/>
        <v>1</v>
      </c>
      <c r="D138" s="3182"/>
      <c r="E138" s="2914">
        <f t="shared" si="25"/>
        <v>1</v>
      </c>
      <c r="F138" s="3182"/>
      <c r="G138" s="2914">
        <f t="shared" si="26"/>
        <v>1</v>
      </c>
      <c r="H138" s="3182"/>
      <c r="I138" s="2914">
        <f t="shared" si="27"/>
        <v>1</v>
      </c>
      <c r="J138" s="3182"/>
      <c r="K138" s="2914">
        <f t="shared" si="28"/>
        <v>1</v>
      </c>
      <c r="L138" s="3182"/>
      <c r="M138" s="2914">
        <f t="shared" si="29"/>
        <v>1</v>
      </c>
      <c r="N138" s="3182"/>
      <c r="O138" s="2914">
        <f t="shared" si="30"/>
        <v>1</v>
      </c>
      <c r="P138" s="3182"/>
      <c r="Q138" s="2914">
        <f t="shared" si="31"/>
        <v>1</v>
      </c>
      <c r="R138" s="2665">
        <f t="shared" si="32"/>
        <v>0</v>
      </c>
      <c r="S138" s="2790">
        <f t="shared" si="33"/>
        <v>0</v>
      </c>
    </row>
    <row r="139" spans="1:19">
      <c r="A139" s="2916"/>
      <c r="B139" s="3180"/>
      <c r="C139" s="2914">
        <f t="shared" si="24"/>
        <v>1</v>
      </c>
      <c r="D139" s="3182"/>
      <c r="E139" s="2914">
        <f t="shared" si="25"/>
        <v>1</v>
      </c>
      <c r="F139" s="3182"/>
      <c r="G139" s="2914">
        <f t="shared" si="26"/>
        <v>1</v>
      </c>
      <c r="H139" s="3182"/>
      <c r="I139" s="2914">
        <f t="shared" si="27"/>
        <v>1</v>
      </c>
      <c r="J139" s="3182"/>
      <c r="K139" s="2914">
        <f t="shared" si="28"/>
        <v>1</v>
      </c>
      <c r="L139" s="3182"/>
      <c r="M139" s="2914">
        <f t="shared" si="29"/>
        <v>1</v>
      </c>
      <c r="N139" s="3182"/>
      <c r="O139" s="2914">
        <f t="shared" si="30"/>
        <v>1</v>
      </c>
      <c r="P139" s="3182"/>
      <c r="Q139" s="2914">
        <f t="shared" si="31"/>
        <v>1</v>
      </c>
      <c r="R139" s="2665">
        <f t="shared" si="32"/>
        <v>0</v>
      </c>
      <c r="S139" s="2790">
        <f t="shared" si="33"/>
        <v>0</v>
      </c>
    </row>
    <row r="140" spans="1:19">
      <c r="A140" s="2916"/>
      <c r="B140" s="3180"/>
      <c r="C140" s="2914">
        <f t="shared" si="24"/>
        <v>1</v>
      </c>
      <c r="D140" s="3182"/>
      <c r="E140" s="2914">
        <f t="shared" si="25"/>
        <v>1</v>
      </c>
      <c r="F140" s="3182"/>
      <c r="G140" s="2914">
        <f t="shared" si="26"/>
        <v>1</v>
      </c>
      <c r="H140" s="3182"/>
      <c r="I140" s="2914">
        <f t="shared" si="27"/>
        <v>1</v>
      </c>
      <c r="J140" s="3182"/>
      <c r="K140" s="2914">
        <f t="shared" si="28"/>
        <v>1</v>
      </c>
      <c r="L140" s="3182"/>
      <c r="M140" s="2914">
        <f t="shared" si="29"/>
        <v>1</v>
      </c>
      <c r="N140" s="3182"/>
      <c r="O140" s="2914">
        <f t="shared" si="30"/>
        <v>1</v>
      </c>
      <c r="P140" s="3182"/>
      <c r="Q140" s="2914">
        <f t="shared" si="31"/>
        <v>1</v>
      </c>
      <c r="R140" s="2665">
        <f t="shared" si="32"/>
        <v>0</v>
      </c>
      <c r="S140" s="2790">
        <f t="shared" si="33"/>
        <v>0</v>
      </c>
    </row>
    <row r="141" spans="1:19">
      <c r="A141" s="2916"/>
      <c r="B141" s="3180"/>
      <c r="C141" s="2914">
        <f t="shared" si="24"/>
        <v>1</v>
      </c>
      <c r="D141" s="3182"/>
      <c r="E141" s="2914">
        <f t="shared" si="25"/>
        <v>1</v>
      </c>
      <c r="F141" s="3182"/>
      <c r="G141" s="2914">
        <f t="shared" si="26"/>
        <v>1</v>
      </c>
      <c r="H141" s="3182"/>
      <c r="I141" s="2914">
        <f t="shared" si="27"/>
        <v>1</v>
      </c>
      <c r="J141" s="3182"/>
      <c r="K141" s="2914">
        <f t="shared" si="28"/>
        <v>1</v>
      </c>
      <c r="L141" s="3182"/>
      <c r="M141" s="2914">
        <f t="shared" si="29"/>
        <v>1</v>
      </c>
      <c r="N141" s="3182"/>
      <c r="O141" s="2914">
        <f t="shared" si="30"/>
        <v>1</v>
      </c>
      <c r="P141" s="3182"/>
      <c r="Q141" s="2914">
        <f t="shared" si="31"/>
        <v>1</v>
      </c>
      <c r="R141" s="2665">
        <f t="shared" si="32"/>
        <v>0</v>
      </c>
      <c r="S141" s="2790">
        <f t="shared" si="33"/>
        <v>0</v>
      </c>
    </row>
    <row r="142" spans="1:19">
      <c r="A142" s="2916"/>
      <c r="B142" s="3180"/>
      <c r="C142" s="2914">
        <f t="shared" si="24"/>
        <v>1</v>
      </c>
      <c r="D142" s="3182"/>
      <c r="E142" s="2914">
        <f t="shared" si="25"/>
        <v>1</v>
      </c>
      <c r="F142" s="3182"/>
      <c r="G142" s="2914">
        <f t="shared" si="26"/>
        <v>1</v>
      </c>
      <c r="H142" s="3182"/>
      <c r="I142" s="2914">
        <f t="shared" si="27"/>
        <v>1</v>
      </c>
      <c r="J142" s="3182"/>
      <c r="K142" s="2914">
        <f t="shared" si="28"/>
        <v>1</v>
      </c>
      <c r="L142" s="3182"/>
      <c r="M142" s="2914">
        <f t="shared" si="29"/>
        <v>1</v>
      </c>
      <c r="N142" s="3182"/>
      <c r="O142" s="2914">
        <f t="shared" si="30"/>
        <v>1</v>
      </c>
      <c r="P142" s="3182"/>
      <c r="Q142" s="2914">
        <f t="shared" si="31"/>
        <v>1</v>
      </c>
      <c r="R142" s="2665">
        <f t="shared" si="32"/>
        <v>0</v>
      </c>
      <c r="S142" s="2790">
        <f t="shared" si="33"/>
        <v>0</v>
      </c>
    </row>
    <row r="143" spans="1:19">
      <c r="A143" s="2916"/>
      <c r="B143" s="3180"/>
      <c r="C143" s="2914">
        <f t="shared" si="24"/>
        <v>1</v>
      </c>
      <c r="D143" s="3182"/>
      <c r="E143" s="2914">
        <f t="shared" si="25"/>
        <v>1</v>
      </c>
      <c r="F143" s="3182"/>
      <c r="G143" s="2914">
        <f t="shared" si="26"/>
        <v>1</v>
      </c>
      <c r="H143" s="3182"/>
      <c r="I143" s="2914">
        <f t="shared" si="27"/>
        <v>1</v>
      </c>
      <c r="J143" s="3182"/>
      <c r="K143" s="2914">
        <f t="shared" si="28"/>
        <v>1</v>
      </c>
      <c r="L143" s="3182"/>
      <c r="M143" s="2914">
        <f t="shared" si="29"/>
        <v>1</v>
      </c>
      <c r="N143" s="3182"/>
      <c r="O143" s="2914">
        <f t="shared" si="30"/>
        <v>1</v>
      </c>
      <c r="P143" s="3182"/>
      <c r="Q143" s="2914">
        <f t="shared" si="31"/>
        <v>1</v>
      </c>
      <c r="R143" s="2665">
        <f t="shared" si="32"/>
        <v>0</v>
      </c>
      <c r="S143" s="2790">
        <f t="shared" si="33"/>
        <v>0</v>
      </c>
    </row>
    <row r="144" spans="1:19">
      <c r="A144" s="2916"/>
      <c r="B144" s="3180"/>
      <c r="C144" s="2914">
        <f t="shared" si="24"/>
        <v>1</v>
      </c>
      <c r="D144" s="3182"/>
      <c r="E144" s="2914">
        <f t="shared" si="25"/>
        <v>1</v>
      </c>
      <c r="F144" s="3182"/>
      <c r="G144" s="2914">
        <f t="shared" si="26"/>
        <v>1</v>
      </c>
      <c r="H144" s="3182"/>
      <c r="I144" s="2914">
        <f t="shared" si="27"/>
        <v>1</v>
      </c>
      <c r="J144" s="3182"/>
      <c r="K144" s="2914">
        <f t="shared" si="28"/>
        <v>1</v>
      </c>
      <c r="L144" s="3182"/>
      <c r="M144" s="2914">
        <f t="shared" si="29"/>
        <v>1</v>
      </c>
      <c r="N144" s="3182"/>
      <c r="O144" s="2914">
        <f t="shared" si="30"/>
        <v>1</v>
      </c>
      <c r="P144" s="3182"/>
      <c r="Q144" s="2914">
        <f t="shared" si="31"/>
        <v>1</v>
      </c>
      <c r="R144" s="2665">
        <f t="shared" si="32"/>
        <v>0</v>
      </c>
      <c r="S144" s="2790">
        <f t="shared" si="33"/>
        <v>0</v>
      </c>
    </row>
    <row r="145" spans="1:19">
      <c r="A145" s="2916"/>
      <c r="B145" s="3180"/>
      <c r="C145" s="2914">
        <f t="shared" si="24"/>
        <v>1</v>
      </c>
      <c r="D145" s="3182"/>
      <c r="E145" s="2914">
        <f t="shared" si="25"/>
        <v>1</v>
      </c>
      <c r="F145" s="3182"/>
      <c r="G145" s="2914">
        <f t="shared" si="26"/>
        <v>1</v>
      </c>
      <c r="H145" s="3182"/>
      <c r="I145" s="2914">
        <f t="shared" si="27"/>
        <v>1</v>
      </c>
      <c r="J145" s="3182"/>
      <c r="K145" s="2914">
        <f t="shared" si="28"/>
        <v>1</v>
      </c>
      <c r="L145" s="3182"/>
      <c r="M145" s="2914">
        <f t="shared" si="29"/>
        <v>1</v>
      </c>
      <c r="N145" s="3182"/>
      <c r="O145" s="2914">
        <f t="shared" si="30"/>
        <v>1</v>
      </c>
      <c r="P145" s="3182"/>
      <c r="Q145" s="2914">
        <f t="shared" si="31"/>
        <v>1</v>
      </c>
      <c r="R145" s="2665">
        <f t="shared" si="32"/>
        <v>0</v>
      </c>
      <c r="S145" s="2790">
        <f t="shared" si="33"/>
        <v>0</v>
      </c>
    </row>
    <row r="146" spans="1:19">
      <c r="A146" s="2916"/>
      <c r="B146" s="3180"/>
      <c r="C146" s="2914">
        <f t="shared" si="24"/>
        <v>1</v>
      </c>
      <c r="D146" s="3182"/>
      <c r="E146" s="2914">
        <f t="shared" si="25"/>
        <v>1</v>
      </c>
      <c r="F146" s="3182"/>
      <c r="G146" s="2914">
        <f t="shared" si="26"/>
        <v>1</v>
      </c>
      <c r="H146" s="3182"/>
      <c r="I146" s="2914">
        <f t="shared" si="27"/>
        <v>1</v>
      </c>
      <c r="J146" s="3182"/>
      <c r="K146" s="2914">
        <f t="shared" si="28"/>
        <v>1</v>
      </c>
      <c r="L146" s="3182"/>
      <c r="M146" s="2914">
        <f t="shared" si="29"/>
        <v>1</v>
      </c>
      <c r="N146" s="3182"/>
      <c r="O146" s="2914">
        <f t="shared" si="30"/>
        <v>1</v>
      </c>
      <c r="P146" s="3182"/>
      <c r="Q146" s="2914">
        <f t="shared" si="31"/>
        <v>1</v>
      </c>
      <c r="R146" s="2665">
        <f t="shared" si="32"/>
        <v>0</v>
      </c>
      <c r="S146" s="2790">
        <f t="shared" si="33"/>
        <v>0</v>
      </c>
    </row>
    <row r="147" spans="1:19">
      <c r="A147" s="2916"/>
      <c r="B147" s="3180"/>
      <c r="C147" s="2914">
        <f t="shared" si="24"/>
        <v>1</v>
      </c>
      <c r="D147" s="3182"/>
      <c r="E147" s="2914">
        <f t="shared" si="25"/>
        <v>1</v>
      </c>
      <c r="F147" s="3182"/>
      <c r="G147" s="2914">
        <f t="shared" si="26"/>
        <v>1</v>
      </c>
      <c r="H147" s="3182"/>
      <c r="I147" s="2914">
        <f t="shared" si="27"/>
        <v>1</v>
      </c>
      <c r="J147" s="3182"/>
      <c r="K147" s="2914">
        <f t="shared" si="28"/>
        <v>1</v>
      </c>
      <c r="L147" s="3182"/>
      <c r="M147" s="2914">
        <f t="shared" si="29"/>
        <v>1</v>
      </c>
      <c r="N147" s="3182"/>
      <c r="O147" s="2914">
        <f t="shared" si="30"/>
        <v>1</v>
      </c>
      <c r="P147" s="3182"/>
      <c r="Q147" s="2914">
        <f t="shared" si="31"/>
        <v>1</v>
      </c>
      <c r="R147" s="2665">
        <f t="shared" si="32"/>
        <v>0</v>
      </c>
      <c r="S147" s="2790">
        <f t="shared" si="33"/>
        <v>0</v>
      </c>
    </row>
    <row r="148" spans="1:19">
      <c r="A148" s="2916"/>
      <c r="B148" s="3180"/>
      <c r="C148" s="2914">
        <f t="shared" si="24"/>
        <v>1</v>
      </c>
      <c r="D148" s="3182"/>
      <c r="E148" s="2914">
        <f t="shared" si="25"/>
        <v>1</v>
      </c>
      <c r="F148" s="3182"/>
      <c r="G148" s="2914">
        <f t="shared" si="26"/>
        <v>1</v>
      </c>
      <c r="H148" s="3182"/>
      <c r="I148" s="2914">
        <f t="shared" si="27"/>
        <v>1</v>
      </c>
      <c r="J148" s="3182"/>
      <c r="K148" s="2914">
        <f t="shared" si="28"/>
        <v>1</v>
      </c>
      <c r="L148" s="3182"/>
      <c r="M148" s="2914">
        <f t="shared" si="29"/>
        <v>1</v>
      </c>
      <c r="N148" s="3182"/>
      <c r="O148" s="2914">
        <f t="shared" si="30"/>
        <v>1</v>
      </c>
      <c r="P148" s="3182"/>
      <c r="Q148" s="2914">
        <f t="shared" si="31"/>
        <v>1</v>
      </c>
      <c r="R148" s="2665">
        <f t="shared" si="32"/>
        <v>0</v>
      </c>
      <c r="S148" s="2790">
        <f t="shared" si="33"/>
        <v>0</v>
      </c>
    </row>
    <row r="149" spans="1:19">
      <c r="A149" s="2916"/>
      <c r="B149" s="3180"/>
      <c r="C149" s="2914">
        <f t="shared" si="24"/>
        <v>1</v>
      </c>
      <c r="D149" s="3182"/>
      <c r="E149" s="2914">
        <f t="shared" si="25"/>
        <v>1</v>
      </c>
      <c r="F149" s="3182"/>
      <c r="G149" s="2914">
        <f t="shared" si="26"/>
        <v>1</v>
      </c>
      <c r="H149" s="3182"/>
      <c r="I149" s="2914">
        <f t="shared" si="27"/>
        <v>1</v>
      </c>
      <c r="J149" s="3182"/>
      <c r="K149" s="2914">
        <f t="shared" si="28"/>
        <v>1</v>
      </c>
      <c r="L149" s="3182"/>
      <c r="M149" s="2914">
        <f t="shared" si="29"/>
        <v>1</v>
      </c>
      <c r="N149" s="3182"/>
      <c r="O149" s="2914">
        <f t="shared" si="30"/>
        <v>1</v>
      </c>
      <c r="P149" s="3182"/>
      <c r="Q149" s="2914">
        <f t="shared" si="31"/>
        <v>1</v>
      </c>
      <c r="R149" s="2665">
        <f t="shared" si="32"/>
        <v>0</v>
      </c>
      <c r="S149" s="2790">
        <f t="shared" si="33"/>
        <v>0</v>
      </c>
    </row>
    <row r="150" spans="1:19">
      <c r="A150" s="2916"/>
      <c r="B150" s="3180"/>
      <c r="C150" s="2914">
        <f t="shared" si="24"/>
        <v>1</v>
      </c>
      <c r="D150" s="3182"/>
      <c r="E150" s="2914">
        <f t="shared" si="25"/>
        <v>1</v>
      </c>
      <c r="F150" s="3182"/>
      <c r="G150" s="2914">
        <f t="shared" si="26"/>
        <v>1</v>
      </c>
      <c r="H150" s="3182"/>
      <c r="I150" s="2914">
        <f t="shared" si="27"/>
        <v>1</v>
      </c>
      <c r="J150" s="3182"/>
      <c r="K150" s="2914">
        <f t="shared" si="28"/>
        <v>1</v>
      </c>
      <c r="L150" s="3182"/>
      <c r="M150" s="2914">
        <f t="shared" si="29"/>
        <v>1</v>
      </c>
      <c r="N150" s="3182"/>
      <c r="O150" s="2914">
        <f t="shared" si="30"/>
        <v>1</v>
      </c>
      <c r="P150" s="3182"/>
      <c r="Q150" s="2914">
        <f t="shared" si="31"/>
        <v>1</v>
      </c>
      <c r="R150" s="2665">
        <f t="shared" si="32"/>
        <v>0</v>
      </c>
      <c r="S150" s="2790">
        <f t="shared" si="33"/>
        <v>0</v>
      </c>
    </row>
    <row r="151" spans="1:19">
      <c r="A151" s="2916"/>
      <c r="B151" s="3180"/>
      <c r="C151" s="2914">
        <f t="shared" si="24"/>
        <v>1</v>
      </c>
      <c r="D151" s="3182"/>
      <c r="E151" s="2914">
        <f t="shared" si="25"/>
        <v>1</v>
      </c>
      <c r="F151" s="3182"/>
      <c r="G151" s="2914">
        <f t="shared" si="26"/>
        <v>1</v>
      </c>
      <c r="H151" s="3182"/>
      <c r="I151" s="2914">
        <f t="shared" si="27"/>
        <v>1</v>
      </c>
      <c r="J151" s="3182"/>
      <c r="K151" s="2914">
        <f t="shared" si="28"/>
        <v>1</v>
      </c>
      <c r="L151" s="3182"/>
      <c r="M151" s="2914">
        <f t="shared" si="29"/>
        <v>1</v>
      </c>
      <c r="N151" s="3182"/>
      <c r="O151" s="2914">
        <f t="shared" si="30"/>
        <v>1</v>
      </c>
      <c r="P151" s="3182"/>
      <c r="Q151" s="2914">
        <f t="shared" si="31"/>
        <v>1</v>
      </c>
      <c r="R151" s="2665">
        <f t="shared" si="32"/>
        <v>0</v>
      </c>
      <c r="S151" s="2790">
        <f t="shared" si="33"/>
        <v>0</v>
      </c>
    </row>
    <row r="152" spans="1:19">
      <c r="A152" s="2916"/>
      <c r="B152" s="3180"/>
      <c r="C152" s="2914">
        <f t="shared" si="24"/>
        <v>1</v>
      </c>
      <c r="D152" s="3182"/>
      <c r="E152" s="2914">
        <f t="shared" si="25"/>
        <v>1</v>
      </c>
      <c r="F152" s="3182"/>
      <c r="G152" s="2914">
        <f t="shared" si="26"/>
        <v>1</v>
      </c>
      <c r="H152" s="3182"/>
      <c r="I152" s="2914">
        <f t="shared" si="27"/>
        <v>1</v>
      </c>
      <c r="J152" s="3182"/>
      <c r="K152" s="2914">
        <f t="shared" si="28"/>
        <v>1</v>
      </c>
      <c r="L152" s="3182"/>
      <c r="M152" s="2914">
        <f t="shared" si="29"/>
        <v>1</v>
      </c>
      <c r="N152" s="3182"/>
      <c r="O152" s="2914">
        <f t="shared" si="30"/>
        <v>1</v>
      </c>
      <c r="P152" s="3182"/>
      <c r="Q152" s="2914">
        <f t="shared" si="31"/>
        <v>1</v>
      </c>
      <c r="R152" s="2665">
        <f t="shared" si="32"/>
        <v>0</v>
      </c>
      <c r="S152" s="2790">
        <f t="shared" si="33"/>
        <v>0</v>
      </c>
    </row>
    <row r="153" spans="1:19">
      <c r="A153" s="2916"/>
      <c r="B153" s="3180"/>
      <c r="C153" s="2914">
        <f t="shared" si="24"/>
        <v>1</v>
      </c>
      <c r="D153" s="3182"/>
      <c r="E153" s="2914">
        <f t="shared" si="25"/>
        <v>1</v>
      </c>
      <c r="F153" s="3182"/>
      <c r="G153" s="2914">
        <f t="shared" si="26"/>
        <v>1</v>
      </c>
      <c r="H153" s="3182"/>
      <c r="I153" s="2914">
        <f t="shared" si="27"/>
        <v>1</v>
      </c>
      <c r="J153" s="3182"/>
      <c r="K153" s="2914">
        <f t="shared" si="28"/>
        <v>1</v>
      </c>
      <c r="L153" s="3182"/>
      <c r="M153" s="2914">
        <f t="shared" si="29"/>
        <v>1</v>
      </c>
      <c r="N153" s="3182"/>
      <c r="O153" s="2914">
        <f t="shared" si="30"/>
        <v>1</v>
      </c>
      <c r="P153" s="3182"/>
      <c r="Q153" s="2914">
        <f t="shared" si="31"/>
        <v>1</v>
      </c>
      <c r="R153" s="2665">
        <f t="shared" si="32"/>
        <v>0</v>
      </c>
      <c r="S153" s="2790">
        <f t="shared" si="33"/>
        <v>0</v>
      </c>
    </row>
    <row r="154" spans="1:19">
      <c r="A154" s="2916"/>
      <c r="B154" s="3180"/>
      <c r="C154" s="2914">
        <f t="shared" ref="C154:C217" si="34">IF(B154="",1,(LOOKUP(B154,$3:$3,$4:$4)-LOOKUP($B$24,$3:$3,$4:$4)+100)/100)</f>
        <v>1</v>
      </c>
      <c r="D154" s="3182"/>
      <c r="E154" s="2914">
        <f t="shared" ref="E154:E217" si="35">(SUMIF($5:$5,D154,$6:$6)-SUMIF($5:$5,$D$24,$6:$6)+100)/100</f>
        <v>1</v>
      </c>
      <c r="F154" s="3182"/>
      <c r="G154" s="2914">
        <f t="shared" ref="G154:G217" si="36">(SUMIF($7:$7,F154,$8:$8)-SUMIF($7:$7,$F$24,$8:$8)+100)/100</f>
        <v>1</v>
      </c>
      <c r="H154" s="3182"/>
      <c r="I154" s="2914">
        <f t="shared" ref="I154:I217" si="37">(SUMIF($9:$9,H154,$10:$10)-SUMIF($9:$9,$H$24,$10:$10)+100)/100</f>
        <v>1</v>
      </c>
      <c r="J154" s="3182"/>
      <c r="K154" s="2914">
        <f t="shared" ref="K154:K217" si="38">(SUMIF($11:$11,J154,$12:$12)-SUMIF($11:$11,$J$24,$12:$12)+100)/100</f>
        <v>1</v>
      </c>
      <c r="L154" s="3182"/>
      <c r="M154" s="2914">
        <f t="shared" ref="M154:M217" si="39">(SUMIF($13:$13,L154,$14:$14)-SUMIF($13:$13,$L$24,$14:$14)+100)/100</f>
        <v>1</v>
      </c>
      <c r="N154" s="3182"/>
      <c r="O154" s="2914">
        <f t="shared" ref="O154:O217" si="40">(SUMIF($15:$15,N154,$16:$16)-SUMIF($15:$15,$N$24,$16:$16)+100)/100</f>
        <v>1</v>
      </c>
      <c r="P154" s="3182"/>
      <c r="Q154" s="2914">
        <f t="shared" ref="Q154:Q217" si="41">(SUMIF($17:$17,P154,$18:$18)-SUMIF($17:$17,$P$24,$18:$18)+100)/100</f>
        <v>1</v>
      </c>
      <c r="R154" s="2665">
        <f t="shared" ref="R154:R217" si="42">IF(B154="",0,ROUND($R$24*C154*E154*G154*I154*K154*M154*O154*Q154,0))</f>
        <v>0</v>
      </c>
      <c r="S154" s="2790">
        <f t="shared" si="33"/>
        <v>0</v>
      </c>
    </row>
    <row r="155" spans="1:19">
      <c r="A155" s="2916"/>
      <c r="B155" s="3180"/>
      <c r="C155" s="2914">
        <f t="shared" si="34"/>
        <v>1</v>
      </c>
      <c r="D155" s="3182"/>
      <c r="E155" s="2914">
        <f t="shared" si="35"/>
        <v>1</v>
      </c>
      <c r="F155" s="3182"/>
      <c r="G155" s="2914">
        <f t="shared" si="36"/>
        <v>1</v>
      </c>
      <c r="H155" s="3182"/>
      <c r="I155" s="2914">
        <f t="shared" si="37"/>
        <v>1</v>
      </c>
      <c r="J155" s="3182"/>
      <c r="K155" s="2914">
        <f t="shared" si="38"/>
        <v>1</v>
      </c>
      <c r="L155" s="3182"/>
      <c r="M155" s="2914">
        <f t="shared" si="39"/>
        <v>1</v>
      </c>
      <c r="N155" s="3182"/>
      <c r="O155" s="2914">
        <f t="shared" si="40"/>
        <v>1</v>
      </c>
      <c r="P155" s="3182"/>
      <c r="Q155" s="2914">
        <f t="shared" si="41"/>
        <v>1</v>
      </c>
      <c r="R155" s="2665">
        <f t="shared" si="42"/>
        <v>0</v>
      </c>
      <c r="S155" s="2790">
        <f t="shared" si="33"/>
        <v>0</v>
      </c>
    </row>
    <row r="156" spans="1:19">
      <c r="A156" s="2916"/>
      <c r="B156" s="3180"/>
      <c r="C156" s="2914">
        <f t="shared" si="34"/>
        <v>1</v>
      </c>
      <c r="D156" s="3182"/>
      <c r="E156" s="2914">
        <f t="shared" si="35"/>
        <v>1</v>
      </c>
      <c r="F156" s="3182"/>
      <c r="G156" s="2914">
        <f t="shared" si="36"/>
        <v>1</v>
      </c>
      <c r="H156" s="3182"/>
      <c r="I156" s="2914">
        <f t="shared" si="37"/>
        <v>1</v>
      </c>
      <c r="J156" s="3182"/>
      <c r="K156" s="2914">
        <f t="shared" si="38"/>
        <v>1</v>
      </c>
      <c r="L156" s="3182"/>
      <c r="M156" s="2914">
        <f t="shared" si="39"/>
        <v>1</v>
      </c>
      <c r="N156" s="3182"/>
      <c r="O156" s="2914">
        <f t="shared" si="40"/>
        <v>1</v>
      </c>
      <c r="P156" s="3182"/>
      <c r="Q156" s="2914">
        <f t="shared" si="41"/>
        <v>1</v>
      </c>
      <c r="R156" s="2665">
        <f t="shared" si="42"/>
        <v>0</v>
      </c>
      <c r="S156" s="2790">
        <f t="shared" si="33"/>
        <v>0</v>
      </c>
    </row>
    <row r="157" spans="1:19">
      <c r="A157" s="2916"/>
      <c r="B157" s="3180"/>
      <c r="C157" s="2914">
        <f t="shared" si="34"/>
        <v>1</v>
      </c>
      <c r="D157" s="3182"/>
      <c r="E157" s="2914">
        <f t="shared" si="35"/>
        <v>1</v>
      </c>
      <c r="F157" s="3182"/>
      <c r="G157" s="2914">
        <f t="shared" si="36"/>
        <v>1</v>
      </c>
      <c r="H157" s="3182"/>
      <c r="I157" s="2914">
        <f t="shared" si="37"/>
        <v>1</v>
      </c>
      <c r="J157" s="3182"/>
      <c r="K157" s="2914">
        <f t="shared" si="38"/>
        <v>1</v>
      </c>
      <c r="L157" s="3182"/>
      <c r="M157" s="2914">
        <f t="shared" si="39"/>
        <v>1</v>
      </c>
      <c r="N157" s="3182"/>
      <c r="O157" s="2914">
        <f t="shared" si="40"/>
        <v>1</v>
      </c>
      <c r="P157" s="3182"/>
      <c r="Q157" s="2914">
        <f t="shared" si="41"/>
        <v>1</v>
      </c>
      <c r="R157" s="2665">
        <f t="shared" si="42"/>
        <v>0</v>
      </c>
      <c r="S157" s="2790">
        <f t="shared" si="33"/>
        <v>0</v>
      </c>
    </row>
    <row r="158" spans="1:19">
      <c r="A158" s="2916"/>
      <c r="B158" s="3180"/>
      <c r="C158" s="2914">
        <f t="shared" si="34"/>
        <v>1</v>
      </c>
      <c r="D158" s="3182"/>
      <c r="E158" s="2914">
        <f t="shared" si="35"/>
        <v>1</v>
      </c>
      <c r="F158" s="3182"/>
      <c r="G158" s="2914">
        <f t="shared" si="36"/>
        <v>1</v>
      </c>
      <c r="H158" s="3182"/>
      <c r="I158" s="2914">
        <f t="shared" si="37"/>
        <v>1</v>
      </c>
      <c r="J158" s="3182"/>
      <c r="K158" s="2914">
        <f t="shared" si="38"/>
        <v>1</v>
      </c>
      <c r="L158" s="3182"/>
      <c r="M158" s="2914">
        <f t="shared" si="39"/>
        <v>1</v>
      </c>
      <c r="N158" s="3182"/>
      <c r="O158" s="2914">
        <f t="shared" si="40"/>
        <v>1</v>
      </c>
      <c r="P158" s="3182"/>
      <c r="Q158" s="2914">
        <f t="shared" si="41"/>
        <v>1</v>
      </c>
      <c r="R158" s="2665">
        <f t="shared" si="42"/>
        <v>0</v>
      </c>
      <c r="S158" s="2790">
        <f t="shared" si="33"/>
        <v>0</v>
      </c>
    </row>
    <row r="159" spans="1:19">
      <c r="A159" s="2916"/>
      <c r="B159" s="3180"/>
      <c r="C159" s="2914">
        <f t="shared" si="34"/>
        <v>1</v>
      </c>
      <c r="D159" s="3182"/>
      <c r="E159" s="2914">
        <f t="shared" si="35"/>
        <v>1</v>
      </c>
      <c r="F159" s="3182"/>
      <c r="G159" s="2914">
        <f t="shared" si="36"/>
        <v>1</v>
      </c>
      <c r="H159" s="3182"/>
      <c r="I159" s="2914">
        <f t="shared" si="37"/>
        <v>1</v>
      </c>
      <c r="J159" s="3182"/>
      <c r="K159" s="2914">
        <f t="shared" si="38"/>
        <v>1</v>
      </c>
      <c r="L159" s="3182"/>
      <c r="M159" s="2914">
        <f t="shared" si="39"/>
        <v>1</v>
      </c>
      <c r="N159" s="3182"/>
      <c r="O159" s="2914">
        <f t="shared" si="40"/>
        <v>1</v>
      </c>
      <c r="P159" s="3182"/>
      <c r="Q159" s="2914">
        <f t="shared" si="41"/>
        <v>1</v>
      </c>
      <c r="R159" s="2665">
        <f t="shared" si="42"/>
        <v>0</v>
      </c>
      <c r="S159" s="2790">
        <f t="shared" si="33"/>
        <v>0</v>
      </c>
    </row>
    <row r="160" spans="1:19">
      <c r="A160" s="2916"/>
      <c r="B160" s="3180"/>
      <c r="C160" s="2914">
        <f t="shared" si="34"/>
        <v>1</v>
      </c>
      <c r="D160" s="3182"/>
      <c r="E160" s="2914">
        <f t="shared" si="35"/>
        <v>1</v>
      </c>
      <c r="F160" s="3182"/>
      <c r="G160" s="2914">
        <f t="shared" si="36"/>
        <v>1</v>
      </c>
      <c r="H160" s="3182"/>
      <c r="I160" s="2914">
        <f t="shared" si="37"/>
        <v>1</v>
      </c>
      <c r="J160" s="3182"/>
      <c r="K160" s="2914">
        <f t="shared" si="38"/>
        <v>1</v>
      </c>
      <c r="L160" s="3182"/>
      <c r="M160" s="2914">
        <f t="shared" si="39"/>
        <v>1</v>
      </c>
      <c r="N160" s="3182"/>
      <c r="O160" s="2914">
        <f t="shared" si="40"/>
        <v>1</v>
      </c>
      <c r="P160" s="3182"/>
      <c r="Q160" s="2914">
        <f t="shared" si="41"/>
        <v>1</v>
      </c>
      <c r="R160" s="2665">
        <f t="shared" si="42"/>
        <v>0</v>
      </c>
      <c r="S160" s="2790">
        <f t="shared" si="33"/>
        <v>0</v>
      </c>
    </row>
    <row r="161" spans="1:19">
      <c r="A161" s="2916"/>
      <c r="B161" s="3180"/>
      <c r="C161" s="2914">
        <f t="shared" si="34"/>
        <v>1</v>
      </c>
      <c r="D161" s="3182"/>
      <c r="E161" s="2914">
        <f t="shared" si="35"/>
        <v>1</v>
      </c>
      <c r="F161" s="3182"/>
      <c r="G161" s="2914">
        <f t="shared" si="36"/>
        <v>1</v>
      </c>
      <c r="H161" s="3182"/>
      <c r="I161" s="2914">
        <f t="shared" si="37"/>
        <v>1</v>
      </c>
      <c r="J161" s="3182"/>
      <c r="K161" s="2914">
        <f t="shared" si="38"/>
        <v>1</v>
      </c>
      <c r="L161" s="3182"/>
      <c r="M161" s="2914">
        <f t="shared" si="39"/>
        <v>1</v>
      </c>
      <c r="N161" s="3182"/>
      <c r="O161" s="2914">
        <f t="shared" si="40"/>
        <v>1</v>
      </c>
      <c r="P161" s="3182"/>
      <c r="Q161" s="2914">
        <f t="shared" si="41"/>
        <v>1</v>
      </c>
      <c r="R161" s="2665">
        <f t="shared" si="42"/>
        <v>0</v>
      </c>
      <c r="S161" s="2790">
        <f t="shared" si="33"/>
        <v>0</v>
      </c>
    </row>
    <row r="162" spans="1:19">
      <c r="A162" s="2916"/>
      <c r="B162" s="3180"/>
      <c r="C162" s="2914">
        <f t="shared" si="34"/>
        <v>1</v>
      </c>
      <c r="D162" s="3182"/>
      <c r="E162" s="2914">
        <f t="shared" si="35"/>
        <v>1</v>
      </c>
      <c r="F162" s="3182"/>
      <c r="G162" s="2914">
        <f t="shared" si="36"/>
        <v>1</v>
      </c>
      <c r="H162" s="3182"/>
      <c r="I162" s="2914">
        <f t="shared" si="37"/>
        <v>1</v>
      </c>
      <c r="J162" s="3182"/>
      <c r="K162" s="2914">
        <f t="shared" si="38"/>
        <v>1</v>
      </c>
      <c r="L162" s="3182"/>
      <c r="M162" s="2914">
        <f t="shared" si="39"/>
        <v>1</v>
      </c>
      <c r="N162" s="3182"/>
      <c r="O162" s="2914">
        <f t="shared" si="40"/>
        <v>1</v>
      </c>
      <c r="P162" s="3182"/>
      <c r="Q162" s="2914">
        <f t="shared" si="41"/>
        <v>1</v>
      </c>
      <c r="R162" s="2665">
        <f t="shared" si="42"/>
        <v>0</v>
      </c>
      <c r="S162" s="2790">
        <f t="shared" si="33"/>
        <v>0</v>
      </c>
    </row>
    <row r="163" spans="1:19">
      <c r="A163" s="2916"/>
      <c r="B163" s="3180"/>
      <c r="C163" s="2914">
        <f t="shared" si="34"/>
        <v>1</v>
      </c>
      <c r="D163" s="3182"/>
      <c r="E163" s="2914">
        <f t="shared" si="35"/>
        <v>1</v>
      </c>
      <c r="F163" s="3182"/>
      <c r="G163" s="2914">
        <f t="shared" si="36"/>
        <v>1</v>
      </c>
      <c r="H163" s="3182"/>
      <c r="I163" s="2914">
        <f t="shared" si="37"/>
        <v>1</v>
      </c>
      <c r="J163" s="3182"/>
      <c r="K163" s="2914">
        <f t="shared" si="38"/>
        <v>1</v>
      </c>
      <c r="L163" s="3182"/>
      <c r="M163" s="2914">
        <f t="shared" si="39"/>
        <v>1</v>
      </c>
      <c r="N163" s="3182"/>
      <c r="O163" s="2914">
        <f t="shared" si="40"/>
        <v>1</v>
      </c>
      <c r="P163" s="3182"/>
      <c r="Q163" s="2914">
        <f t="shared" si="41"/>
        <v>1</v>
      </c>
      <c r="R163" s="2665">
        <f t="shared" si="42"/>
        <v>0</v>
      </c>
      <c r="S163" s="2790">
        <f t="shared" si="33"/>
        <v>0</v>
      </c>
    </row>
    <row r="164" spans="1:19">
      <c r="A164" s="2916"/>
      <c r="B164" s="3180"/>
      <c r="C164" s="2914">
        <f t="shared" si="34"/>
        <v>1</v>
      </c>
      <c r="D164" s="3182"/>
      <c r="E164" s="2914">
        <f t="shared" si="35"/>
        <v>1</v>
      </c>
      <c r="F164" s="3182"/>
      <c r="G164" s="2914">
        <f t="shared" si="36"/>
        <v>1</v>
      </c>
      <c r="H164" s="3182"/>
      <c r="I164" s="2914">
        <f t="shared" si="37"/>
        <v>1</v>
      </c>
      <c r="J164" s="3182"/>
      <c r="K164" s="2914">
        <f t="shared" si="38"/>
        <v>1</v>
      </c>
      <c r="L164" s="3182"/>
      <c r="M164" s="2914">
        <f t="shared" si="39"/>
        <v>1</v>
      </c>
      <c r="N164" s="3182"/>
      <c r="O164" s="2914">
        <f t="shared" si="40"/>
        <v>1</v>
      </c>
      <c r="P164" s="3182"/>
      <c r="Q164" s="2914">
        <f t="shared" si="41"/>
        <v>1</v>
      </c>
      <c r="R164" s="2665">
        <f t="shared" si="42"/>
        <v>0</v>
      </c>
      <c r="S164" s="2790">
        <f t="shared" si="33"/>
        <v>0</v>
      </c>
    </row>
    <row r="165" spans="1:19">
      <c r="A165" s="2916"/>
      <c r="B165" s="3180"/>
      <c r="C165" s="2914">
        <f t="shared" si="34"/>
        <v>1</v>
      </c>
      <c r="D165" s="3182"/>
      <c r="E165" s="2914">
        <f t="shared" si="35"/>
        <v>1</v>
      </c>
      <c r="F165" s="3182"/>
      <c r="G165" s="2914">
        <f t="shared" si="36"/>
        <v>1</v>
      </c>
      <c r="H165" s="3182"/>
      <c r="I165" s="2914">
        <f t="shared" si="37"/>
        <v>1</v>
      </c>
      <c r="J165" s="3182"/>
      <c r="K165" s="2914">
        <f t="shared" si="38"/>
        <v>1</v>
      </c>
      <c r="L165" s="3182"/>
      <c r="M165" s="2914">
        <f t="shared" si="39"/>
        <v>1</v>
      </c>
      <c r="N165" s="3182"/>
      <c r="O165" s="2914">
        <f t="shared" si="40"/>
        <v>1</v>
      </c>
      <c r="P165" s="3182"/>
      <c r="Q165" s="2914">
        <f t="shared" si="41"/>
        <v>1</v>
      </c>
      <c r="R165" s="2665">
        <f t="shared" si="42"/>
        <v>0</v>
      </c>
      <c r="S165" s="2790">
        <f t="shared" si="33"/>
        <v>0</v>
      </c>
    </row>
    <row r="166" spans="1:19">
      <c r="A166" s="2916"/>
      <c r="B166" s="3180"/>
      <c r="C166" s="2914">
        <f t="shared" si="34"/>
        <v>1</v>
      </c>
      <c r="D166" s="3182"/>
      <c r="E166" s="2914">
        <f t="shared" si="35"/>
        <v>1</v>
      </c>
      <c r="F166" s="3182"/>
      <c r="G166" s="2914">
        <f t="shared" si="36"/>
        <v>1</v>
      </c>
      <c r="H166" s="3182"/>
      <c r="I166" s="2914">
        <f t="shared" si="37"/>
        <v>1</v>
      </c>
      <c r="J166" s="3182"/>
      <c r="K166" s="2914">
        <f t="shared" si="38"/>
        <v>1</v>
      </c>
      <c r="L166" s="3182"/>
      <c r="M166" s="2914">
        <f t="shared" si="39"/>
        <v>1</v>
      </c>
      <c r="N166" s="3182"/>
      <c r="O166" s="2914">
        <f t="shared" si="40"/>
        <v>1</v>
      </c>
      <c r="P166" s="3182"/>
      <c r="Q166" s="2914">
        <f t="shared" si="41"/>
        <v>1</v>
      </c>
      <c r="R166" s="2665">
        <f t="shared" si="42"/>
        <v>0</v>
      </c>
      <c r="S166" s="2790">
        <f t="shared" si="33"/>
        <v>0</v>
      </c>
    </row>
    <row r="167" spans="1:19">
      <c r="A167" s="2916"/>
      <c r="B167" s="3180"/>
      <c r="C167" s="2914">
        <f t="shared" si="34"/>
        <v>1</v>
      </c>
      <c r="D167" s="3182"/>
      <c r="E167" s="2914">
        <f t="shared" si="35"/>
        <v>1</v>
      </c>
      <c r="F167" s="3182"/>
      <c r="G167" s="2914">
        <f t="shared" si="36"/>
        <v>1</v>
      </c>
      <c r="H167" s="3182"/>
      <c r="I167" s="2914">
        <f t="shared" si="37"/>
        <v>1</v>
      </c>
      <c r="J167" s="3182"/>
      <c r="K167" s="2914">
        <f t="shared" si="38"/>
        <v>1</v>
      </c>
      <c r="L167" s="3182"/>
      <c r="M167" s="2914">
        <f t="shared" si="39"/>
        <v>1</v>
      </c>
      <c r="N167" s="3182"/>
      <c r="O167" s="2914">
        <f t="shared" si="40"/>
        <v>1</v>
      </c>
      <c r="P167" s="3182"/>
      <c r="Q167" s="2914">
        <f t="shared" si="41"/>
        <v>1</v>
      </c>
      <c r="R167" s="2665">
        <f t="shared" si="42"/>
        <v>0</v>
      </c>
      <c r="S167" s="2790">
        <f t="shared" si="33"/>
        <v>0</v>
      </c>
    </row>
    <row r="168" spans="1:19">
      <c r="A168" s="2916"/>
      <c r="B168" s="3180"/>
      <c r="C168" s="2914">
        <f t="shared" si="34"/>
        <v>1</v>
      </c>
      <c r="D168" s="3182"/>
      <c r="E168" s="2914">
        <f t="shared" si="35"/>
        <v>1</v>
      </c>
      <c r="F168" s="3182"/>
      <c r="G168" s="2914">
        <f t="shared" si="36"/>
        <v>1</v>
      </c>
      <c r="H168" s="3182"/>
      <c r="I168" s="2914">
        <f t="shared" si="37"/>
        <v>1</v>
      </c>
      <c r="J168" s="3182"/>
      <c r="K168" s="2914">
        <f t="shared" si="38"/>
        <v>1</v>
      </c>
      <c r="L168" s="3182"/>
      <c r="M168" s="2914">
        <f t="shared" si="39"/>
        <v>1</v>
      </c>
      <c r="N168" s="3182"/>
      <c r="O168" s="2914">
        <f t="shared" si="40"/>
        <v>1</v>
      </c>
      <c r="P168" s="3182"/>
      <c r="Q168" s="2914">
        <f t="shared" si="41"/>
        <v>1</v>
      </c>
      <c r="R168" s="2665">
        <f t="shared" si="42"/>
        <v>0</v>
      </c>
      <c r="S168" s="2790">
        <f t="shared" si="33"/>
        <v>0</v>
      </c>
    </row>
    <row r="169" spans="1:19">
      <c r="A169" s="2916"/>
      <c r="B169" s="3180"/>
      <c r="C169" s="2914">
        <f t="shared" si="34"/>
        <v>1</v>
      </c>
      <c r="D169" s="3182"/>
      <c r="E169" s="2914">
        <f t="shared" si="35"/>
        <v>1</v>
      </c>
      <c r="F169" s="3182"/>
      <c r="G169" s="2914">
        <f t="shared" si="36"/>
        <v>1</v>
      </c>
      <c r="H169" s="3182"/>
      <c r="I169" s="2914">
        <f t="shared" si="37"/>
        <v>1</v>
      </c>
      <c r="J169" s="3182"/>
      <c r="K169" s="2914">
        <f t="shared" si="38"/>
        <v>1</v>
      </c>
      <c r="L169" s="3182"/>
      <c r="M169" s="2914">
        <f t="shared" si="39"/>
        <v>1</v>
      </c>
      <c r="N169" s="3182"/>
      <c r="O169" s="2914">
        <f t="shared" si="40"/>
        <v>1</v>
      </c>
      <c r="P169" s="3182"/>
      <c r="Q169" s="2914">
        <f t="shared" si="41"/>
        <v>1</v>
      </c>
      <c r="R169" s="2665">
        <f t="shared" si="42"/>
        <v>0</v>
      </c>
      <c r="S169" s="2790">
        <f t="shared" si="33"/>
        <v>0</v>
      </c>
    </row>
    <row r="170" spans="1:19">
      <c r="A170" s="2916"/>
      <c r="B170" s="3180"/>
      <c r="C170" s="2914">
        <f t="shared" si="34"/>
        <v>1</v>
      </c>
      <c r="D170" s="3182"/>
      <c r="E170" s="2914">
        <f t="shared" si="35"/>
        <v>1</v>
      </c>
      <c r="F170" s="3182"/>
      <c r="G170" s="2914">
        <f t="shared" si="36"/>
        <v>1</v>
      </c>
      <c r="H170" s="3182"/>
      <c r="I170" s="2914">
        <f t="shared" si="37"/>
        <v>1</v>
      </c>
      <c r="J170" s="3182"/>
      <c r="K170" s="2914">
        <f t="shared" si="38"/>
        <v>1</v>
      </c>
      <c r="L170" s="3182"/>
      <c r="M170" s="2914">
        <f t="shared" si="39"/>
        <v>1</v>
      </c>
      <c r="N170" s="3182"/>
      <c r="O170" s="2914">
        <f t="shared" si="40"/>
        <v>1</v>
      </c>
      <c r="P170" s="3182"/>
      <c r="Q170" s="2914">
        <f t="shared" si="41"/>
        <v>1</v>
      </c>
      <c r="R170" s="2665">
        <f t="shared" si="42"/>
        <v>0</v>
      </c>
      <c r="S170" s="2790">
        <f t="shared" si="33"/>
        <v>0</v>
      </c>
    </row>
    <row r="171" spans="1:19">
      <c r="A171" s="2916"/>
      <c r="B171" s="3180"/>
      <c r="C171" s="2914">
        <f t="shared" si="34"/>
        <v>1</v>
      </c>
      <c r="D171" s="3182"/>
      <c r="E171" s="2914">
        <f t="shared" si="35"/>
        <v>1</v>
      </c>
      <c r="F171" s="3182"/>
      <c r="G171" s="2914">
        <f t="shared" si="36"/>
        <v>1</v>
      </c>
      <c r="H171" s="3182"/>
      <c r="I171" s="2914">
        <f t="shared" si="37"/>
        <v>1</v>
      </c>
      <c r="J171" s="3182"/>
      <c r="K171" s="2914">
        <f t="shared" si="38"/>
        <v>1</v>
      </c>
      <c r="L171" s="3182"/>
      <c r="M171" s="2914">
        <f t="shared" si="39"/>
        <v>1</v>
      </c>
      <c r="N171" s="3182"/>
      <c r="O171" s="2914">
        <f t="shared" si="40"/>
        <v>1</v>
      </c>
      <c r="P171" s="3182"/>
      <c r="Q171" s="2914">
        <f t="shared" si="41"/>
        <v>1</v>
      </c>
      <c r="R171" s="2665">
        <f t="shared" si="42"/>
        <v>0</v>
      </c>
      <c r="S171" s="2790">
        <f t="shared" si="33"/>
        <v>0</v>
      </c>
    </row>
    <row r="172" spans="1:19">
      <c r="A172" s="2916"/>
      <c r="B172" s="3180"/>
      <c r="C172" s="2914">
        <f t="shared" si="34"/>
        <v>1</v>
      </c>
      <c r="D172" s="3182"/>
      <c r="E172" s="2914">
        <f t="shared" si="35"/>
        <v>1</v>
      </c>
      <c r="F172" s="3182"/>
      <c r="G172" s="2914">
        <f t="shared" si="36"/>
        <v>1</v>
      </c>
      <c r="H172" s="3182"/>
      <c r="I172" s="2914">
        <f t="shared" si="37"/>
        <v>1</v>
      </c>
      <c r="J172" s="3182"/>
      <c r="K172" s="2914">
        <f t="shared" si="38"/>
        <v>1</v>
      </c>
      <c r="L172" s="3182"/>
      <c r="M172" s="2914">
        <f t="shared" si="39"/>
        <v>1</v>
      </c>
      <c r="N172" s="3182"/>
      <c r="O172" s="2914">
        <f t="shared" si="40"/>
        <v>1</v>
      </c>
      <c r="P172" s="3182"/>
      <c r="Q172" s="2914">
        <f t="shared" si="41"/>
        <v>1</v>
      </c>
      <c r="R172" s="2665">
        <f t="shared" si="42"/>
        <v>0</v>
      </c>
      <c r="S172" s="2790">
        <f t="shared" si="33"/>
        <v>0</v>
      </c>
    </row>
    <row r="173" spans="1:19">
      <c r="A173" s="2916"/>
      <c r="B173" s="3180"/>
      <c r="C173" s="2914">
        <f t="shared" si="34"/>
        <v>1</v>
      </c>
      <c r="D173" s="3182"/>
      <c r="E173" s="2914">
        <f t="shared" si="35"/>
        <v>1</v>
      </c>
      <c r="F173" s="3182"/>
      <c r="G173" s="2914">
        <f t="shared" si="36"/>
        <v>1</v>
      </c>
      <c r="H173" s="3182"/>
      <c r="I173" s="2914">
        <f t="shared" si="37"/>
        <v>1</v>
      </c>
      <c r="J173" s="3182"/>
      <c r="K173" s="2914">
        <f t="shared" si="38"/>
        <v>1</v>
      </c>
      <c r="L173" s="3182"/>
      <c r="M173" s="2914">
        <f t="shared" si="39"/>
        <v>1</v>
      </c>
      <c r="N173" s="3182"/>
      <c r="O173" s="2914">
        <f t="shared" si="40"/>
        <v>1</v>
      </c>
      <c r="P173" s="3182"/>
      <c r="Q173" s="2914">
        <f t="shared" si="41"/>
        <v>1</v>
      </c>
      <c r="R173" s="2665">
        <f t="shared" si="42"/>
        <v>0</v>
      </c>
      <c r="S173" s="2790">
        <f t="shared" si="33"/>
        <v>0</v>
      </c>
    </row>
    <row r="174" spans="1:19">
      <c r="A174" s="2916"/>
      <c r="B174" s="3180"/>
      <c r="C174" s="2914">
        <f t="shared" si="34"/>
        <v>1</v>
      </c>
      <c r="D174" s="3182"/>
      <c r="E174" s="2914">
        <f t="shared" si="35"/>
        <v>1</v>
      </c>
      <c r="F174" s="3182"/>
      <c r="G174" s="2914">
        <f t="shared" si="36"/>
        <v>1</v>
      </c>
      <c r="H174" s="3182"/>
      <c r="I174" s="2914">
        <f t="shared" si="37"/>
        <v>1</v>
      </c>
      <c r="J174" s="3182"/>
      <c r="K174" s="2914">
        <f t="shared" si="38"/>
        <v>1</v>
      </c>
      <c r="L174" s="3182"/>
      <c r="M174" s="2914">
        <f t="shared" si="39"/>
        <v>1</v>
      </c>
      <c r="N174" s="3182"/>
      <c r="O174" s="2914">
        <f t="shared" si="40"/>
        <v>1</v>
      </c>
      <c r="P174" s="3182"/>
      <c r="Q174" s="2914">
        <f t="shared" si="41"/>
        <v>1</v>
      </c>
      <c r="R174" s="2665">
        <f t="shared" si="42"/>
        <v>0</v>
      </c>
      <c r="S174" s="2790">
        <f t="shared" si="33"/>
        <v>0</v>
      </c>
    </row>
    <row r="175" spans="1:19">
      <c r="A175" s="2916"/>
      <c r="B175" s="3180"/>
      <c r="C175" s="2914">
        <f t="shared" si="34"/>
        <v>1</v>
      </c>
      <c r="D175" s="3182"/>
      <c r="E175" s="2914">
        <f t="shared" si="35"/>
        <v>1</v>
      </c>
      <c r="F175" s="3182"/>
      <c r="G175" s="2914">
        <f t="shared" si="36"/>
        <v>1</v>
      </c>
      <c r="H175" s="3182"/>
      <c r="I175" s="2914">
        <f t="shared" si="37"/>
        <v>1</v>
      </c>
      <c r="J175" s="3182"/>
      <c r="K175" s="2914">
        <f t="shared" si="38"/>
        <v>1</v>
      </c>
      <c r="L175" s="3182"/>
      <c r="M175" s="2914">
        <f t="shared" si="39"/>
        <v>1</v>
      </c>
      <c r="N175" s="3182"/>
      <c r="O175" s="2914">
        <f t="shared" si="40"/>
        <v>1</v>
      </c>
      <c r="P175" s="3182"/>
      <c r="Q175" s="2914">
        <f t="shared" si="41"/>
        <v>1</v>
      </c>
      <c r="R175" s="2665">
        <f t="shared" si="42"/>
        <v>0</v>
      </c>
      <c r="S175" s="2790">
        <f t="shared" si="33"/>
        <v>0</v>
      </c>
    </row>
    <row r="176" spans="1:19">
      <c r="A176" s="2916"/>
      <c r="B176" s="3180"/>
      <c r="C176" s="2914">
        <f t="shared" si="34"/>
        <v>1</v>
      </c>
      <c r="D176" s="3182"/>
      <c r="E176" s="2914">
        <f t="shared" si="35"/>
        <v>1</v>
      </c>
      <c r="F176" s="3182"/>
      <c r="G176" s="2914">
        <f t="shared" si="36"/>
        <v>1</v>
      </c>
      <c r="H176" s="3182"/>
      <c r="I176" s="2914">
        <f t="shared" si="37"/>
        <v>1</v>
      </c>
      <c r="J176" s="3182"/>
      <c r="K176" s="2914">
        <f t="shared" si="38"/>
        <v>1</v>
      </c>
      <c r="L176" s="3182"/>
      <c r="M176" s="2914">
        <f t="shared" si="39"/>
        <v>1</v>
      </c>
      <c r="N176" s="3182"/>
      <c r="O176" s="2914">
        <f t="shared" si="40"/>
        <v>1</v>
      </c>
      <c r="P176" s="3182"/>
      <c r="Q176" s="2914">
        <f t="shared" si="41"/>
        <v>1</v>
      </c>
      <c r="R176" s="2665">
        <f t="shared" si="42"/>
        <v>0</v>
      </c>
      <c r="S176" s="2790">
        <f t="shared" si="33"/>
        <v>0</v>
      </c>
    </row>
    <row r="177" spans="1:19">
      <c r="A177" s="2916"/>
      <c r="B177" s="3180"/>
      <c r="C177" s="2914">
        <f t="shared" si="34"/>
        <v>1</v>
      </c>
      <c r="D177" s="3182"/>
      <c r="E177" s="2914">
        <f t="shared" si="35"/>
        <v>1</v>
      </c>
      <c r="F177" s="3182"/>
      <c r="G177" s="2914">
        <f t="shared" si="36"/>
        <v>1</v>
      </c>
      <c r="H177" s="3182"/>
      <c r="I177" s="2914">
        <f t="shared" si="37"/>
        <v>1</v>
      </c>
      <c r="J177" s="3182"/>
      <c r="K177" s="2914">
        <f t="shared" si="38"/>
        <v>1</v>
      </c>
      <c r="L177" s="3182"/>
      <c r="M177" s="2914">
        <f t="shared" si="39"/>
        <v>1</v>
      </c>
      <c r="N177" s="3182"/>
      <c r="O177" s="2914">
        <f t="shared" si="40"/>
        <v>1</v>
      </c>
      <c r="P177" s="3182"/>
      <c r="Q177" s="2914">
        <f t="shared" si="41"/>
        <v>1</v>
      </c>
      <c r="R177" s="2665">
        <f t="shared" si="42"/>
        <v>0</v>
      </c>
      <c r="S177" s="2790">
        <f t="shared" si="33"/>
        <v>0</v>
      </c>
    </row>
    <row r="178" spans="1:19">
      <c r="A178" s="2916"/>
      <c r="B178" s="3180"/>
      <c r="C178" s="2914">
        <f t="shared" si="34"/>
        <v>1</v>
      </c>
      <c r="D178" s="3182"/>
      <c r="E178" s="2914">
        <f t="shared" si="35"/>
        <v>1</v>
      </c>
      <c r="F178" s="3182"/>
      <c r="G178" s="2914">
        <f t="shared" si="36"/>
        <v>1</v>
      </c>
      <c r="H178" s="3182"/>
      <c r="I178" s="2914">
        <f t="shared" si="37"/>
        <v>1</v>
      </c>
      <c r="J178" s="3182"/>
      <c r="K178" s="2914">
        <f t="shared" si="38"/>
        <v>1</v>
      </c>
      <c r="L178" s="3182"/>
      <c r="M178" s="2914">
        <f t="shared" si="39"/>
        <v>1</v>
      </c>
      <c r="N178" s="3182"/>
      <c r="O178" s="2914">
        <f t="shared" si="40"/>
        <v>1</v>
      </c>
      <c r="P178" s="3182"/>
      <c r="Q178" s="2914">
        <f t="shared" si="41"/>
        <v>1</v>
      </c>
      <c r="R178" s="2665">
        <f t="shared" si="42"/>
        <v>0</v>
      </c>
      <c r="S178" s="2790">
        <f t="shared" si="33"/>
        <v>0</v>
      </c>
    </row>
    <row r="179" spans="1:19">
      <c r="A179" s="2916"/>
      <c r="B179" s="3180"/>
      <c r="C179" s="2914">
        <f t="shared" si="34"/>
        <v>1</v>
      </c>
      <c r="D179" s="3182"/>
      <c r="E179" s="2914">
        <f t="shared" si="35"/>
        <v>1</v>
      </c>
      <c r="F179" s="3182"/>
      <c r="G179" s="2914">
        <f t="shared" si="36"/>
        <v>1</v>
      </c>
      <c r="H179" s="3182"/>
      <c r="I179" s="2914">
        <f t="shared" si="37"/>
        <v>1</v>
      </c>
      <c r="J179" s="3182"/>
      <c r="K179" s="2914">
        <f t="shared" si="38"/>
        <v>1</v>
      </c>
      <c r="L179" s="3182"/>
      <c r="M179" s="2914">
        <f t="shared" si="39"/>
        <v>1</v>
      </c>
      <c r="N179" s="3182"/>
      <c r="O179" s="2914">
        <f t="shared" si="40"/>
        <v>1</v>
      </c>
      <c r="P179" s="3182"/>
      <c r="Q179" s="2914">
        <f t="shared" si="41"/>
        <v>1</v>
      </c>
      <c r="R179" s="2665">
        <f t="shared" si="42"/>
        <v>0</v>
      </c>
      <c r="S179" s="2790">
        <f t="shared" si="33"/>
        <v>0</v>
      </c>
    </row>
    <row r="180" spans="1:19">
      <c r="A180" s="2916"/>
      <c r="B180" s="3180"/>
      <c r="C180" s="2914">
        <f t="shared" si="34"/>
        <v>1</v>
      </c>
      <c r="D180" s="3182"/>
      <c r="E180" s="2914">
        <f t="shared" si="35"/>
        <v>1</v>
      </c>
      <c r="F180" s="3182"/>
      <c r="G180" s="2914">
        <f t="shared" si="36"/>
        <v>1</v>
      </c>
      <c r="H180" s="3182"/>
      <c r="I180" s="2914">
        <f t="shared" si="37"/>
        <v>1</v>
      </c>
      <c r="J180" s="3182"/>
      <c r="K180" s="2914">
        <f t="shared" si="38"/>
        <v>1</v>
      </c>
      <c r="L180" s="3182"/>
      <c r="M180" s="2914">
        <f t="shared" si="39"/>
        <v>1</v>
      </c>
      <c r="N180" s="3182"/>
      <c r="O180" s="2914">
        <f t="shared" si="40"/>
        <v>1</v>
      </c>
      <c r="P180" s="3182"/>
      <c r="Q180" s="2914">
        <f t="shared" si="41"/>
        <v>1</v>
      </c>
      <c r="R180" s="2665">
        <f t="shared" si="42"/>
        <v>0</v>
      </c>
      <c r="S180" s="2790">
        <f t="shared" si="33"/>
        <v>0</v>
      </c>
    </row>
    <row r="181" spans="1:19">
      <c r="A181" s="2916"/>
      <c r="B181" s="3180"/>
      <c r="C181" s="2914">
        <f t="shared" si="34"/>
        <v>1</v>
      </c>
      <c r="D181" s="3182"/>
      <c r="E181" s="2914">
        <f t="shared" si="35"/>
        <v>1</v>
      </c>
      <c r="F181" s="3182"/>
      <c r="G181" s="2914">
        <f t="shared" si="36"/>
        <v>1</v>
      </c>
      <c r="H181" s="3182"/>
      <c r="I181" s="2914">
        <f t="shared" si="37"/>
        <v>1</v>
      </c>
      <c r="J181" s="3182"/>
      <c r="K181" s="2914">
        <f t="shared" si="38"/>
        <v>1</v>
      </c>
      <c r="L181" s="3182"/>
      <c r="M181" s="2914">
        <f t="shared" si="39"/>
        <v>1</v>
      </c>
      <c r="N181" s="3182"/>
      <c r="O181" s="2914">
        <f t="shared" si="40"/>
        <v>1</v>
      </c>
      <c r="P181" s="3182"/>
      <c r="Q181" s="2914">
        <f t="shared" si="41"/>
        <v>1</v>
      </c>
      <c r="R181" s="2665">
        <f t="shared" si="42"/>
        <v>0</v>
      </c>
      <c r="S181" s="2790">
        <f t="shared" si="33"/>
        <v>0</v>
      </c>
    </row>
    <row r="182" spans="1:19">
      <c r="A182" s="2916"/>
      <c r="B182" s="3180"/>
      <c r="C182" s="2914">
        <f t="shared" si="34"/>
        <v>1</v>
      </c>
      <c r="D182" s="3182"/>
      <c r="E182" s="2914">
        <f t="shared" si="35"/>
        <v>1</v>
      </c>
      <c r="F182" s="3182"/>
      <c r="G182" s="2914">
        <f t="shared" si="36"/>
        <v>1</v>
      </c>
      <c r="H182" s="3182"/>
      <c r="I182" s="2914">
        <f t="shared" si="37"/>
        <v>1</v>
      </c>
      <c r="J182" s="3182"/>
      <c r="K182" s="2914">
        <f t="shared" si="38"/>
        <v>1</v>
      </c>
      <c r="L182" s="3182"/>
      <c r="M182" s="2914">
        <f t="shared" si="39"/>
        <v>1</v>
      </c>
      <c r="N182" s="3182"/>
      <c r="O182" s="2914">
        <f t="shared" si="40"/>
        <v>1</v>
      </c>
      <c r="P182" s="3182"/>
      <c r="Q182" s="2914">
        <f t="shared" si="41"/>
        <v>1</v>
      </c>
      <c r="R182" s="2665">
        <f t="shared" si="42"/>
        <v>0</v>
      </c>
      <c r="S182" s="2790">
        <f t="shared" si="33"/>
        <v>0</v>
      </c>
    </row>
    <row r="183" spans="1:19">
      <c r="A183" s="2916"/>
      <c r="B183" s="3180"/>
      <c r="C183" s="2914">
        <f t="shared" si="34"/>
        <v>1</v>
      </c>
      <c r="D183" s="3182"/>
      <c r="E183" s="2914">
        <f t="shared" si="35"/>
        <v>1</v>
      </c>
      <c r="F183" s="3182"/>
      <c r="G183" s="2914">
        <f t="shared" si="36"/>
        <v>1</v>
      </c>
      <c r="H183" s="3182"/>
      <c r="I183" s="2914">
        <f t="shared" si="37"/>
        <v>1</v>
      </c>
      <c r="J183" s="3182"/>
      <c r="K183" s="2914">
        <f t="shared" si="38"/>
        <v>1</v>
      </c>
      <c r="L183" s="3182"/>
      <c r="M183" s="2914">
        <f t="shared" si="39"/>
        <v>1</v>
      </c>
      <c r="N183" s="3182"/>
      <c r="O183" s="2914">
        <f t="shared" si="40"/>
        <v>1</v>
      </c>
      <c r="P183" s="3182"/>
      <c r="Q183" s="2914">
        <f t="shared" si="41"/>
        <v>1</v>
      </c>
      <c r="R183" s="2665">
        <f t="shared" si="42"/>
        <v>0</v>
      </c>
      <c r="S183" s="2790">
        <f t="shared" si="33"/>
        <v>0</v>
      </c>
    </row>
    <row r="184" spans="1:19">
      <c r="A184" s="2916"/>
      <c r="B184" s="3180"/>
      <c r="C184" s="2914">
        <f t="shared" si="34"/>
        <v>1</v>
      </c>
      <c r="D184" s="3182"/>
      <c r="E184" s="2914">
        <f t="shared" si="35"/>
        <v>1</v>
      </c>
      <c r="F184" s="3182"/>
      <c r="G184" s="2914">
        <f t="shared" si="36"/>
        <v>1</v>
      </c>
      <c r="H184" s="3182"/>
      <c r="I184" s="2914">
        <f t="shared" si="37"/>
        <v>1</v>
      </c>
      <c r="J184" s="3182"/>
      <c r="K184" s="2914">
        <f t="shared" si="38"/>
        <v>1</v>
      </c>
      <c r="L184" s="3182"/>
      <c r="M184" s="2914">
        <f t="shared" si="39"/>
        <v>1</v>
      </c>
      <c r="N184" s="3182"/>
      <c r="O184" s="2914">
        <f t="shared" si="40"/>
        <v>1</v>
      </c>
      <c r="P184" s="3182"/>
      <c r="Q184" s="2914">
        <f t="shared" si="41"/>
        <v>1</v>
      </c>
      <c r="R184" s="2665">
        <f t="shared" si="42"/>
        <v>0</v>
      </c>
      <c r="S184" s="2790">
        <f t="shared" si="33"/>
        <v>0</v>
      </c>
    </row>
    <row r="185" spans="1:19">
      <c r="A185" s="2916"/>
      <c r="B185" s="3180"/>
      <c r="C185" s="2914">
        <f t="shared" si="34"/>
        <v>1</v>
      </c>
      <c r="D185" s="3182"/>
      <c r="E185" s="2914">
        <f t="shared" si="35"/>
        <v>1</v>
      </c>
      <c r="F185" s="3182"/>
      <c r="G185" s="2914">
        <f t="shared" si="36"/>
        <v>1</v>
      </c>
      <c r="H185" s="3182"/>
      <c r="I185" s="2914">
        <f t="shared" si="37"/>
        <v>1</v>
      </c>
      <c r="J185" s="3182"/>
      <c r="K185" s="2914">
        <f t="shared" si="38"/>
        <v>1</v>
      </c>
      <c r="L185" s="3182"/>
      <c r="M185" s="2914">
        <f t="shared" si="39"/>
        <v>1</v>
      </c>
      <c r="N185" s="3182"/>
      <c r="O185" s="2914">
        <f t="shared" si="40"/>
        <v>1</v>
      </c>
      <c r="P185" s="3182"/>
      <c r="Q185" s="2914">
        <f t="shared" si="41"/>
        <v>1</v>
      </c>
      <c r="R185" s="2665">
        <f t="shared" si="42"/>
        <v>0</v>
      </c>
      <c r="S185" s="2790">
        <f t="shared" si="33"/>
        <v>0</v>
      </c>
    </row>
    <row r="186" spans="1:19">
      <c r="A186" s="2916"/>
      <c r="B186" s="3180"/>
      <c r="C186" s="2914">
        <f t="shared" si="34"/>
        <v>1</v>
      </c>
      <c r="D186" s="3182"/>
      <c r="E186" s="2914">
        <f t="shared" si="35"/>
        <v>1</v>
      </c>
      <c r="F186" s="3182"/>
      <c r="G186" s="2914">
        <f t="shared" si="36"/>
        <v>1</v>
      </c>
      <c r="H186" s="3182"/>
      <c r="I186" s="2914">
        <f t="shared" si="37"/>
        <v>1</v>
      </c>
      <c r="J186" s="3182"/>
      <c r="K186" s="2914">
        <f t="shared" si="38"/>
        <v>1</v>
      </c>
      <c r="L186" s="3182"/>
      <c r="M186" s="2914">
        <f t="shared" si="39"/>
        <v>1</v>
      </c>
      <c r="N186" s="3182"/>
      <c r="O186" s="2914">
        <f t="shared" si="40"/>
        <v>1</v>
      </c>
      <c r="P186" s="3182"/>
      <c r="Q186" s="2914">
        <f t="shared" si="41"/>
        <v>1</v>
      </c>
      <c r="R186" s="2665">
        <f t="shared" si="42"/>
        <v>0</v>
      </c>
      <c r="S186" s="2790">
        <f t="shared" si="33"/>
        <v>0</v>
      </c>
    </row>
    <row r="187" spans="1:19">
      <c r="A187" s="2916"/>
      <c r="B187" s="3180"/>
      <c r="C187" s="2914">
        <f t="shared" si="34"/>
        <v>1</v>
      </c>
      <c r="D187" s="3182"/>
      <c r="E187" s="2914">
        <f t="shared" si="35"/>
        <v>1</v>
      </c>
      <c r="F187" s="3182"/>
      <c r="G187" s="2914">
        <f t="shared" si="36"/>
        <v>1</v>
      </c>
      <c r="H187" s="3182"/>
      <c r="I187" s="2914">
        <f t="shared" si="37"/>
        <v>1</v>
      </c>
      <c r="J187" s="3182"/>
      <c r="K187" s="2914">
        <f t="shared" si="38"/>
        <v>1</v>
      </c>
      <c r="L187" s="3182"/>
      <c r="M187" s="2914">
        <f t="shared" si="39"/>
        <v>1</v>
      </c>
      <c r="N187" s="3182"/>
      <c r="O187" s="2914">
        <f t="shared" si="40"/>
        <v>1</v>
      </c>
      <c r="P187" s="3182"/>
      <c r="Q187" s="2914">
        <f t="shared" si="41"/>
        <v>1</v>
      </c>
      <c r="R187" s="2665">
        <f t="shared" si="42"/>
        <v>0</v>
      </c>
      <c r="S187" s="2790">
        <f t="shared" ref="S187:S222" si="43">ROUND(R187*B187/10000,0)</f>
        <v>0</v>
      </c>
    </row>
    <row r="188" spans="1:19">
      <c r="A188" s="2916"/>
      <c r="B188" s="3180"/>
      <c r="C188" s="2914">
        <f t="shared" si="34"/>
        <v>1</v>
      </c>
      <c r="D188" s="3182"/>
      <c r="E188" s="2914">
        <f t="shared" si="35"/>
        <v>1</v>
      </c>
      <c r="F188" s="3182"/>
      <c r="G188" s="2914">
        <f t="shared" si="36"/>
        <v>1</v>
      </c>
      <c r="H188" s="3182"/>
      <c r="I188" s="2914">
        <f t="shared" si="37"/>
        <v>1</v>
      </c>
      <c r="J188" s="3182"/>
      <c r="K188" s="2914">
        <f t="shared" si="38"/>
        <v>1</v>
      </c>
      <c r="L188" s="3182"/>
      <c r="M188" s="2914">
        <f t="shared" si="39"/>
        <v>1</v>
      </c>
      <c r="N188" s="3182"/>
      <c r="O188" s="2914">
        <f t="shared" si="40"/>
        <v>1</v>
      </c>
      <c r="P188" s="3182"/>
      <c r="Q188" s="2914">
        <f t="shared" si="41"/>
        <v>1</v>
      </c>
      <c r="R188" s="2665">
        <f t="shared" si="42"/>
        <v>0</v>
      </c>
      <c r="S188" s="2790">
        <f t="shared" si="43"/>
        <v>0</v>
      </c>
    </row>
    <row r="189" spans="1:19">
      <c r="A189" s="2916"/>
      <c r="B189" s="3180"/>
      <c r="C189" s="2914">
        <f t="shared" si="34"/>
        <v>1</v>
      </c>
      <c r="D189" s="3182"/>
      <c r="E189" s="2914">
        <f t="shared" si="35"/>
        <v>1</v>
      </c>
      <c r="F189" s="3182"/>
      <c r="G189" s="2914">
        <f t="shared" si="36"/>
        <v>1</v>
      </c>
      <c r="H189" s="3182"/>
      <c r="I189" s="2914">
        <f t="shared" si="37"/>
        <v>1</v>
      </c>
      <c r="J189" s="3182"/>
      <c r="K189" s="2914">
        <f t="shared" si="38"/>
        <v>1</v>
      </c>
      <c r="L189" s="3182"/>
      <c r="M189" s="2914">
        <f t="shared" si="39"/>
        <v>1</v>
      </c>
      <c r="N189" s="3182"/>
      <c r="O189" s="2914">
        <f t="shared" si="40"/>
        <v>1</v>
      </c>
      <c r="P189" s="3182"/>
      <c r="Q189" s="2914">
        <f t="shared" si="41"/>
        <v>1</v>
      </c>
      <c r="R189" s="2665">
        <f t="shared" si="42"/>
        <v>0</v>
      </c>
      <c r="S189" s="2790">
        <f t="shared" si="43"/>
        <v>0</v>
      </c>
    </row>
    <row r="190" spans="1:19">
      <c r="A190" s="2916"/>
      <c r="B190" s="3180"/>
      <c r="C190" s="2914">
        <f t="shared" si="34"/>
        <v>1</v>
      </c>
      <c r="D190" s="3182"/>
      <c r="E190" s="2914">
        <f t="shared" si="35"/>
        <v>1</v>
      </c>
      <c r="F190" s="3182"/>
      <c r="G190" s="2914">
        <f t="shared" si="36"/>
        <v>1</v>
      </c>
      <c r="H190" s="3182"/>
      <c r="I190" s="2914">
        <f t="shared" si="37"/>
        <v>1</v>
      </c>
      <c r="J190" s="3182"/>
      <c r="K190" s="2914">
        <f t="shared" si="38"/>
        <v>1</v>
      </c>
      <c r="L190" s="3182"/>
      <c r="M190" s="2914">
        <f t="shared" si="39"/>
        <v>1</v>
      </c>
      <c r="N190" s="3182"/>
      <c r="O190" s="2914">
        <f t="shared" si="40"/>
        <v>1</v>
      </c>
      <c r="P190" s="3182"/>
      <c r="Q190" s="2914">
        <f t="shared" si="41"/>
        <v>1</v>
      </c>
      <c r="R190" s="2665">
        <f t="shared" si="42"/>
        <v>0</v>
      </c>
      <c r="S190" s="2790">
        <f t="shared" si="43"/>
        <v>0</v>
      </c>
    </row>
    <row r="191" spans="1:19">
      <c r="A191" s="2916"/>
      <c r="B191" s="3180"/>
      <c r="C191" s="2914">
        <f t="shared" si="34"/>
        <v>1</v>
      </c>
      <c r="D191" s="3182"/>
      <c r="E191" s="2914">
        <f t="shared" si="35"/>
        <v>1</v>
      </c>
      <c r="F191" s="3182"/>
      <c r="G191" s="2914">
        <f t="shared" si="36"/>
        <v>1</v>
      </c>
      <c r="H191" s="3182"/>
      <c r="I191" s="2914">
        <f t="shared" si="37"/>
        <v>1</v>
      </c>
      <c r="J191" s="3182"/>
      <c r="K191" s="2914">
        <f t="shared" si="38"/>
        <v>1</v>
      </c>
      <c r="L191" s="3182"/>
      <c r="M191" s="2914">
        <f t="shared" si="39"/>
        <v>1</v>
      </c>
      <c r="N191" s="3182"/>
      <c r="O191" s="2914">
        <f t="shared" si="40"/>
        <v>1</v>
      </c>
      <c r="P191" s="3182"/>
      <c r="Q191" s="2914">
        <f t="shared" si="41"/>
        <v>1</v>
      </c>
      <c r="R191" s="2665">
        <f t="shared" si="42"/>
        <v>0</v>
      </c>
      <c r="S191" s="2790">
        <f t="shared" si="43"/>
        <v>0</v>
      </c>
    </row>
    <row r="192" spans="1:19">
      <c r="A192" s="2916"/>
      <c r="B192" s="3180"/>
      <c r="C192" s="2914">
        <f t="shared" si="34"/>
        <v>1</v>
      </c>
      <c r="D192" s="3182"/>
      <c r="E192" s="2914">
        <f t="shared" si="35"/>
        <v>1</v>
      </c>
      <c r="F192" s="3182"/>
      <c r="G192" s="2914">
        <f t="shared" si="36"/>
        <v>1</v>
      </c>
      <c r="H192" s="3182"/>
      <c r="I192" s="2914">
        <f t="shared" si="37"/>
        <v>1</v>
      </c>
      <c r="J192" s="3182"/>
      <c r="K192" s="2914">
        <f t="shared" si="38"/>
        <v>1</v>
      </c>
      <c r="L192" s="3182"/>
      <c r="M192" s="2914">
        <f t="shared" si="39"/>
        <v>1</v>
      </c>
      <c r="N192" s="3182"/>
      <c r="O192" s="2914">
        <f t="shared" si="40"/>
        <v>1</v>
      </c>
      <c r="P192" s="3182"/>
      <c r="Q192" s="2914">
        <f t="shared" si="41"/>
        <v>1</v>
      </c>
      <c r="R192" s="2665">
        <f t="shared" si="42"/>
        <v>0</v>
      </c>
      <c r="S192" s="2790">
        <f t="shared" si="43"/>
        <v>0</v>
      </c>
    </row>
    <row r="193" spans="1:19">
      <c r="A193" s="2916"/>
      <c r="B193" s="3180"/>
      <c r="C193" s="2914">
        <f t="shared" si="34"/>
        <v>1</v>
      </c>
      <c r="D193" s="3182"/>
      <c r="E193" s="2914">
        <f t="shared" si="35"/>
        <v>1</v>
      </c>
      <c r="F193" s="3182"/>
      <c r="G193" s="2914">
        <f t="shared" si="36"/>
        <v>1</v>
      </c>
      <c r="H193" s="3182"/>
      <c r="I193" s="2914">
        <f t="shared" si="37"/>
        <v>1</v>
      </c>
      <c r="J193" s="3182"/>
      <c r="K193" s="2914">
        <f t="shared" si="38"/>
        <v>1</v>
      </c>
      <c r="L193" s="3182"/>
      <c r="M193" s="2914">
        <f t="shared" si="39"/>
        <v>1</v>
      </c>
      <c r="N193" s="3182"/>
      <c r="O193" s="2914">
        <f t="shared" si="40"/>
        <v>1</v>
      </c>
      <c r="P193" s="3182"/>
      <c r="Q193" s="2914">
        <f t="shared" si="41"/>
        <v>1</v>
      </c>
      <c r="R193" s="2665">
        <f t="shared" si="42"/>
        <v>0</v>
      </c>
      <c r="S193" s="2790">
        <f t="shared" si="43"/>
        <v>0</v>
      </c>
    </row>
    <row r="194" spans="1:19">
      <c r="A194" s="2916"/>
      <c r="B194" s="3180"/>
      <c r="C194" s="2914">
        <f t="shared" si="34"/>
        <v>1</v>
      </c>
      <c r="D194" s="3182"/>
      <c r="E194" s="2914">
        <f t="shared" si="35"/>
        <v>1</v>
      </c>
      <c r="F194" s="3182"/>
      <c r="G194" s="2914">
        <f t="shared" si="36"/>
        <v>1</v>
      </c>
      <c r="H194" s="3182"/>
      <c r="I194" s="2914">
        <f t="shared" si="37"/>
        <v>1</v>
      </c>
      <c r="J194" s="3182"/>
      <c r="K194" s="2914">
        <f t="shared" si="38"/>
        <v>1</v>
      </c>
      <c r="L194" s="3182"/>
      <c r="M194" s="2914">
        <f t="shared" si="39"/>
        <v>1</v>
      </c>
      <c r="N194" s="3182"/>
      <c r="O194" s="2914">
        <f t="shared" si="40"/>
        <v>1</v>
      </c>
      <c r="P194" s="3182"/>
      <c r="Q194" s="2914">
        <f t="shared" si="41"/>
        <v>1</v>
      </c>
      <c r="R194" s="2665">
        <f t="shared" si="42"/>
        <v>0</v>
      </c>
      <c r="S194" s="2790">
        <f t="shared" si="43"/>
        <v>0</v>
      </c>
    </row>
    <row r="195" spans="1:19">
      <c r="A195" s="2916"/>
      <c r="B195" s="3180"/>
      <c r="C195" s="2914">
        <f t="shared" si="34"/>
        <v>1</v>
      </c>
      <c r="D195" s="3182"/>
      <c r="E195" s="2914">
        <f t="shared" si="35"/>
        <v>1</v>
      </c>
      <c r="F195" s="3182"/>
      <c r="G195" s="2914">
        <f t="shared" si="36"/>
        <v>1</v>
      </c>
      <c r="H195" s="3182"/>
      <c r="I195" s="2914">
        <f t="shared" si="37"/>
        <v>1</v>
      </c>
      <c r="J195" s="3182"/>
      <c r="K195" s="2914">
        <f t="shared" si="38"/>
        <v>1</v>
      </c>
      <c r="L195" s="3182"/>
      <c r="M195" s="2914">
        <f t="shared" si="39"/>
        <v>1</v>
      </c>
      <c r="N195" s="3182"/>
      <c r="O195" s="2914">
        <f t="shared" si="40"/>
        <v>1</v>
      </c>
      <c r="P195" s="3182"/>
      <c r="Q195" s="2914">
        <f t="shared" si="41"/>
        <v>1</v>
      </c>
      <c r="R195" s="2665">
        <f t="shared" si="42"/>
        <v>0</v>
      </c>
      <c r="S195" s="2790">
        <f t="shared" si="43"/>
        <v>0</v>
      </c>
    </row>
    <row r="196" spans="1:19">
      <c r="A196" s="2916"/>
      <c r="B196" s="3180"/>
      <c r="C196" s="2914">
        <f t="shared" si="34"/>
        <v>1</v>
      </c>
      <c r="D196" s="3182"/>
      <c r="E196" s="2914">
        <f t="shared" si="35"/>
        <v>1</v>
      </c>
      <c r="F196" s="3182"/>
      <c r="G196" s="2914">
        <f t="shared" si="36"/>
        <v>1</v>
      </c>
      <c r="H196" s="3182"/>
      <c r="I196" s="2914">
        <f t="shared" si="37"/>
        <v>1</v>
      </c>
      <c r="J196" s="3182"/>
      <c r="K196" s="2914">
        <f t="shared" si="38"/>
        <v>1</v>
      </c>
      <c r="L196" s="3182"/>
      <c r="M196" s="2914">
        <f t="shared" si="39"/>
        <v>1</v>
      </c>
      <c r="N196" s="3182"/>
      <c r="O196" s="2914">
        <f t="shared" si="40"/>
        <v>1</v>
      </c>
      <c r="P196" s="3182"/>
      <c r="Q196" s="2914">
        <f t="shared" si="41"/>
        <v>1</v>
      </c>
      <c r="R196" s="2665">
        <f t="shared" si="42"/>
        <v>0</v>
      </c>
      <c r="S196" s="2790">
        <f t="shared" si="43"/>
        <v>0</v>
      </c>
    </row>
    <row r="197" spans="1:19">
      <c r="A197" s="2916"/>
      <c r="B197" s="3180"/>
      <c r="C197" s="2914">
        <f t="shared" si="34"/>
        <v>1</v>
      </c>
      <c r="D197" s="3182"/>
      <c r="E197" s="2914">
        <f t="shared" si="35"/>
        <v>1</v>
      </c>
      <c r="F197" s="3182"/>
      <c r="G197" s="2914">
        <f t="shared" si="36"/>
        <v>1</v>
      </c>
      <c r="H197" s="3182"/>
      <c r="I197" s="2914">
        <f t="shared" si="37"/>
        <v>1</v>
      </c>
      <c r="J197" s="3182"/>
      <c r="K197" s="2914">
        <f t="shared" si="38"/>
        <v>1</v>
      </c>
      <c r="L197" s="3182"/>
      <c r="M197" s="2914">
        <f t="shared" si="39"/>
        <v>1</v>
      </c>
      <c r="N197" s="3182"/>
      <c r="O197" s="2914">
        <f t="shared" si="40"/>
        <v>1</v>
      </c>
      <c r="P197" s="3182"/>
      <c r="Q197" s="2914">
        <f t="shared" si="41"/>
        <v>1</v>
      </c>
      <c r="R197" s="2665">
        <f t="shared" si="42"/>
        <v>0</v>
      </c>
      <c r="S197" s="2790">
        <f t="shared" si="43"/>
        <v>0</v>
      </c>
    </row>
    <row r="198" spans="1:19">
      <c r="A198" s="2916"/>
      <c r="B198" s="3180"/>
      <c r="C198" s="2914">
        <f t="shared" si="34"/>
        <v>1</v>
      </c>
      <c r="D198" s="3182"/>
      <c r="E198" s="2914">
        <f t="shared" si="35"/>
        <v>1</v>
      </c>
      <c r="F198" s="3182"/>
      <c r="G198" s="2914">
        <f t="shared" si="36"/>
        <v>1</v>
      </c>
      <c r="H198" s="3182"/>
      <c r="I198" s="2914">
        <f t="shared" si="37"/>
        <v>1</v>
      </c>
      <c r="J198" s="3182"/>
      <c r="K198" s="2914">
        <f t="shared" si="38"/>
        <v>1</v>
      </c>
      <c r="L198" s="3182"/>
      <c r="M198" s="2914">
        <f t="shared" si="39"/>
        <v>1</v>
      </c>
      <c r="N198" s="3182"/>
      <c r="O198" s="2914">
        <f t="shared" si="40"/>
        <v>1</v>
      </c>
      <c r="P198" s="3182"/>
      <c r="Q198" s="2914">
        <f t="shared" si="41"/>
        <v>1</v>
      </c>
      <c r="R198" s="2665">
        <f t="shared" si="42"/>
        <v>0</v>
      </c>
      <c r="S198" s="2790">
        <f t="shared" si="43"/>
        <v>0</v>
      </c>
    </row>
    <row r="199" spans="1:19">
      <c r="A199" s="2916"/>
      <c r="B199" s="3180"/>
      <c r="C199" s="2914">
        <f t="shared" si="34"/>
        <v>1</v>
      </c>
      <c r="D199" s="3182"/>
      <c r="E199" s="2914">
        <f t="shared" si="35"/>
        <v>1</v>
      </c>
      <c r="F199" s="3182"/>
      <c r="G199" s="2914">
        <f t="shared" si="36"/>
        <v>1</v>
      </c>
      <c r="H199" s="3182"/>
      <c r="I199" s="2914">
        <f t="shared" si="37"/>
        <v>1</v>
      </c>
      <c r="J199" s="3182"/>
      <c r="K199" s="2914">
        <f t="shared" si="38"/>
        <v>1</v>
      </c>
      <c r="L199" s="3182"/>
      <c r="M199" s="2914">
        <f t="shared" si="39"/>
        <v>1</v>
      </c>
      <c r="N199" s="3182"/>
      <c r="O199" s="2914">
        <f t="shared" si="40"/>
        <v>1</v>
      </c>
      <c r="P199" s="3182"/>
      <c r="Q199" s="2914">
        <f t="shared" si="41"/>
        <v>1</v>
      </c>
      <c r="R199" s="2665">
        <f t="shared" si="42"/>
        <v>0</v>
      </c>
      <c r="S199" s="2790">
        <f t="shared" si="43"/>
        <v>0</v>
      </c>
    </row>
    <row r="200" spans="1:19">
      <c r="A200" s="2916"/>
      <c r="B200" s="3180"/>
      <c r="C200" s="2914">
        <f t="shared" si="34"/>
        <v>1</v>
      </c>
      <c r="D200" s="3182"/>
      <c r="E200" s="2914">
        <f t="shared" si="35"/>
        <v>1</v>
      </c>
      <c r="F200" s="3182"/>
      <c r="G200" s="2914">
        <f t="shared" si="36"/>
        <v>1</v>
      </c>
      <c r="H200" s="3182"/>
      <c r="I200" s="2914">
        <f t="shared" si="37"/>
        <v>1</v>
      </c>
      <c r="J200" s="3182"/>
      <c r="K200" s="2914">
        <f t="shared" si="38"/>
        <v>1</v>
      </c>
      <c r="L200" s="3182"/>
      <c r="M200" s="2914">
        <f t="shared" si="39"/>
        <v>1</v>
      </c>
      <c r="N200" s="3182"/>
      <c r="O200" s="2914">
        <f t="shared" si="40"/>
        <v>1</v>
      </c>
      <c r="P200" s="3182"/>
      <c r="Q200" s="2914">
        <f t="shared" si="41"/>
        <v>1</v>
      </c>
      <c r="R200" s="2665">
        <f t="shared" si="42"/>
        <v>0</v>
      </c>
      <c r="S200" s="2790">
        <f t="shared" si="43"/>
        <v>0</v>
      </c>
    </row>
    <row r="201" spans="1:19">
      <c r="A201" s="2916"/>
      <c r="B201" s="3180"/>
      <c r="C201" s="2914">
        <f t="shared" si="34"/>
        <v>1</v>
      </c>
      <c r="D201" s="3182"/>
      <c r="E201" s="2914">
        <f t="shared" si="35"/>
        <v>1</v>
      </c>
      <c r="F201" s="3182"/>
      <c r="G201" s="2914">
        <f t="shared" si="36"/>
        <v>1</v>
      </c>
      <c r="H201" s="3182"/>
      <c r="I201" s="2914">
        <f t="shared" si="37"/>
        <v>1</v>
      </c>
      <c r="J201" s="3182"/>
      <c r="K201" s="2914">
        <f t="shared" si="38"/>
        <v>1</v>
      </c>
      <c r="L201" s="3182"/>
      <c r="M201" s="2914">
        <f t="shared" si="39"/>
        <v>1</v>
      </c>
      <c r="N201" s="3182"/>
      <c r="O201" s="2914">
        <f t="shared" si="40"/>
        <v>1</v>
      </c>
      <c r="P201" s="3182"/>
      <c r="Q201" s="2914">
        <f t="shared" si="41"/>
        <v>1</v>
      </c>
      <c r="R201" s="2665">
        <f t="shared" si="42"/>
        <v>0</v>
      </c>
      <c r="S201" s="2790">
        <f t="shared" si="43"/>
        <v>0</v>
      </c>
    </row>
    <row r="202" spans="1:19">
      <c r="A202" s="2916"/>
      <c r="B202" s="3180"/>
      <c r="C202" s="2914">
        <f t="shared" si="34"/>
        <v>1</v>
      </c>
      <c r="D202" s="3182"/>
      <c r="E202" s="2914">
        <f t="shared" si="35"/>
        <v>1</v>
      </c>
      <c r="F202" s="3182"/>
      <c r="G202" s="2914">
        <f t="shared" si="36"/>
        <v>1</v>
      </c>
      <c r="H202" s="3182"/>
      <c r="I202" s="2914">
        <f t="shared" si="37"/>
        <v>1</v>
      </c>
      <c r="J202" s="3182"/>
      <c r="K202" s="2914">
        <f t="shared" si="38"/>
        <v>1</v>
      </c>
      <c r="L202" s="3182"/>
      <c r="M202" s="2914">
        <f t="shared" si="39"/>
        <v>1</v>
      </c>
      <c r="N202" s="3182"/>
      <c r="O202" s="2914">
        <f t="shared" si="40"/>
        <v>1</v>
      </c>
      <c r="P202" s="3182"/>
      <c r="Q202" s="2914">
        <f t="shared" si="41"/>
        <v>1</v>
      </c>
      <c r="R202" s="2665">
        <f t="shared" si="42"/>
        <v>0</v>
      </c>
      <c r="S202" s="2790">
        <f t="shared" si="43"/>
        <v>0</v>
      </c>
    </row>
    <row r="203" spans="1:19">
      <c r="A203" s="2916"/>
      <c r="B203" s="3180"/>
      <c r="C203" s="2914">
        <f t="shared" si="34"/>
        <v>1</v>
      </c>
      <c r="D203" s="3182"/>
      <c r="E203" s="2914">
        <f t="shared" si="35"/>
        <v>1</v>
      </c>
      <c r="F203" s="3182"/>
      <c r="G203" s="2914">
        <f t="shared" si="36"/>
        <v>1</v>
      </c>
      <c r="H203" s="3182"/>
      <c r="I203" s="2914">
        <f t="shared" si="37"/>
        <v>1</v>
      </c>
      <c r="J203" s="3182"/>
      <c r="K203" s="2914">
        <f t="shared" si="38"/>
        <v>1</v>
      </c>
      <c r="L203" s="3182"/>
      <c r="M203" s="2914">
        <f t="shared" si="39"/>
        <v>1</v>
      </c>
      <c r="N203" s="3182"/>
      <c r="O203" s="2914">
        <f t="shared" si="40"/>
        <v>1</v>
      </c>
      <c r="P203" s="3182"/>
      <c r="Q203" s="2914">
        <f t="shared" si="41"/>
        <v>1</v>
      </c>
      <c r="R203" s="2665">
        <f t="shared" si="42"/>
        <v>0</v>
      </c>
      <c r="S203" s="2790">
        <f t="shared" si="43"/>
        <v>0</v>
      </c>
    </row>
    <row r="204" spans="1:19">
      <c r="A204" s="2916"/>
      <c r="B204" s="3180"/>
      <c r="C204" s="2914">
        <f t="shared" si="34"/>
        <v>1</v>
      </c>
      <c r="D204" s="3182"/>
      <c r="E204" s="2914">
        <f t="shared" si="35"/>
        <v>1</v>
      </c>
      <c r="F204" s="3182"/>
      <c r="G204" s="2914">
        <f t="shared" si="36"/>
        <v>1</v>
      </c>
      <c r="H204" s="3182"/>
      <c r="I204" s="2914">
        <f t="shared" si="37"/>
        <v>1</v>
      </c>
      <c r="J204" s="3182"/>
      <c r="K204" s="2914">
        <f t="shared" si="38"/>
        <v>1</v>
      </c>
      <c r="L204" s="3182"/>
      <c r="M204" s="2914">
        <f t="shared" si="39"/>
        <v>1</v>
      </c>
      <c r="N204" s="3182"/>
      <c r="O204" s="2914">
        <f t="shared" si="40"/>
        <v>1</v>
      </c>
      <c r="P204" s="3182"/>
      <c r="Q204" s="2914">
        <f t="shared" si="41"/>
        <v>1</v>
      </c>
      <c r="R204" s="2665">
        <f t="shared" si="42"/>
        <v>0</v>
      </c>
      <c r="S204" s="2790">
        <f t="shared" si="43"/>
        <v>0</v>
      </c>
    </row>
    <row r="205" spans="1:19">
      <c r="A205" s="2916"/>
      <c r="B205" s="3180"/>
      <c r="C205" s="2914">
        <f t="shared" si="34"/>
        <v>1</v>
      </c>
      <c r="D205" s="3182"/>
      <c r="E205" s="2914">
        <f t="shared" si="35"/>
        <v>1</v>
      </c>
      <c r="F205" s="3182"/>
      <c r="G205" s="2914">
        <f t="shared" si="36"/>
        <v>1</v>
      </c>
      <c r="H205" s="3182"/>
      <c r="I205" s="2914">
        <f t="shared" si="37"/>
        <v>1</v>
      </c>
      <c r="J205" s="3182"/>
      <c r="K205" s="2914">
        <f t="shared" si="38"/>
        <v>1</v>
      </c>
      <c r="L205" s="3182"/>
      <c r="M205" s="2914">
        <f t="shared" si="39"/>
        <v>1</v>
      </c>
      <c r="N205" s="3182"/>
      <c r="O205" s="2914">
        <f t="shared" si="40"/>
        <v>1</v>
      </c>
      <c r="P205" s="3182"/>
      <c r="Q205" s="2914">
        <f t="shared" si="41"/>
        <v>1</v>
      </c>
      <c r="R205" s="2665">
        <f t="shared" si="42"/>
        <v>0</v>
      </c>
      <c r="S205" s="2790">
        <f t="shared" si="43"/>
        <v>0</v>
      </c>
    </row>
    <row r="206" spans="1:19">
      <c r="A206" s="2916"/>
      <c r="B206" s="3180"/>
      <c r="C206" s="2914">
        <f t="shared" si="34"/>
        <v>1</v>
      </c>
      <c r="D206" s="3182"/>
      <c r="E206" s="2914">
        <f t="shared" si="35"/>
        <v>1</v>
      </c>
      <c r="F206" s="3182"/>
      <c r="G206" s="2914">
        <f t="shared" si="36"/>
        <v>1</v>
      </c>
      <c r="H206" s="3182"/>
      <c r="I206" s="2914">
        <f t="shared" si="37"/>
        <v>1</v>
      </c>
      <c r="J206" s="3182"/>
      <c r="K206" s="2914">
        <f t="shared" si="38"/>
        <v>1</v>
      </c>
      <c r="L206" s="3182"/>
      <c r="M206" s="2914">
        <f t="shared" si="39"/>
        <v>1</v>
      </c>
      <c r="N206" s="3182"/>
      <c r="O206" s="2914">
        <f t="shared" si="40"/>
        <v>1</v>
      </c>
      <c r="P206" s="3182"/>
      <c r="Q206" s="2914">
        <f t="shared" si="41"/>
        <v>1</v>
      </c>
      <c r="R206" s="2665">
        <f t="shared" si="42"/>
        <v>0</v>
      </c>
      <c r="S206" s="2790">
        <f t="shared" si="43"/>
        <v>0</v>
      </c>
    </row>
    <row r="207" spans="1:19">
      <c r="A207" s="2916"/>
      <c r="B207" s="3180"/>
      <c r="C207" s="2914">
        <f t="shared" si="34"/>
        <v>1</v>
      </c>
      <c r="D207" s="3182"/>
      <c r="E207" s="2914">
        <f t="shared" si="35"/>
        <v>1</v>
      </c>
      <c r="F207" s="3182"/>
      <c r="G207" s="2914">
        <f t="shared" si="36"/>
        <v>1</v>
      </c>
      <c r="H207" s="3182"/>
      <c r="I207" s="2914">
        <f t="shared" si="37"/>
        <v>1</v>
      </c>
      <c r="J207" s="3182"/>
      <c r="K207" s="2914">
        <f t="shared" si="38"/>
        <v>1</v>
      </c>
      <c r="L207" s="3182"/>
      <c r="M207" s="2914">
        <f t="shared" si="39"/>
        <v>1</v>
      </c>
      <c r="N207" s="3182"/>
      <c r="O207" s="2914">
        <f t="shared" si="40"/>
        <v>1</v>
      </c>
      <c r="P207" s="3182"/>
      <c r="Q207" s="2914">
        <f t="shared" si="41"/>
        <v>1</v>
      </c>
      <c r="R207" s="2665">
        <f t="shared" si="42"/>
        <v>0</v>
      </c>
      <c r="S207" s="2790">
        <f t="shared" si="43"/>
        <v>0</v>
      </c>
    </row>
    <row r="208" spans="1:19">
      <c r="A208" s="2916"/>
      <c r="B208" s="3180"/>
      <c r="C208" s="2914">
        <f t="shared" si="34"/>
        <v>1</v>
      </c>
      <c r="D208" s="3182"/>
      <c r="E208" s="2914">
        <f t="shared" si="35"/>
        <v>1</v>
      </c>
      <c r="F208" s="3182"/>
      <c r="G208" s="2914">
        <f t="shared" si="36"/>
        <v>1</v>
      </c>
      <c r="H208" s="3182"/>
      <c r="I208" s="2914">
        <f t="shared" si="37"/>
        <v>1</v>
      </c>
      <c r="J208" s="3182"/>
      <c r="K208" s="2914">
        <f t="shared" si="38"/>
        <v>1</v>
      </c>
      <c r="L208" s="3182"/>
      <c r="M208" s="2914">
        <f t="shared" si="39"/>
        <v>1</v>
      </c>
      <c r="N208" s="3182"/>
      <c r="O208" s="2914">
        <f t="shared" si="40"/>
        <v>1</v>
      </c>
      <c r="P208" s="3182"/>
      <c r="Q208" s="2914">
        <f t="shared" si="41"/>
        <v>1</v>
      </c>
      <c r="R208" s="2665">
        <f t="shared" si="42"/>
        <v>0</v>
      </c>
      <c r="S208" s="2790">
        <f t="shared" si="43"/>
        <v>0</v>
      </c>
    </row>
    <row r="209" spans="1:19">
      <c r="A209" s="2916"/>
      <c r="B209" s="3180"/>
      <c r="C209" s="2914">
        <f t="shared" si="34"/>
        <v>1</v>
      </c>
      <c r="D209" s="3182"/>
      <c r="E209" s="2914">
        <f t="shared" si="35"/>
        <v>1</v>
      </c>
      <c r="F209" s="3182"/>
      <c r="G209" s="2914">
        <f t="shared" si="36"/>
        <v>1</v>
      </c>
      <c r="H209" s="3182"/>
      <c r="I209" s="2914">
        <f t="shared" si="37"/>
        <v>1</v>
      </c>
      <c r="J209" s="3182"/>
      <c r="K209" s="2914">
        <f t="shared" si="38"/>
        <v>1</v>
      </c>
      <c r="L209" s="3182"/>
      <c r="M209" s="2914">
        <f t="shared" si="39"/>
        <v>1</v>
      </c>
      <c r="N209" s="3182"/>
      <c r="O209" s="2914">
        <f t="shared" si="40"/>
        <v>1</v>
      </c>
      <c r="P209" s="3182"/>
      <c r="Q209" s="2914">
        <f t="shared" si="41"/>
        <v>1</v>
      </c>
      <c r="R209" s="2665">
        <f t="shared" si="42"/>
        <v>0</v>
      </c>
      <c r="S209" s="2790">
        <f t="shared" si="43"/>
        <v>0</v>
      </c>
    </row>
    <row r="210" spans="1:19">
      <c r="A210" s="2916"/>
      <c r="B210" s="3180"/>
      <c r="C210" s="2914">
        <f t="shared" si="34"/>
        <v>1</v>
      </c>
      <c r="D210" s="3182"/>
      <c r="E210" s="2914">
        <f t="shared" si="35"/>
        <v>1</v>
      </c>
      <c r="F210" s="3182"/>
      <c r="G210" s="2914">
        <f t="shared" si="36"/>
        <v>1</v>
      </c>
      <c r="H210" s="3182"/>
      <c r="I210" s="2914">
        <f t="shared" si="37"/>
        <v>1</v>
      </c>
      <c r="J210" s="3182"/>
      <c r="K210" s="2914">
        <f t="shared" si="38"/>
        <v>1</v>
      </c>
      <c r="L210" s="3182"/>
      <c r="M210" s="2914">
        <f t="shared" si="39"/>
        <v>1</v>
      </c>
      <c r="N210" s="3182"/>
      <c r="O210" s="2914">
        <f t="shared" si="40"/>
        <v>1</v>
      </c>
      <c r="P210" s="3182"/>
      <c r="Q210" s="2914">
        <f t="shared" si="41"/>
        <v>1</v>
      </c>
      <c r="R210" s="2665">
        <f t="shared" si="42"/>
        <v>0</v>
      </c>
      <c r="S210" s="2790">
        <f t="shared" si="43"/>
        <v>0</v>
      </c>
    </row>
    <row r="211" spans="1:19">
      <c r="A211" s="2916"/>
      <c r="B211" s="3180"/>
      <c r="C211" s="2914">
        <f t="shared" si="34"/>
        <v>1</v>
      </c>
      <c r="D211" s="3182"/>
      <c r="E211" s="2914">
        <f t="shared" si="35"/>
        <v>1</v>
      </c>
      <c r="F211" s="3182"/>
      <c r="G211" s="2914">
        <f t="shared" si="36"/>
        <v>1</v>
      </c>
      <c r="H211" s="3182"/>
      <c r="I211" s="2914">
        <f t="shared" si="37"/>
        <v>1</v>
      </c>
      <c r="J211" s="3182"/>
      <c r="K211" s="2914">
        <f t="shared" si="38"/>
        <v>1</v>
      </c>
      <c r="L211" s="3182"/>
      <c r="M211" s="2914">
        <f t="shared" si="39"/>
        <v>1</v>
      </c>
      <c r="N211" s="3182"/>
      <c r="O211" s="2914">
        <f t="shared" si="40"/>
        <v>1</v>
      </c>
      <c r="P211" s="3182"/>
      <c r="Q211" s="2914">
        <f t="shared" si="41"/>
        <v>1</v>
      </c>
      <c r="R211" s="2665">
        <f t="shared" si="42"/>
        <v>0</v>
      </c>
      <c r="S211" s="2790">
        <f t="shared" si="43"/>
        <v>0</v>
      </c>
    </row>
    <row r="212" spans="1:19">
      <c r="A212" s="2916"/>
      <c r="B212" s="3180"/>
      <c r="C212" s="2914">
        <f t="shared" si="34"/>
        <v>1</v>
      </c>
      <c r="D212" s="3182"/>
      <c r="E212" s="2914">
        <f t="shared" si="35"/>
        <v>1</v>
      </c>
      <c r="F212" s="3182"/>
      <c r="G212" s="2914">
        <f t="shared" si="36"/>
        <v>1</v>
      </c>
      <c r="H212" s="3182"/>
      <c r="I212" s="2914">
        <f t="shared" si="37"/>
        <v>1</v>
      </c>
      <c r="J212" s="3182"/>
      <c r="K212" s="2914">
        <f t="shared" si="38"/>
        <v>1</v>
      </c>
      <c r="L212" s="3182"/>
      <c r="M212" s="2914">
        <f t="shared" si="39"/>
        <v>1</v>
      </c>
      <c r="N212" s="3182"/>
      <c r="O212" s="2914">
        <f t="shared" si="40"/>
        <v>1</v>
      </c>
      <c r="P212" s="3182"/>
      <c r="Q212" s="2914">
        <f t="shared" si="41"/>
        <v>1</v>
      </c>
      <c r="R212" s="2665">
        <f t="shared" si="42"/>
        <v>0</v>
      </c>
      <c r="S212" s="2790">
        <f t="shared" si="43"/>
        <v>0</v>
      </c>
    </row>
    <row r="213" spans="1:19">
      <c r="A213" s="2916"/>
      <c r="B213" s="3180"/>
      <c r="C213" s="2914">
        <f t="shared" si="34"/>
        <v>1</v>
      </c>
      <c r="D213" s="3182"/>
      <c r="E213" s="2914">
        <f t="shared" si="35"/>
        <v>1</v>
      </c>
      <c r="F213" s="3182"/>
      <c r="G213" s="2914">
        <f t="shared" si="36"/>
        <v>1</v>
      </c>
      <c r="H213" s="3182"/>
      <c r="I213" s="2914">
        <f t="shared" si="37"/>
        <v>1</v>
      </c>
      <c r="J213" s="3182"/>
      <c r="K213" s="2914">
        <f t="shared" si="38"/>
        <v>1</v>
      </c>
      <c r="L213" s="3182"/>
      <c r="M213" s="2914">
        <f t="shared" si="39"/>
        <v>1</v>
      </c>
      <c r="N213" s="3182"/>
      <c r="O213" s="2914">
        <f t="shared" si="40"/>
        <v>1</v>
      </c>
      <c r="P213" s="3182"/>
      <c r="Q213" s="2914">
        <f t="shared" si="41"/>
        <v>1</v>
      </c>
      <c r="R213" s="2665">
        <f t="shared" si="42"/>
        <v>0</v>
      </c>
      <c r="S213" s="2790">
        <f t="shared" si="43"/>
        <v>0</v>
      </c>
    </row>
    <row r="214" spans="1:19">
      <c r="A214" s="2916"/>
      <c r="B214" s="3180"/>
      <c r="C214" s="2914">
        <f t="shared" si="34"/>
        <v>1</v>
      </c>
      <c r="D214" s="3182"/>
      <c r="E214" s="2914">
        <f t="shared" si="35"/>
        <v>1</v>
      </c>
      <c r="F214" s="3182"/>
      <c r="G214" s="2914">
        <f t="shared" si="36"/>
        <v>1</v>
      </c>
      <c r="H214" s="3182"/>
      <c r="I214" s="2914">
        <f t="shared" si="37"/>
        <v>1</v>
      </c>
      <c r="J214" s="3182"/>
      <c r="K214" s="2914">
        <f t="shared" si="38"/>
        <v>1</v>
      </c>
      <c r="L214" s="3182"/>
      <c r="M214" s="2914">
        <f t="shared" si="39"/>
        <v>1</v>
      </c>
      <c r="N214" s="3182"/>
      <c r="O214" s="2914">
        <f t="shared" si="40"/>
        <v>1</v>
      </c>
      <c r="P214" s="3182"/>
      <c r="Q214" s="2914">
        <f t="shared" si="41"/>
        <v>1</v>
      </c>
      <c r="R214" s="2665">
        <f t="shared" si="42"/>
        <v>0</v>
      </c>
      <c r="S214" s="2790">
        <f t="shared" si="43"/>
        <v>0</v>
      </c>
    </row>
    <row r="215" spans="1:19">
      <c r="A215" s="2916"/>
      <c r="B215" s="3180"/>
      <c r="C215" s="2914">
        <f t="shared" si="34"/>
        <v>1</v>
      </c>
      <c r="D215" s="3182"/>
      <c r="E215" s="2914">
        <f t="shared" si="35"/>
        <v>1</v>
      </c>
      <c r="F215" s="3182"/>
      <c r="G215" s="2914">
        <f t="shared" si="36"/>
        <v>1</v>
      </c>
      <c r="H215" s="3182"/>
      <c r="I215" s="2914">
        <f t="shared" si="37"/>
        <v>1</v>
      </c>
      <c r="J215" s="3182"/>
      <c r="K215" s="2914">
        <f t="shared" si="38"/>
        <v>1</v>
      </c>
      <c r="L215" s="3182"/>
      <c r="M215" s="2914">
        <f t="shared" si="39"/>
        <v>1</v>
      </c>
      <c r="N215" s="3182"/>
      <c r="O215" s="2914">
        <f t="shared" si="40"/>
        <v>1</v>
      </c>
      <c r="P215" s="3182"/>
      <c r="Q215" s="2914">
        <f t="shared" si="41"/>
        <v>1</v>
      </c>
      <c r="R215" s="2665">
        <f t="shared" si="42"/>
        <v>0</v>
      </c>
      <c r="S215" s="2790">
        <f t="shared" si="43"/>
        <v>0</v>
      </c>
    </row>
    <row r="216" spans="1:19">
      <c r="A216" s="2916"/>
      <c r="B216" s="3180"/>
      <c r="C216" s="2914">
        <f t="shared" si="34"/>
        <v>1</v>
      </c>
      <c r="D216" s="3182"/>
      <c r="E216" s="2914">
        <f t="shared" si="35"/>
        <v>1</v>
      </c>
      <c r="F216" s="3182"/>
      <c r="G216" s="2914">
        <f t="shared" si="36"/>
        <v>1</v>
      </c>
      <c r="H216" s="3182"/>
      <c r="I216" s="2914">
        <f t="shared" si="37"/>
        <v>1</v>
      </c>
      <c r="J216" s="3182"/>
      <c r="K216" s="2914">
        <f t="shared" si="38"/>
        <v>1</v>
      </c>
      <c r="L216" s="3182"/>
      <c r="M216" s="2914">
        <f t="shared" si="39"/>
        <v>1</v>
      </c>
      <c r="N216" s="3182"/>
      <c r="O216" s="2914">
        <f t="shared" si="40"/>
        <v>1</v>
      </c>
      <c r="P216" s="3182"/>
      <c r="Q216" s="2914">
        <f t="shared" si="41"/>
        <v>1</v>
      </c>
      <c r="R216" s="2665">
        <f t="shared" si="42"/>
        <v>0</v>
      </c>
      <c r="S216" s="2790">
        <f t="shared" si="43"/>
        <v>0</v>
      </c>
    </row>
    <row r="217" spans="1:19">
      <c r="A217" s="2916"/>
      <c r="B217" s="3180"/>
      <c r="C217" s="2914">
        <f t="shared" si="34"/>
        <v>1</v>
      </c>
      <c r="D217" s="3182"/>
      <c r="E217" s="2914">
        <f t="shared" si="35"/>
        <v>1</v>
      </c>
      <c r="F217" s="3182"/>
      <c r="G217" s="2914">
        <f t="shared" si="36"/>
        <v>1</v>
      </c>
      <c r="H217" s="3182"/>
      <c r="I217" s="2914">
        <f t="shared" si="37"/>
        <v>1</v>
      </c>
      <c r="J217" s="3182"/>
      <c r="K217" s="2914">
        <f t="shared" si="38"/>
        <v>1</v>
      </c>
      <c r="L217" s="3182"/>
      <c r="M217" s="2914">
        <f t="shared" si="39"/>
        <v>1</v>
      </c>
      <c r="N217" s="3182"/>
      <c r="O217" s="2914">
        <f t="shared" si="40"/>
        <v>1</v>
      </c>
      <c r="P217" s="3182"/>
      <c r="Q217" s="2914">
        <f t="shared" si="41"/>
        <v>1</v>
      </c>
      <c r="R217" s="2665">
        <f t="shared" si="42"/>
        <v>0</v>
      </c>
      <c r="S217" s="2790">
        <f t="shared" si="43"/>
        <v>0</v>
      </c>
    </row>
    <row r="218" spans="1:19">
      <c r="A218" s="2916"/>
      <c r="B218" s="3180"/>
      <c r="C218" s="2914">
        <f t="shared" ref="C218:C281" si="44">IF(B218="",1,(LOOKUP(B218,$3:$3,$4:$4)-LOOKUP($B$24,$3:$3,$4:$4)+100)/100)</f>
        <v>1</v>
      </c>
      <c r="D218" s="3182"/>
      <c r="E218" s="2914">
        <f t="shared" ref="E218:E281" si="45">(SUMIF($5:$5,D218,$6:$6)-SUMIF($5:$5,$D$24,$6:$6)+100)/100</f>
        <v>1</v>
      </c>
      <c r="F218" s="3182"/>
      <c r="G218" s="2914">
        <f t="shared" ref="G218:G281" si="46">(SUMIF($7:$7,F218,$8:$8)-SUMIF($7:$7,$F$24,$8:$8)+100)/100</f>
        <v>1</v>
      </c>
      <c r="H218" s="3182"/>
      <c r="I218" s="2914">
        <f t="shared" ref="I218:I281" si="47">(SUMIF($9:$9,H218,$10:$10)-SUMIF($9:$9,$H$24,$10:$10)+100)/100</f>
        <v>1</v>
      </c>
      <c r="J218" s="3182"/>
      <c r="K218" s="2914">
        <f t="shared" ref="K218:K281" si="48">(SUMIF($11:$11,J218,$12:$12)-SUMIF($11:$11,$J$24,$12:$12)+100)/100</f>
        <v>1</v>
      </c>
      <c r="L218" s="3182"/>
      <c r="M218" s="2914">
        <f t="shared" ref="M218:M281" si="49">(SUMIF($13:$13,L218,$14:$14)-SUMIF($13:$13,$L$24,$14:$14)+100)/100</f>
        <v>1</v>
      </c>
      <c r="N218" s="3182"/>
      <c r="O218" s="2914">
        <f t="shared" ref="O218:O281" si="50">(SUMIF($15:$15,N218,$16:$16)-SUMIF($15:$15,$N$24,$16:$16)+100)/100</f>
        <v>1</v>
      </c>
      <c r="P218" s="3182"/>
      <c r="Q218" s="2914">
        <f t="shared" ref="Q218:Q281" si="51">(SUMIF($17:$17,P218,$18:$18)-SUMIF($17:$17,$P$24,$18:$18)+100)/100</f>
        <v>1</v>
      </c>
      <c r="R218" s="2665">
        <f t="shared" ref="R218:R281" si="52">IF(B218="",0,ROUND($R$24*C218*E218*G218*I218*K218*M218*O218*Q218,0))</f>
        <v>0</v>
      </c>
      <c r="S218" s="2790">
        <f t="shared" si="43"/>
        <v>0</v>
      </c>
    </row>
    <row r="219" spans="1:19">
      <c r="A219" s="2916"/>
      <c r="B219" s="3180"/>
      <c r="C219" s="2914">
        <f t="shared" si="44"/>
        <v>1</v>
      </c>
      <c r="D219" s="3182"/>
      <c r="E219" s="2914">
        <f t="shared" si="45"/>
        <v>1</v>
      </c>
      <c r="F219" s="3182"/>
      <c r="G219" s="2914">
        <f t="shared" si="46"/>
        <v>1</v>
      </c>
      <c r="H219" s="3182"/>
      <c r="I219" s="2914">
        <f t="shared" si="47"/>
        <v>1</v>
      </c>
      <c r="J219" s="3182"/>
      <c r="K219" s="2914">
        <f t="shared" si="48"/>
        <v>1</v>
      </c>
      <c r="L219" s="3182"/>
      <c r="M219" s="2914">
        <f t="shared" si="49"/>
        <v>1</v>
      </c>
      <c r="N219" s="3182"/>
      <c r="O219" s="2914">
        <f t="shared" si="50"/>
        <v>1</v>
      </c>
      <c r="P219" s="3182"/>
      <c r="Q219" s="2914">
        <f t="shared" si="51"/>
        <v>1</v>
      </c>
      <c r="R219" s="2665">
        <f t="shared" si="52"/>
        <v>0</v>
      </c>
      <c r="S219" s="2790">
        <f t="shared" si="43"/>
        <v>0</v>
      </c>
    </row>
    <row r="220" spans="1:19">
      <c r="A220" s="2916"/>
      <c r="B220" s="3180"/>
      <c r="C220" s="2914">
        <f t="shared" si="44"/>
        <v>1</v>
      </c>
      <c r="D220" s="3182"/>
      <c r="E220" s="2914">
        <f t="shared" si="45"/>
        <v>1</v>
      </c>
      <c r="F220" s="3182"/>
      <c r="G220" s="2914">
        <f t="shared" si="46"/>
        <v>1</v>
      </c>
      <c r="H220" s="3182"/>
      <c r="I220" s="2914">
        <f t="shared" si="47"/>
        <v>1</v>
      </c>
      <c r="J220" s="3182"/>
      <c r="K220" s="2914">
        <f t="shared" si="48"/>
        <v>1</v>
      </c>
      <c r="L220" s="3182"/>
      <c r="M220" s="2914">
        <f t="shared" si="49"/>
        <v>1</v>
      </c>
      <c r="N220" s="3182"/>
      <c r="O220" s="2914">
        <f t="shared" si="50"/>
        <v>1</v>
      </c>
      <c r="P220" s="3182"/>
      <c r="Q220" s="2914">
        <f t="shared" si="51"/>
        <v>1</v>
      </c>
      <c r="R220" s="2665">
        <f t="shared" si="52"/>
        <v>0</v>
      </c>
      <c r="S220" s="2790">
        <f t="shared" si="43"/>
        <v>0</v>
      </c>
    </row>
    <row r="221" spans="1:19">
      <c r="A221" s="2916"/>
      <c r="B221" s="3180"/>
      <c r="C221" s="2914">
        <f t="shared" si="44"/>
        <v>1</v>
      </c>
      <c r="D221" s="3182"/>
      <c r="E221" s="2914">
        <f t="shared" si="45"/>
        <v>1</v>
      </c>
      <c r="F221" s="3182"/>
      <c r="G221" s="2914">
        <f t="shared" si="46"/>
        <v>1</v>
      </c>
      <c r="H221" s="3182"/>
      <c r="I221" s="2914">
        <f t="shared" si="47"/>
        <v>1</v>
      </c>
      <c r="J221" s="3182"/>
      <c r="K221" s="2914">
        <f t="shared" si="48"/>
        <v>1</v>
      </c>
      <c r="L221" s="3182"/>
      <c r="M221" s="2914">
        <f t="shared" si="49"/>
        <v>1</v>
      </c>
      <c r="N221" s="3182"/>
      <c r="O221" s="2914">
        <f t="shared" si="50"/>
        <v>1</v>
      </c>
      <c r="P221" s="3182"/>
      <c r="Q221" s="2914">
        <f t="shared" si="51"/>
        <v>1</v>
      </c>
      <c r="R221" s="2665">
        <f t="shared" si="52"/>
        <v>0</v>
      </c>
      <c r="S221" s="2790">
        <f t="shared" si="43"/>
        <v>0</v>
      </c>
    </row>
    <row r="222" spans="1:19">
      <c r="A222" s="2916"/>
      <c r="B222" s="3180"/>
      <c r="C222" s="2914">
        <f t="shared" si="44"/>
        <v>1</v>
      </c>
      <c r="D222" s="3182"/>
      <c r="E222" s="2914">
        <f t="shared" si="45"/>
        <v>1</v>
      </c>
      <c r="F222" s="3182"/>
      <c r="G222" s="2914">
        <f t="shared" si="46"/>
        <v>1</v>
      </c>
      <c r="H222" s="3182"/>
      <c r="I222" s="2914">
        <f t="shared" si="47"/>
        <v>1</v>
      </c>
      <c r="J222" s="3182"/>
      <c r="K222" s="2914">
        <f t="shared" si="48"/>
        <v>1</v>
      </c>
      <c r="L222" s="3182"/>
      <c r="M222" s="2914">
        <f t="shared" si="49"/>
        <v>1</v>
      </c>
      <c r="N222" s="3182"/>
      <c r="O222" s="2914">
        <f t="shared" si="50"/>
        <v>1</v>
      </c>
      <c r="P222" s="3182"/>
      <c r="Q222" s="2914">
        <f t="shared" si="51"/>
        <v>1</v>
      </c>
      <c r="R222" s="2665">
        <f t="shared" si="52"/>
        <v>0</v>
      </c>
      <c r="S222" s="2790">
        <f t="shared" si="43"/>
        <v>0</v>
      </c>
    </row>
    <row r="223" spans="1:19">
      <c r="A223" s="2916"/>
      <c r="B223" s="3180"/>
      <c r="C223" s="2914">
        <f t="shared" si="44"/>
        <v>1</v>
      </c>
      <c r="D223" s="3182"/>
      <c r="E223" s="2914">
        <f t="shared" si="45"/>
        <v>1</v>
      </c>
      <c r="F223" s="3182"/>
      <c r="G223" s="2914">
        <f t="shared" si="46"/>
        <v>1</v>
      </c>
      <c r="H223" s="3182"/>
      <c r="I223" s="2914">
        <f t="shared" si="47"/>
        <v>1</v>
      </c>
      <c r="J223" s="3182"/>
      <c r="K223" s="2914">
        <f t="shared" si="48"/>
        <v>1</v>
      </c>
      <c r="L223" s="3182"/>
      <c r="M223" s="2914">
        <f t="shared" si="49"/>
        <v>1</v>
      </c>
      <c r="N223" s="3182"/>
      <c r="O223" s="2914">
        <f t="shared" si="50"/>
        <v>1</v>
      </c>
      <c r="P223" s="3182"/>
      <c r="Q223" s="2914">
        <f t="shared" si="51"/>
        <v>1</v>
      </c>
      <c r="R223" s="2665">
        <f t="shared" si="52"/>
        <v>0</v>
      </c>
      <c r="S223" s="2790">
        <f t="shared" ref="S223:S286" si="53">ROUND(R223*B223/10000,0)</f>
        <v>0</v>
      </c>
    </row>
    <row r="224" spans="1:19">
      <c r="A224" s="2916"/>
      <c r="B224" s="3180"/>
      <c r="C224" s="2914">
        <f t="shared" si="44"/>
        <v>1</v>
      </c>
      <c r="D224" s="3182"/>
      <c r="E224" s="2914">
        <f t="shared" si="45"/>
        <v>1</v>
      </c>
      <c r="F224" s="3182"/>
      <c r="G224" s="2914">
        <f t="shared" si="46"/>
        <v>1</v>
      </c>
      <c r="H224" s="3182"/>
      <c r="I224" s="2914">
        <f t="shared" si="47"/>
        <v>1</v>
      </c>
      <c r="J224" s="3182"/>
      <c r="K224" s="2914">
        <f t="shared" si="48"/>
        <v>1</v>
      </c>
      <c r="L224" s="3182"/>
      <c r="M224" s="2914">
        <f t="shared" si="49"/>
        <v>1</v>
      </c>
      <c r="N224" s="3182"/>
      <c r="O224" s="2914">
        <f t="shared" si="50"/>
        <v>1</v>
      </c>
      <c r="P224" s="3182"/>
      <c r="Q224" s="2914">
        <f t="shared" si="51"/>
        <v>1</v>
      </c>
      <c r="R224" s="2665">
        <f t="shared" si="52"/>
        <v>0</v>
      </c>
      <c r="S224" s="2790">
        <f t="shared" si="53"/>
        <v>0</v>
      </c>
    </row>
    <row r="225" spans="1:19">
      <c r="A225" s="2916"/>
      <c r="B225" s="3180"/>
      <c r="C225" s="2914">
        <f t="shared" si="44"/>
        <v>1</v>
      </c>
      <c r="D225" s="3182"/>
      <c r="E225" s="2914">
        <f t="shared" si="45"/>
        <v>1</v>
      </c>
      <c r="F225" s="3182"/>
      <c r="G225" s="2914">
        <f t="shared" si="46"/>
        <v>1</v>
      </c>
      <c r="H225" s="3182"/>
      <c r="I225" s="2914">
        <f t="shared" si="47"/>
        <v>1</v>
      </c>
      <c r="J225" s="3182"/>
      <c r="K225" s="2914">
        <f t="shared" si="48"/>
        <v>1</v>
      </c>
      <c r="L225" s="3182"/>
      <c r="M225" s="2914">
        <f t="shared" si="49"/>
        <v>1</v>
      </c>
      <c r="N225" s="3182"/>
      <c r="O225" s="2914">
        <f t="shared" si="50"/>
        <v>1</v>
      </c>
      <c r="P225" s="3182"/>
      <c r="Q225" s="2914">
        <f t="shared" si="51"/>
        <v>1</v>
      </c>
      <c r="R225" s="2665">
        <f t="shared" si="52"/>
        <v>0</v>
      </c>
      <c r="S225" s="2790">
        <f t="shared" si="53"/>
        <v>0</v>
      </c>
    </row>
    <row r="226" spans="1:19">
      <c r="A226" s="2916"/>
      <c r="B226" s="3180"/>
      <c r="C226" s="2914">
        <f t="shared" si="44"/>
        <v>1</v>
      </c>
      <c r="D226" s="3182"/>
      <c r="E226" s="2914">
        <f t="shared" si="45"/>
        <v>1</v>
      </c>
      <c r="F226" s="3182"/>
      <c r="G226" s="2914">
        <f t="shared" si="46"/>
        <v>1</v>
      </c>
      <c r="H226" s="3182"/>
      <c r="I226" s="2914">
        <f t="shared" si="47"/>
        <v>1</v>
      </c>
      <c r="J226" s="3182"/>
      <c r="K226" s="2914">
        <f t="shared" si="48"/>
        <v>1</v>
      </c>
      <c r="L226" s="3182"/>
      <c r="M226" s="2914">
        <f t="shared" si="49"/>
        <v>1</v>
      </c>
      <c r="N226" s="3182"/>
      <c r="O226" s="2914">
        <f t="shared" si="50"/>
        <v>1</v>
      </c>
      <c r="P226" s="3182"/>
      <c r="Q226" s="2914">
        <f t="shared" si="51"/>
        <v>1</v>
      </c>
      <c r="R226" s="2665">
        <f t="shared" si="52"/>
        <v>0</v>
      </c>
      <c r="S226" s="2790">
        <f t="shared" si="53"/>
        <v>0</v>
      </c>
    </row>
    <row r="227" spans="1:19">
      <c r="A227" s="2916"/>
      <c r="B227" s="3180"/>
      <c r="C227" s="2914">
        <f t="shared" si="44"/>
        <v>1</v>
      </c>
      <c r="D227" s="3182"/>
      <c r="E227" s="2914">
        <f t="shared" si="45"/>
        <v>1</v>
      </c>
      <c r="F227" s="3182"/>
      <c r="G227" s="2914">
        <f t="shared" si="46"/>
        <v>1</v>
      </c>
      <c r="H227" s="3182"/>
      <c r="I227" s="2914">
        <f t="shared" si="47"/>
        <v>1</v>
      </c>
      <c r="J227" s="3182"/>
      <c r="K227" s="2914">
        <f t="shared" si="48"/>
        <v>1</v>
      </c>
      <c r="L227" s="3182"/>
      <c r="M227" s="2914">
        <f t="shared" si="49"/>
        <v>1</v>
      </c>
      <c r="N227" s="3182"/>
      <c r="O227" s="2914">
        <f t="shared" si="50"/>
        <v>1</v>
      </c>
      <c r="P227" s="3182"/>
      <c r="Q227" s="2914">
        <f t="shared" si="51"/>
        <v>1</v>
      </c>
      <c r="R227" s="2665">
        <f t="shared" si="52"/>
        <v>0</v>
      </c>
      <c r="S227" s="2790">
        <f t="shared" si="53"/>
        <v>0</v>
      </c>
    </row>
    <row r="228" spans="1:19">
      <c r="A228" s="2916"/>
      <c r="B228" s="3180"/>
      <c r="C228" s="2914">
        <f t="shared" si="44"/>
        <v>1</v>
      </c>
      <c r="D228" s="3182"/>
      <c r="E228" s="2914">
        <f t="shared" si="45"/>
        <v>1</v>
      </c>
      <c r="F228" s="3182"/>
      <c r="G228" s="2914">
        <f t="shared" si="46"/>
        <v>1</v>
      </c>
      <c r="H228" s="3182"/>
      <c r="I228" s="2914">
        <f t="shared" si="47"/>
        <v>1</v>
      </c>
      <c r="J228" s="3182"/>
      <c r="K228" s="2914">
        <f t="shared" si="48"/>
        <v>1</v>
      </c>
      <c r="L228" s="3182"/>
      <c r="M228" s="2914">
        <f t="shared" si="49"/>
        <v>1</v>
      </c>
      <c r="N228" s="3182"/>
      <c r="O228" s="2914">
        <f t="shared" si="50"/>
        <v>1</v>
      </c>
      <c r="P228" s="3182"/>
      <c r="Q228" s="2914">
        <f t="shared" si="51"/>
        <v>1</v>
      </c>
      <c r="R228" s="2665">
        <f t="shared" si="52"/>
        <v>0</v>
      </c>
      <c r="S228" s="2790">
        <f t="shared" si="53"/>
        <v>0</v>
      </c>
    </row>
    <row r="229" spans="1:19">
      <c r="A229" s="2916"/>
      <c r="B229" s="3180"/>
      <c r="C229" s="2914">
        <f t="shared" si="44"/>
        <v>1</v>
      </c>
      <c r="D229" s="3182"/>
      <c r="E229" s="2914">
        <f t="shared" si="45"/>
        <v>1</v>
      </c>
      <c r="F229" s="3182"/>
      <c r="G229" s="2914">
        <f t="shared" si="46"/>
        <v>1</v>
      </c>
      <c r="H229" s="3182"/>
      <c r="I229" s="2914">
        <f t="shared" si="47"/>
        <v>1</v>
      </c>
      <c r="J229" s="3182"/>
      <c r="K229" s="2914">
        <f t="shared" si="48"/>
        <v>1</v>
      </c>
      <c r="L229" s="3182"/>
      <c r="M229" s="2914">
        <f t="shared" si="49"/>
        <v>1</v>
      </c>
      <c r="N229" s="3182"/>
      <c r="O229" s="2914">
        <f t="shared" si="50"/>
        <v>1</v>
      </c>
      <c r="P229" s="3182"/>
      <c r="Q229" s="2914">
        <f t="shared" si="51"/>
        <v>1</v>
      </c>
      <c r="R229" s="2665">
        <f t="shared" si="52"/>
        <v>0</v>
      </c>
      <c r="S229" s="2790">
        <f t="shared" si="53"/>
        <v>0</v>
      </c>
    </row>
    <row r="230" spans="1:19">
      <c r="A230" s="2916"/>
      <c r="B230" s="3180"/>
      <c r="C230" s="2914">
        <f t="shared" si="44"/>
        <v>1</v>
      </c>
      <c r="D230" s="3182"/>
      <c r="E230" s="2914">
        <f t="shared" si="45"/>
        <v>1</v>
      </c>
      <c r="F230" s="3182"/>
      <c r="G230" s="2914">
        <f t="shared" si="46"/>
        <v>1</v>
      </c>
      <c r="H230" s="3182"/>
      <c r="I230" s="2914">
        <f t="shared" si="47"/>
        <v>1</v>
      </c>
      <c r="J230" s="3182"/>
      <c r="K230" s="2914">
        <f t="shared" si="48"/>
        <v>1</v>
      </c>
      <c r="L230" s="3182"/>
      <c r="M230" s="2914">
        <f t="shared" si="49"/>
        <v>1</v>
      </c>
      <c r="N230" s="3182"/>
      <c r="O230" s="2914">
        <f t="shared" si="50"/>
        <v>1</v>
      </c>
      <c r="P230" s="3182"/>
      <c r="Q230" s="2914">
        <f t="shared" si="51"/>
        <v>1</v>
      </c>
      <c r="R230" s="2665">
        <f t="shared" si="52"/>
        <v>0</v>
      </c>
      <c r="S230" s="2790">
        <f t="shared" si="53"/>
        <v>0</v>
      </c>
    </row>
    <row r="231" spans="1:19">
      <c r="A231" s="2916"/>
      <c r="B231" s="3180"/>
      <c r="C231" s="2914">
        <f t="shared" si="44"/>
        <v>1</v>
      </c>
      <c r="D231" s="3182"/>
      <c r="E231" s="2914">
        <f t="shared" si="45"/>
        <v>1</v>
      </c>
      <c r="F231" s="3182"/>
      <c r="G231" s="2914">
        <f t="shared" si="46"/>
        <v>1</v>
      </c>
      <c r="H231" s="3182"/>
      <c r="I231" s="2914">
        <f t="shared" si="47"/>
        <v>1</v>
      </c>
      <c r="J231" s="3182"/>
      <c r="K231" s="2914">
        <f t="shared" si="48"/>
        <v>1</v>
      </c>
      <c r="L231" s="3182"/>
      <c r="M231" s="2914">
        <f t="shared" si="49"/>
        <v>1</v>
      </c>
      <c r="N231" s="3182"/>
      <c r="O231" s="2914">
        <f t="shared" si="50"/>
        <v>1</v>
      </c>
      <c r="P231" s="3182"/>
      <c r="Q231" s="2914">
        <f t="shared" si="51"/>
        <v>1</v>
      </c>
      <c r="R231" s="2665">
        <f t="shared" si="52"/>
        <v>0</v>
      </c>
      <c r="S231" s="2790">
        <f t="shared" si="53"/>
        <v>0</v>
      </c>
    </row>
    <row r="232" spans="1:19">
      <c r="A232" s="2916"/>
      <c r="B232" s="3180"/>
      <c r="C232" s="2914">
        <f t="shared" si="44"/>
        <v>1</v>
      </c>
      <c r="D232" s="3182"/>
      <c r="E232" s="2914">
        <f t="shared" si="45"/>
        <v>1</v>
      </c>
      <c r="F232" s="3182"/>
      <c r="G232" s="2914">
        <f t="shared" si="46"/>
        <v>1</v>
      </c>
      <c r="H232" s="3182"/>
      <c r="I232" s="2914">
        <f t="shared" si="47"/>
        <v>1</v>
      </c>
      <c r="J232" s="3182"/>
      <c r="K232" s="2914">
        <f t="shared" si="48"/>
        <v>1</v>
      </c>
      <c r="L232" s="3182"/>
      <c r="M232" s="2914">
        <f t="shared" si="49"/>
        <v>1</v>
      </c>
      <c r="N232" s="3182"/>
      <c r="O232" s="2914">
        <f t="shared" si="50"/>
        <v>1</v>
      </c>
      <c r="P232" s="3182"/>
      <c r="Q232" s="2914">
        <f t="shared" si="51"/>
        <v>1</v>
      </c>
      <c r="R232" s="2665">
        <f t="shared" si="52"/>
        <v>0</v>
      </c>
      <c r="S232" s="2790">
        <f t="shared" si="53"/>
        <v>0</v>
      </c>
    </row>
    <row r="233" spans="1:19">
      <c r="A233" s="2916"/>
      <c r="B233" s="3180"/>
      <c r="C233" s="2914">
        <f t="shared" si="44"/>
        <v>1</v>
      </c>
      <c r="D233" s="3182"/>
      <c r="E233" s="2914">
        <f t="shared" si="45"/>
        <v>1</v>
      </c>
      <c r="F233" s="3182"/>
      <c r="G233" s="2914">
        <f t="shared" si="46"/>
        <v>1</v>
      </c>
      <c r="H233" s="3182"/>
      <c r="I233" s="2914">
        <f t="shared" si="47"/>
        <v>1</v>
      </c>
      <c r="J233" s="3182"/>
      <c r="K233" s="2914">
        <f t="shared" si="48"/>
        <v>1</v>
      </c>
      <c r="L233" s="3182"/>
      <c r="M233" s="2914">
        <f t="shared" si="49"/>
        <v>1</v>
      </c>
      <c r="N233" s="3182"/>
      <c r="O233" s="2914">
        <f t="shared" si="50"/>
        <v>1</v>
      </c>
      <c r="P233" s="3182"/>
      <c r="Q233" s="2914">
        <f t="shared" si="51"/>
        <v>1</v>
      </c>
      <c r="R233" s="2665">
        <f t="shared" si="52"/>
        <v>0</v>
      </c>
      <c r="S233" s="2790">
        <f t="shared" si="53"/>
        <v>0</v>
      </c>
    </row>
    <row r="234" spans="1:19">
      <c r="A234" s="2916"/>
      <c r="B234" s="3180"/>
      <c r="C234" s="2914">
        <f t="shared" si="44"/>
        <v>1</v>
      </c>
      <c r="D234" s="3182"/>
      <c r="E234" s="2914">
        <f t="shared" si="45"/>
        <v>1</v>
      </c>
      <c r="F234" s="3182"/>
      <c r="G234" s="2914">
        <f t="shared" si="46"/>
        <v>1</v>
      </c>
      <c r="H234" s="3182"/>
      <c r="I234" s="2914">
        <f t="shared" si="47"/>
        <v>1</v>
      </c>
      <c r="J234" s="3182"/>
      <c r="K234" s="2914">
        <f t="shared" si="48"/>
        <v>1</v>
      </c>
      <c r="L234" s="3182"/>
      <c r="M234" s="2914">
        <f t="shared" si="49"/>
        <v>1</v>
      </c>
      <c r="N234" s="3182"/>
      <c r="O234" s="2914">
        <f t="shared" si="50"/>
        <v>1</v>
      </c>
      <c r="P234" s="3182"/>
      <c r="Q234" s="2914">
        <f t="shared" si="51"/>
        <v>1</v>
      </c>
      <c r="R234" s="2665">
        <f t="shared" si="52"/>
        <v>0</v>
      </c>
      <c r="S234" s="2790">
        <f t="shared" si="53"/>
        <v>0</v>
      </c>
    </row>
    <row r="235" spans="1:19">
      <c r="A235" s="2916"/>
      <c r="B235" s="3180"/>
      <c r="C235" s="2914">
        <f t="shared" si="44"/>
        <v>1</v>
      </c>
      <c r="D235" s="3182"/>
      <c r="E235" s="2914">
        <f t="shared" si="45"/>
        <v>1</v>
      </c>
      <c r="F235" s="3182"/>
      <c r="G235" s="2914">
        <f t="shared" si="46"/>
        <v>1</v>
      </c>
      <c r="H235" s="3182"/>
      <c r="I235" s="2914">
        <f t="shared" si="47"/>
        <v>1</v>
      </c>
      <c r="J235" s="3182"/>
      <c r="K235" s="2914">
        <f t="shared" si="48"/>
        <v>1</v>
      </c>
      <c r="L235" s="3182"/>
      <c r="M235" s="2914">
        <f t="shared" si="49"/>
        <v>1</v>
      </c>
      <c r="N235" s="3182"/>
      <c r="O235" s="2914">
        <f t="shared" si="50"/>
        <v>1</v>
      </c>
      <c r="P235" s="3182"/>
      <c r="Q235" s="2914">
        <f t="shared" si="51"/>
        <v>1</v>
      </c>
      <c r="R235" s="2665">
        <f t="shared" si="52"/>
        <v>0</v>
      </c>
      <c r="S235" s="2790">
        <f t="shared" si="53"/>
        <v>0</v>
      </c>
    </row>
    <row r="236" spans="1:19">
      <c r="A236" s="2916"/>
      <c r="B236" s="3180"/>
      <c r="C236" s="2914">
        <f t="shared" si="44"/>
        <v>1</v>
      </c>
      <c r="D236" s="3182"/>
      <c r="E236" s="2914">
        <f t="shared" si="45"/>
        <v>1</v>
      </c>
      <c r="F236" s="3182"/>
      <c r="G236" s="2914">
        <f t="shared" si="46"/>
        <v>1</v>
      </c>
      <c r="H236" s="3182"/>
      <c r="I236" s="2914">
        <f t="shared" si="47"/>
        <v>1</v>
      </c>
      <c r="J236" s="3182"/>
      <c r="K236" s="2914">
        <f t="shared" si="48"/>
        <v>1</v>
      </c>
      <c r="L236" s="3182"/>
      <c r="M236" s="2914">
        <f t="shared" si="49"/>
        <v>1</v>
      </c>
      <c r="N236" s="3182"/>
      <c r="O236" s="2914">
        <f t="shared" si="50"/>
        <v>1</v>
      </c>
      <c r="P236" s="3182"/>
      <c r="Q236" s="2914">
        <f t="shared" si="51"/>
        <v>1</v>
      </c>
      <c r="R236" s="2665">
        <f t="shared" si="52"/>
        <v>0</v>
      </c>
      <c r="S236" s="2790">
        <f t="shared" si="53"/>
        <v>0</v>
      </c>
    </row>
    <row r="237" spans="1:19">
      <c r="A237" s="2916"/>
      <c r="B237" s="3180"/>
      <c r="C237" s="2914">
        <f t="shared" si="44"/>
        <v>1</v>
      </c>
      <c r="D237" s="3182"/>
      <c r="E237" s="2914">
        <f t="shared" si="45"/>
        <v>1</v>
      </c>
      <c r="F237" s="3182"/>
      <c r="G237" s="2914">
        <f t="shared" si="46"/>
        <v>1</v>
      </c>
      <c r="H237" s="3182"/>
      <c r="I237" s="2914">
        <f t="shared" si="47"/>
        <v>1</v>
      </c>
      <c r="J237" s="3182"/>
      <c r="K237" s="2914">
        <f t="shared" si="48"/>
        <v>1</v>
      </c>
      <c r="L237" s="3182"/>
      <c r="M237" s="2914">
        <f t="shared" si="49"/>
        <v>1</v>
      </c>
      <c r="N237" s="3182"/>
      <c r="O237" s="2914">
        <f t="shared" si="50"/>
        <v>1</v>
      </c>
      <c r="P237" s="3182"/>
      <c r="Q237" s="2914">
        <f t="shared" si="51"/>
        <v>1</v>
      </c>
      <c r="R237" s="2665">
        <f t="shared" si="52"/>
        <v>0</v>
      </c>
      <c r="S237" s="2790">
        <f t="shared" si="53"/>
        <v>0</v>
      </c>
    </row>
    <row r="238" spans="1:19">
      <c r="A238" s="2916"/>
      <c r="B238" s="3180"/>
      <c r="C238" s="2914">
        <f t="shared" si="44"/>
        <v>1</v>
      </c>
      <c r="D238" s="3182"/>
      <c r="E238" s="2914">
        <f t="shared" si="45"/>
        <v>1</v>
      </c>
      <c r="F238" s="3182"/>
      <c r="G238" s="2914">
        <f t="shared" si="46"/>
        <v>1</v>
      </c>
      <c r="H238" s="3182"/>
      <c r="I238" s="2914">
        <f t="shared" si="47"/>
        <v>1</v>
      </c>
      <c r="J238" s="3182"/>
      <c r="K238" s="2914">
        <f t="shared" si="48"/>
        <v>1</v>
      </c>
      <c r="L238" s="3182"/>
      <c r="M238" s="2914">
        <f t="shared" si="49"/>
        <v>1</v>
      </c>
      <c r="N238" s="3182"/>
      <c r="O238" s="2914">
        <f t="shared" si="50"/>
        <v>1</v>
      </c>
      <c r="P238" s="3182"/>
      <c r="Q238" s="2914">
        <f t="shared" si="51"/>
        <v>1</v>
      </c>
      <c r="R238" s="2665">
        <f t="shared" si="52"/>
        <v>0</v>
      </c>
      <c r="S238" s="2790">
        <f t="shared" si="53"/>
        <v>0</v>
      </c>
    </row>
    <row r="239" spans="1:19">
      <c r="A239" s="2916"/>
      <c r="B239" s="3180"/>
      <c r="C239" s="2914">
        <f t="shared" si="44"/>
        <v>1</v>
      </c>
      <c r="D239" s="3182"/>
      <c r="E239" s="2914">
        <f t="shared" si="45"/>
        <v>1</v>
      </c>
      <c r="F239" s="3182"/>
      <c r="G239" s="2914">
        <f t="shared" si="46"/>
        <v>1</v>
      </c>
      <c r="H239" s="3182"/>
      <c r="I239" s="2914">
        <f t="shared" si="47"/>
        <v>1</v>
      </c>
      <c r="J239" s="3182"/>
      <c r="K239" s="2914">
        <f t="shared" si="48"/>
        <v>1</v>
      </c>
      <c r="L239" s="3182"/>
      <c r="M239" s="2914">
        <f t="shared" si="49"/>
        <v>1</v>
      </c>
      <c r="N239" s="3182"/>
      <c r="O239" s="2914">
        <f t="shared" si="50"/>
        <v>1</v>
      </c>
      <c r="P239" s="3182"/>
      <c r="Q239" s="2914">
        <f t="shared" si="51"/>
        <v>1</v>
      </c>
      <c r="R239" s="2665">
        <f t="shared" si="52"/>
        <v>0</v>
      </c>
      <c r="S239" s="2790">
        <f t="shared" si="53"/>
        <v>0</v>
      </c>
    </row>
    <row r="240" spans="1:19">
      <c r="A240" s="2916"/>
      <c r="B240" s="3180"/>
      <c r="C240" s="2914">
        <f t="shared" si="44"/>
        <v>1</v>
      </c>
      <c r="D240" s="3182"/>
      <c r="E240" s="2914">
        <f t="shared" si="45"/>
        <v>1</v>
      </c>
      <c r="F240" s="3182"/>
      <c r="G240" s="2914">
        <f t="shared" si="46"/>
        <v>1</v>
      </c>
      <c r="H240" s="3182"/>
      <c r="I240" s="2914">
        <f t="shared" si="47"/>
        <v>1</v>
      </c>
      <c r="J240" s="3182"/>
      <c r="K240" s="2914">
        <f t="shared" si="48"/>
        <v>1</v>
      </c>
      <c r="L240" s="3182"/>
      <c r="M240" s="2914">
        <f t="shared" si="49"/>
        <v>1</v>
      </c>
      <c r="N240" s="3182"/>
      <c r="O240" s="2914">
        <f t="shared" si="50"/>
        <v>1</v>
      </c>
      <c r="P240" s="3182"/>
      <c r="Q240" s="2914">
        <f t="shared" si="51"/>
        <v>1</v>
      </c>
      <c r="R240" s="2665">
        <f t="shared" si="52"/>
        <v>0</v>
      </c>
      <c r="S240" s="2790">
        <f t="shared" si="53"/>
        <v>0</v>
      </c>
    </row>
    <row r="241" spans="1:19">
      <c r="A241" s="2916"/>
      <c r="B241" s="3180"/>
      <c r="C241" s="2914">
        <f t="shared" si="44"/>
        <v>1</v>
      </c>
      <c r="D241" s="3182"/>
      <c r="E241" s="2914">
        <f t="shared" si="45"/>
        <v>1</v>
      </c>
      <c r="F241" s="3182"/>
      <c r="G241" s="2914">
        <f t="shared" si="46"/>
        <v>1</v>
      </c>
      <c r="H241" s="3182"/>
      <c r="I241" s="2914">
        <f t="shared" si="47"/>
        <v>1</v>
      </c>
      <c r="J241" s="3182"/>
      <c r="K241" s="2914">
        <f t="shared" si="48"/>
        <v>1</v>
      </c>
      <c r="L241" s="3182"/>
      <c r="M241" s="2914">
        <f t="shared" si="49"/>
        <v>1</v>
      </c>
      <c r="N241" s="3182"/>
      <c r="O241" s="2914">
        <f t="shared" si="50"/>
        <v>1</v>
      </c>
      <c r="P241" s="3182"/>
      <c r="Q241" s="2914">
        <f t="shared" si="51"/>
        <v>1</v>
      </c>
      <c r="R241" s="2665">
        <f t="shared" si="52"/>
        <v>0</v>
      </c>
      <c r="S241" s="2790">
        <f t="shared" si="53"/>
        <v>0</v>
      </c>
    </row>
    <row r="242" spans="1:19">
      <c r="A242" s="2916"/>
      <c r="B242" s="3180"/>
      <c r="C242" s="2914">
        <f t="shared" si="44"/>
        <v>1</v>
      </c>
      <c r="D242" s="3182"/>
      <c r="E242" s="2914">
        <f t="shared" si="45"/>
        <v>1</v>
      </c>
      <c r="F242" s="3182"/>
      <c r="G242" s="2914">
        <f t="shared" si="46"/>
        <v>1</v>
      </c>
      <c r="H242" s="3182"/>
      <c r="I242" s="2914">
        <f t="shared" si="47"/>
        <v>1</v>
      </c>
      <c r="J242" s="3182"/>
      <c r="K242" s="2914">
        <f t="shared" si="48"/>
        <v>1</v>
      </c>
      <c r="L242" s="3182"/>
      <c r="M242" s="2914">
        <f t="shared" si="49"/>
        <v>1</v>
      </c>
      <c r="N242" s="3182"/>
      <c r="O242" s="2914">
        <f t="shared" si="50"/>
        <v>1</v>
      </c>
      <c r="P242" s="3182"/>
      <c r="Q242" s="2914">
        <f t="shared" si="51"/>
        <v>1</v>
      </c>
      <c r="R242" s="2665">
        <f t="shared" si="52"/>
        <v>0</v>
      </c>
      <c r="S242" s="2790">
        <f t="shared" si="53"/>
        <v>0</v>
      </c>
    </row>
    <row r="243" spans="1:19">
      <c r="A243" s="2916"/>
      <c r="B243" s="3180"/>
      <c r="C243" s="2914">
        <f t="shared" si="44"/>
        <v>1</v>
      </c>
      <c r="D243" s="3182"/>
      <c r="E243" s="2914">
        <f t="shared" si="45"/>
        <v>1</v>
      </c>
      <c r="F243" s="3182"/>
      <c r="G243" s="2914">
        <f t="shared" si="46"/>
        <v>1</v>
      </c>
      <c r="H243" s="3182"/>
      <c r="I243" s="2914">
        <f t="shared" si="47"/>
        <v>1</v>
      </c>
      <c r="J243" s="3182"/>
      <c r="K243" s="2914">
        <f t="shared" si="48"/>
        <v>1</v>
      </c>
      <c r="L243" s="3182"/>
      <c r="M243" s="2914">
        <f t="shared" si="49"/>
        <v>1</v>
      </c>
      <c r="N243" s="3182"/>
      <c r="O243" s="2914">
        <f t="shared" si="50"/>
        <v>1</v>
      </c>
      <c r="P243" s="3182"/>
      <c r="Q243" s="2914">
        <f t="shared" si="51"/>
        <v>1</v>
      </c>
      <c r="R243" s="2665">
        <f t="shared" si="52"/>
        <v>0</v>
      </c>
      <c r="S243" s="2790">
        <f t="shared" si="53"/>
        <v>0</v>
      </c>
    </row>
    <row r="244" spans="1:19">
      <c r="A244" s="2916"/>
      <c r="B244" s="3180"/>
      <c r="C244" s="2914">
        <f t="shared" si="44"/>
        <v>1</v>
      </c>
      <c r="D244" s="3182"/>
      <c r="E244" s="2914">
        <f t="shared" si="45"/>
        <v>1</v>
      </c>
      <c r="F244" s="3182"/>
      <c r="G244" s="2914">
        <f t="shared" si="46"/>
        <v>1</v>
      </c>
      <c r="H244" s="3182"/>
      <c r="I244" s="2914">
        <f t="shared" si="47"/>
        <v>1</v>
      </c>
      <c r="J244" s="3182"/>
      <c r="K244" s="2914">
        <f t="shared" si="48"/>
        <v>1</v>
      </c>
      <c r="L244" s="3182"/>
      <c r="M244" s="2914">
        <f t="shared" si="49"/>
        <v>1</v>
      </c>
      <c r="N244" s="3182"/>
      <c r="O244" s="2914">
        <f t="shared" si="50"/>
        <v>1</v>
      </c>
      <c r="P244" s="3182"/>
      <c r="Q244" s="2914">
        <f t="shared" si="51"/>
        <v>1</v>
      </c>
      <c r="R244" s="2665">
        <f t="shared" si="52"/>
        <v>0</v>
      </c>
      <c r="S244" s="2790">
        <f t="shared" si="53"/>
        <v>0</v>
      </c>
    </row>
    <row r="245" spans="1:19">
      <c r="A245" s="2916"/>
      <c r="B245" s="3180"/>
      <c r="C245" s="2914">
        <f t="shared" si="44"/>
        <v>1</v>
      </c>
      <c r="D245" s="3182"/>
      <c r="E245" s="2914">
        <f t="shared" si="45"/>
        <v>1</v>
      </c>
      <c r="F245" s="3182"/>
      <c r="G245" s="2914">
        <f t="shared" si="46"/>
        <v>1</v>
      </c>
      <c r="H245" s="3182"/>
      <c r="I245" s="2914">
        <f t="shared" si="47"/>
        <v>1</v>
      </c>
      <c r="J245" s="3182"/>
      <c r="K245" s="2914">
        <f t="shared" si="48"/>
        <v>1</v>
      </c>
      <c r="L245" s="3182"/>
      <c r="M245" s="2914">
        <f t="shared" si="49"/>
        <v>1</v>
      </c>
      <c r="N245" s="3182"/>
      <c r="O245" s="2914">
        <f t="shared" si="50"/>
        <v>1</v>
      </c>
      <c r="P245" s="3182"/>
      <c r="Q245" s="2914">
        <f t="shared" si="51"/>
        <v>1</v>
      </c>
      <c r="R245" s="2665">
        <f t="shared" si="52"/>
        <v>0</v>
      </c>
      <c r="S245" s="2790">
        <f t="shared" si="53"/>
        <v>0</v>
      </c>
    </row>
    <row r="246" spans="1:19">
      <c r="A246" s="2916"/>
      <c r="B246" s="3180"/>
      <c r="C246" s="2914">
        <f t="shared" si="44"/>
        <v>1</v>
      </c>
      <c r="D246" s="3182"/>
      <c r="E246" s="2914">
        <f t="shared" si="45"/>
        <v>1</v>
      </c>
      <c r="F246" s="3182"/>
      <c r="G246" s="2914">
        <f t="shared" si="46"/>
        <v>1</v>
      </c>
      <c r="H246" s="3182"/>
      <c r="I246" s="2914">
        <f t="shared" si="47"/>
        <v>1</v>
      </c>
      <c r="J246" s="3182"/>
      <c r="K246" s="2914">
        <f t="shared" si="48"/>
        <v>1</v>
      </c>
      <c r="L246" s="3182"/>
      <c r="M246" s="2914">
        <f t="shared" si="49"/>
        <v>1</v>
      </c>
      <c r="N246" s="3182"/>
      <c r="O246" s="2914">
        <f t="shared" si="50"/>
        <v>1</v>
      </c>
      <c r="P246" s="3182"/>
      <c r="Q246" s="2914">
        <f t="shared" si="51"/>
        <v>1</v>
      </c>
      <c r="R246" s="2665">
        <f t="shared" si="52"/>
        <v>0</v>
      </c>
      <c r="S246" s="2790">
        <f t="shared" si="53"/>
        <v>0</v>
      </c>
    </row>
    <row r="247" spans="1:19">
      <c r="A247" s="2916"/>
      <c r="B247" s="3180"/>
      <c r="C247" s="2914">
        <f t="shared" si="44"/>
        <v>1</v>
      </c>
      <c r="D247" s="3182"/>
      <c r="E247" s="2914">
        <f t="shared" si="45"/>
        <v>1</v>
      </c>
      <c r="F247" s="3182"/>
      <c r="G247" s="2914">
        <f t="shared" si="46"/>
        <v>1</v>
      </c>
      <c r="H247" s="3182"/>
      <c r="I247" s="2914">
        <f t="shared" si="47"/>
        <v>1</v>
      </c>
      <c r="J247" s="3182"/>
      <c r="K247" s="2914">
        <f t="shared" si="48"/>
        <v>1</v>
      </c>
      <c r="L247" s="3182"/>
      <c r="M247" s="2914">
        <f t="shared" si="49"/>
        <v>1</v>
      </c>
      <c r="N247" s="3182"/>
      <c r="O247" s="2914">
        <f t="shared" si="50"/>
        <v>1</v>
      </c>
      <c r="P247" s="3182"/>
      <c r="Q247" s="2914">
        <f t="shared" si="51"/>
        <v>1</v>
      </c>
      <c r="R247" s="2665">
        <f t="shared" si="52"/>
        <v>0</v>
      </c>
      <c r="S247" s="2790">
        <f t="shared" si="53"/>
        <v>0</v>
      </c>
    </row>
    <row r="248" spans="1:19">
      <c r="A248" s="2916"/>
      <c r="B248" s="3180"/>
      <c r="C248" s="2914">
        <f t="shared" si="44"/>
        <v>1</v>
      </c>
      <c r="D248" s="3182"/>
      <c r="E248" s="2914">
        <f t="shared" si="45"/>
        <v>1</v>
      </c>
      <c r="F248" s="3182"/>
      <c r="G248" s="2914">
        <f t="shared" si="46"/>
        <v>1</v>
      </c>
      <c r="H248" s="3182"/>
      <c r="I248" s="2914">
        <f t="shared" si="47"/>
        <v>1</v>
      </c>
      <c r="J248" s="3182"/>
      <c r="K248" s="2914">
        <f t="shared" si="48"/>
        <v>1</v>
      </c>
      <c r="L248" s="3182"/>
      <c r="M248" s="2914">
        <f t="shared" si="49"/>
        <v>1</v>
      </c>
      <c r="N248" s="3182"/>
      <c r="O248" s="2914">
        <f t="shared" si="50"/>
        <v>1</v>
      </c>
      <c r="P248" s="3182"/>
      <c r="Q248" s="2914">
        <f t="shared" si="51"/>
        <v>1</v>
      </c>
      <c r="R248" s="2665">
        <f t="shared" si="52"/>
        <v>0</v>
      </c>
      <c r="S248" s="2790">
        <f t="shared" si="53"/>
        <v>0</v>
      </c>
    </row>
    <row r="249" spans="1:19">
      <c r="A249" s="2916"/>
      <c r="B249" s="3180"/>
      <c r="C249" s="2914">
        <f t="shared" si="44"/>
        <v>1</v>
      </c>
      <c r="D249" s="3182"/>
      <c r="E249" s="2914">
        <f t="shared" si="45"/>
        <v>1</v>
      </c>
      <c r="F249" s="3182"/>
      <c r="G249" s="2914">
        <f t="shared" si="46"/>
        <v>1</v>
      </c>
      <c r="H249" s="3182"/>
      <c r="I249" s="2914">
        <f t="shared" si="47"/>
        <v>1</v>
      </c>
      <c r="J249" s="3182"/>
      <c r="K249" s="2914">
        <f t="shared" si="48"/>
        <v>1</v>
      </c>
      <c r="L249" s="3182"/>
      <c r="M249" s="2914">
        <f t="shared" si="49"/>
        <v>1</v>
      </c>
      <c r="N249" s="3182"/>
      <c r="O249" s="2914">
        <f t="shared" si="50"/>
        <v>1</v>
      </c>
      <c r="P249" s="3182"/>
      <c r="Q249" s="2914">
        <f t="shared" si="51"/>
        <v>1</v>
      </c>
      <c r="R249" s="2665">
        <f t="shared" si="52"/>
        <v>0</v>
      </c>
      <c r="S249" s="2790">
        <f t="shared" si="53"/>
        <v>0</v>
      </c>
    </row>
    <row r="250" spans="1:19">
      <c r="A250" s="2916"/>
      <c r="B250" s="3180"/>
      <c r="C250" s="2914">
        <f t="shared" si="44"/>
        <v>1</v>
      </c>
      <c r="D250" s="3182"/>
      <c r="E250" s="2914">
        <f t="shared" si="45"/>
        <v>1</v>
      </c>
      <c r="F250" s="3182"/>
      <c r="G250" s="2914">
        <f t="shared" si="46"/>
        <v>1</v>
      </c>
      <c r="H250" s="3182"/>
      <c r="I250" s="2914">
        <f t="shared" si="47"/>
        <v>1</v>
      </c>
      <c r="J250" s="3182"/>
      <c r="K250" s="2914">
        <f t="shared" si="48"/>
        <v>1</v>
      </c>
      <c r="L250" s="3182"/>
      <c r="M250" s="2914">
        <f t="shared" si="49"/>
        <v>1</v>
      </c>
      <c r="N250" s="3182"/>
      <c r="O250" s="2914">
        <f t="shared" si="50"/>
        <v>1</v>
      </c>
      <c r="P250" s="3182"/>
      <c r="Q250" s="2914">
        <f t="shared" si="51"/>
        <v>1</v>
      </c>
      <c r="R250" s="2665">
        <f t="shared" si="52"/>
        <v>0</v>
      </c>
      <c r="S250" s="2790">
        <f t="shared" si="53"/>
        <v>0</v>
      </c>
    </row>
    <row r="251" spans="1:19">
      <c r="A251" s="2916"/>
      <c r="B251" s="3180"/>
      <c r="C251" s="2914">
        <f t="shared" si="44"/>
        <v>1</v>
      </c>
      <c r="D251" s="3182"/>
      <c r="E251" s="2914">
        <f t="shared" si="45"/>
        <v>1</v>
      </c>
      <c r="F251" s="3182"/>
      <c r="G251" s="2914">
        <f t="shared" si="46"/>
        <v>1</v>
      </c>
      <c r="H251" s="3182"/>
      <c r="I251" s="2914">
        <f t="shared" si="47"/>
        <v>1</v>
      </c>
      <c r="J251" s="3182"/>
      <c r="K251" s="2914">
        <f t="shared" si="48"/>
        <v>1</v>
      </c>
      <c r="L251" s="3182"/>
      <c r="M251" s="2914">
        <f t="shared" si="49"/>
        <v>1</v>
      </c>
      <c r="N251" s="3182"/>
      <c r="O251" s="2914">
        <f t="shared" si="50"/>
        <v>1</v>
      </c>
      <c r="P251" s="3182"/>
      <c r="Q251" s="2914">
        <f t="shared" si="51"/>
        <v>1</v>
      </c>
      <c r="R251" s="2665">
        <f t="shared" si="52"/>
        <v>0</v>
      </c>
      <c r="S251" s="2790">
        <f t="shared" si="53"/>
        <v>0</v>
      </c>
    </row>
    <row r="252" spans="1:19">
      <c r="A252" s="2916"/>
      <c r="B252" s="3180"/>
      <c r="C252" s="2914">
        <f t="shared" si="44"/>
        <v>1</v>
      </c>
      <c r="D252" s="3182"/>
      <c r="E252" s="2914">
        <f t="shared" si="45"/>
        <v>1</v>
      </c>
      <c r="F252" s="3182"/>
      <c r="G252" s="2914">
        <f t="shared" si="46"/>
        <v>1</v>
      </c>
      <c r="H252" s="3182"/>
      <c r="I252" s="2914">
        <f t="shared" si="47"/>
        <v>1</v>
      </c>
      <c r="J252" s="3182"/>
      <c r="K252" s="2914">
        <f t="shared" si="48"/>
        <v>1</v>
      </c>
      <c r="L252" s="3182"/>
      <c r="M252" s="2914">
        <f t="shared" si="49"/>
        <v>1</v>
      </c>
      <c r="N252" s="3182"/>
      <c r="O252" s="2914">
        <f t="shared" si="50"/>
        <v>1</v>
      </c>
      <c r="P252" s="3182"/>
      <c r="Q252" s="2914">
        <f t="shared" si="51"/>
        <v>1</v>
      </c>
      <c r="R252" s="2665">
        <f t="shared" si="52"/>
        <v>0</v>
      </c>
      <c r="S252" s="2790">
        <f t="shared" si="53"/>
        <v>0</v>
      </c>
    </row>
    <row r="253" spans="1:19">
      <c r="A253" s="2916"/>
      <c r="B253" s="3180"/>
      <c r="C253" s="2914">
        <f t="shared" si="44"/>
        <v>1</v>
      </c>
      <c r="D253" s="3182"/>
      <c r="E253" s="2914">
        <f t="shared" si="45"/>
        <v>1</v>
      </c>
      <c r="F253" s="3182"/>
      <c r="G253" s="2914">
        <f t="shared" si="46"/>
        <v>1</v>
      </c>
      <c r="H253" s="3182"/>
      <c r="I253" s="2914">
        <f t="shared" si="47"/>
        <v>1</v>
      </c>
      <c r="J253" s="3182"/>
      <c r="K253" s="2914">
        <f t="shared" si="48"/>
        <v>1</v>
      </c>
      <c r="L253" s="3182"/>
      <c r="M253" s="2914">
        <f t="shared" si="49"/>
        <v>1</v>
      </c>
      <c r="N253" s="3182"/>
      <c r="O253" s="2914">
        <f t="shared" si="50"/>
        <v>1</v>
      </c>
      <c r="P253" s="3182"/>
      <c r="Q253" s="2914">
        <f t="shared" si="51"/>
        <v>1</v>
      </c>
      <c r="R253" s="2665">
        <f t="shared" si="52"/>
        <v>0</v>
      </c>
      <c r="S253" s="2790">
        <f t="shared" si="53"/>
        <v>0</v>
      </c>
    </row>
    <row r="254" spans="1:19">
      <c r="A254" s="2916"/>
      <c r="B254" s="3180"/>
      <c r="C254" s="2914">
        <f t="shared" si="44"/>
        <v>1</v>
      </c>
      <c r="D254" s="3182"/>
      <c r="E254" s="2914">
        <f t="shared" si="45"/>
        <v>1</v>
      </c>
      <c r="F254" s="3182"/>
      <c r="G254" s="2914">
        <f t="shared" si="46"/>
        <v>1</v>
      </c>
      <c r="H254" s="3182"/>
      <c r="I254" s="2914">
        <f t="shared" si="47"/>
        <v>1</v>
      </c>
      <c r="J254" s="3182"/>
      <c r="K254" s="2914">
        <f t="shared" si="48"/>
        <v>1</v>
      </c>
      <c r="L254" s="3182"/>
      <c r="M254" s="2914">
        <f t="shared" si="49"/>
        <v>1</v>
      </c>
      <c r="N254" s="3182"/>
      <c r="O254" s="2914">
        <f t="shared" si="50"/>
        <v>1</v>
      </c>
      <c r="P254" s="3182"/>
      <c r="Q254" s="2914">
        <f t="shared" si="51"/>
        <v>1</v>
      </c>
      <c r="R254" s="2665">
        <f t="shared" si="52"/>
        <v>0</v>
      </c>
      <c r="S254" s="2790">
        <f t="shared" si="53"/>
        <v>0</v>
      </c>
    </row>
    <row r="255" spans="1:19">
      <c r="A255" s="2916"/>
      <c r="B255" s="3180"/>
      <c r="C255" s="2914">
        <f t="shared" si="44"/>
        <v>1</v>
      </c>
      <c r="D255" s="3182"/>
      <c r="E255" s="2914">
        <f t="shared" si="45"/>
        <v>1</v>
      </c>
      <c r="F255" s="3182"/>
      <c r="G255" s="2914">
        <f t="shared" si="46"/>
        <v>1</v>
      </c>
      <c r="H255" s="3182"/>
      <c r="I255" s="2914">
        <f t="shared" si="47"/>
        <v>1</v>
      </c>
      <c r="J255" s="3182"/>
      <c r="K255" s="2914">
        <f t="shared" si="48"/>
        <v>1</v>
      </c>
      <c r="L255" s="3182"/>
      <c r="M255" s="2914">
        <f t="shared" si="49"/>
        <v>1</v>
      </c>
      <c r="N255" s="3182"/>
      <c r="O255" s="2914">
        <f t="shared" si="50"/>
        <v>1</v>
      </c>
      <c r="P255" s="3182"/>
      <c r="Q255" s="2914">
        <f t="shared" si="51"/>
        <v>1</v>
      </c>
      <c r="R255" s="2665">
        <f t="shared" si="52"/>
        <v>0</v>
      </c>
      <c r="S255" s="2790">
        <f t="shared" si="53"/>
        <v>0</v>
      </c>
    </row>
    <row r="256" spans="1:19">
      <c r="A256" s="2916"/>
      <c r="B256" s="3180"/>
      <c r="C256" s="2914">
        <f t="shared" si="44"/>
        <v>1</v>
      </c>
      <c r="D256" s="3182"/>
      <c r="E256" s="2914">
        <f t="shared" si="45"/>
        <v>1</v>
      </c>
      <c r="F256" s="3182"/>
      <c r="G256" s="2914">
        <f t="shared" si="46"/>
        <v>1</v>
      </c>
      <c r="H256" s="3182"/>
      <c r="I256" s="2914">
        <f t="shared" si="47"/>
        <v>1</v>
      </c>
      <c r="J256" s="3182"/>
      <c r="K256" s="2914">
        <f t="shared" si="48"/>
        <v>1</v>
      </c>
      <c r="L256" s="3182"/>
      <c r="M256" s="2914">
        <f t="shared" si="49"/>
        <v>1</v>
      </c>
      <c r="N256" s="3182"/>
      <c r="O256" s="2914">
        <f t="shared" si="50"/>
        <v>1</v>
      </c>
      <c r="P256" s="3182"/>
      <c r="Q256" s="2914">
        <f t="shared" si="51"/>
        <v>1</v>
      </c>
      <c r="R256" s="2665">
        <f t="shared" si="52"/>
        <v>0</v>
      </c>
      <c r="S256" s="2790">
        <f t="shared" si="53"/>
        <v>0</v>
      </c>
    </row>
    <row r="257" spans="1:19">
      <c r="A257" s="2916"/>
      <c r="B257" s="3180"/>
      <c r="C257" s="2914">
        <f t="shared" si="44"/>
        <v>1</v>
      </c>
      <c r="D257" s="3182"/>
      <c r="E257" s="2914">
        <f t="shared" si="45"/>
        <v>1</v>
      </c>
      <c r="F257" s="3182"/>
      <c r="G257" s="2914">
        <f t="shared" si="46"/>
        <v>1</v>
      </c>
      <c r="H257" s="3182"/>
      <c r="I257" s="2914">
        <f t="shared" si="47"/>
        <v>1</v>
      </c>
      <c r="J257" s="3182"/>
      <c r="K257" s="2914">
        <f t="shared" si="48"/>
        <v>1</v>
      </c>
      <c r="L257" s="3182"/>
      <c r="M257" s="2914">
        <f t="shared" si="49"/>
        <v>1</v>
      </c>
      <c r="N257" s="3182"/>
      <c r="O257" s="2914">
        <f t="shared" si="50"/>
        <v>1</v>
      </c>
      <c r="P257" s="3182"/>
      <c r="Q257" s="2914">
        <f t="shared" si="51"/>
        <v>1</v>
      </c>
      <c r="R257" s="2665">
        <f t="shared" si="52"/>
        <v>0</v>
      </c>
      <c r="S257" s="2790">
        <f t="shared" si="53"/>
        <v>0</v>
      </c>
    </row>
    <row r="258" spans="1:19">
      <c r="A258" s="2916"/>
      <c r="B258" s="3180"/>
      <c r="C258" s="2914">
        <f t="shared" si="44"/>
        <v>1</v>
      </c>
      <c r="D258" s="3182"/>
      <c r="E258" s="2914">
        <f t="shared" si="45"/>
        <v>1</v>
      </c>
      <c r="F258" s="3182"/>
      <c r="G258" s="2914">
        <f t="shared" si="46"/>
        <v>1</v>
      </c>
      <c r="H258" s="3182"/>
      <c r="I258" s="2914">
        <f t="shared" si="47"/>
        <v>1</v>
      </c>
      <c r="J258" s="3182"/>
      <c r="K258" s="2914">
        <f t="shared" si="48"/>
        <v>1</v>
      </c>
      <c r="L258" s="3182"/>
      <c r="M258" s="2914">
        <f t="shared" si="49"/>
        <v>1</v>
      </c>
      <c r="N258" s="3182"/>
      <c r="O258" s="2914">
        <f t="shared" si="50"/>
        <v>1</v>
      </c>
      <c r="P258" s="3182"/>
      <c r="Q258" s="2914">
        <f t="shared" si="51"/>
        <v>1</v>
      </c>
      <c r="R258" s="2665">
        <f t="shared" si="52"/>
        <v>0</v>
      </c>
      <c r="S258" s="2790">
        <f t="shared" si="53"/>
        <v>0</v>
      </c>
    </row>
    <row r="259" spans="1:19">
      <c r="A259" s="2916"/>
      <c r="B259" s="3180"/>
      <c r="C259" s="2914">
        <f t="shared" si="44"/>
        <v>1</v>
      </c>
      <c r="D259" s="3182"/>
      <c r="E259" s="2914">
        <f t="shared" si="45"/>
        <v>1</v>
      </c>
      <c r="F259" s="3182"/>
      <c r="G259" s="2914">
        <f t="shared" si="46"/>
        <v>1</v>
      </c>
      <c r="H259" s="3182"/>
      <c r="I259" s="2914">
        <f t="shared" si="47"/>
        <v>1</v>
      </c>
      <c r="J259" s="3182"/>
      <c r="K259" s="2914">
        <f t="shared" si="48"/>
        <v>1</v>
      </c>
      <c r="L259" s="3182"/>
      <c r="M259" s="2914">
        <f t="shared" si="49"/>
        <v>1</v>
      </c>
      <c r="N259" s="3182"/>
      <c r="O259" s="2914">
        <f t="shared" si="50"/>
        <v>1</v>
      </c>
      <c r="P259" s="3182"/>
      <c r="Q259" s="2914">
        <f t="shared" si="51"/>
        <v>1</v>
      </c>
      <c r="R259" s="2665">
        <f t="shared" si="52"/>
        <v>0</v>
      </c>
      <c r="S259" s="2790">
        <f t="shared" si="53"/>
        <v>0</v>
      </c>
    </row>
    <row r="260" spans="1:19">
      <c r="A260" s="2916"/>
      <c r="B260" s="3180"/>
      <c r="C260" s="2914">
        <f t="shared" si="44"/>
        <v>1</v>
      </c>
      <c r="D260" s="3182"/>
      <c r="E260" s="2914">
        <f t="shared" si="45"/>
        <v>1</v>
      </c>
      <c r="F260" s="3182"/>
      <c r="G260" s="2914">
        <f t="shared" si="46"/>
        <v>1</v>
      </c>
      <c r="H260" s="3182"/>
      <c r="I260" s="2914">
        <f t="shared" si="47"/>
        <v>1</v>
      </c>
      <c r="J260" s="3182"/>
      <c r="K260" s="2914">
        <f t="shared" si="48"/>
        <v>1</v>
      </c>
      <c r="L260" s="3182"/>
      <c r="M260" s="2914">
        <f t="shared" si="49"/>
        <v>1</v>
      </c>
      <c r="N260" s="3182"/>
      <c r="O260" s="2914">
        <f t="shared" si="50"/>
        <v>1</v>
      </c>
      <c r="P260" s="3182"/>
      <c r="Q260" s="2914">
        <f t="shared" si="51"/>
        <v>1</v>
      </c>
      <c r="R260" s="2665">
        <f t="shared" si="52"/>
        <v>0</v>
      </c>
      <c r="S260" s="2790">
        <f t="shared" si="53"/>
        <v>0</v>
      </c>
    </row>
    <row r="261" spans="1:19">
      <c r="A261" s="2916"/>
      <c r="B261" s="3180"/>
      <c r="C261" s="2914">
        <f t="shared" si="44"/>
        <v>1</v>
      </c>
      <c r="D261" s="3182"/>
      <c r="E261" s="2914">
        <f t="shared" si="45"/>
        <v>1</v>
      </c>
      <c r="F261" s="3182"/>
      <c r="G261" s="2914">
        <f t="shared" si="46"/>
        <v>1</v>
      </c>
      <c r="H261" s="3182"/>
      <c r="I261" s="2914">
        <f t="shared" si="47"/>
        <v>1</v>
      </c>
      <c r="J261" s="3182"/>
      <c r="K261" s="2914">
        <f t="shared" si="48"/>
        <v>1</v>
      </c>
      <c r="L261" s="3182"/>
      <c r="M261" s="2914">
        <f t="shared" si="49"/>
        <v>1</v>
      </c>
      <c r="N261" s="3182"/>
      <c r="O261" s="2914">
        <f t="shared" si="50"/>
        <v>1</v>
      </c>
      <c r="P261" s="3182"/>
      <c r="Q261" s="2914">
        <f t="shared" si="51"/>
        <v>1</v>
      </c>
      <c r="R261" s="2665">
        <f t="shared" si="52"/>
        <v>0</v>
      </c>
      <c r="S261" s="2790">
        <f t="shared" si="53"/>
        <v>0</v>
      </c>
    </row>
    <row r="262" spans="1:19">
      <c r="A262" s="2916"/>
      <c r="B262" s="3180"/>
      <c r="C262" s="2914">
        <f t="shared" si="44"/>
        <v>1</v>
      </c>
      <c r="D262" s="3182"/>
      <c r="E262" s="2914">
        <f t="shared" si="45"/>
        <v>1</v>
      </c>
      <c r="F262" s="3182"/>
      <c r="G262" s="2914">
        <f t="shared" si="46"/>
        <v>1</v>
      </c>
      <c r="H262" s="3182"/>
      <c r="I262" s="2914">
        <f t="shared" si="47"/>
        <v>1</v>
      </c>
      <c r="J262" s="3182"/>
      <c r="K262" s="2914">
        <f t="shared" si="48"/>
        <v>1</v>
      </c>
      <c r="L262" s="3182"/>
      <c r="M262" s="2914">
        <f t="shared" si="49"/>
        <v>1</v>
      </c>
      <c r="N262" s="3182"/>
      <c r="O262" s="2914">
        <f t="shared" si="50"/>
        <v>1</v>
      </c>
      <c r="P262" s="3182"/>
      <c r="Q262" s="2914">
        <f t="shared" si="51"/>
        <v>1</v>
      </c>
      <c r="R262" s="2665">
        <f t="shared" si="52"/>
        <v>0</v>
      </c>
      <c r="S262" s="2790">
        <f t="shared" si="53"/>
        <v>0</v>
      </c>
    </row>
    <row r="263" spans="1:19">
      <c r="A263" s="2916"/>
      <c r="B263" s="3180"/>
      <c r="C263" s="2914">
        <f t="shared" si="44"/>
        <v>1</v>
      </c>
      <c r="D263" s="3182"/>
      <c r="E263" s="2914">
        <f t="shared" si="45"/>
        <v>1</v>
      </c>
      <c r="F263" s="3182"/>
      <c r="G263" s="2914">
        <f t="shared" si="46"/>
        <v>1</v>
      </c>
      <c r="H263" s="3182"/>
      <c r="I263" s="2914">
        <f t="shared" si="47"/>
        <v>1</v>
      </c>
      <c r="J263" s="3182"/>
      <c r="K263" s="2914">
        <f t="shared" si="48"/>
        <v>1</v>
      </c>
      <c r="L263" s="3182"/>
      <c r="M263" s="2914">
        <f t="shared" si="49"/>
        <v>1</v>
      </c>
      <c r="N263" s="3182"/>
      <c r="O263" s="2914">
        <f t="shared" si="50"/>
        <v>1</v>
      </c>
      <c r="P263" s="3182"/>
      <c r="Q263" s="2914">
        <f t="shared" si="51"/>
        <v>1</v>
      </c>
      <c r="R263" s="2665">
        <f t="shared" si="52"/>
        <v>0</v>
      </c>
      <c r="S263" s="2790">
        <f t="shared" si="53"/>
        <v>0</v>
      </c>
    </row>
    <row r="264" spans="1:19">
      <c r="A264" s="2916"/>
      <c r="B264" s="3180"/>
      <c r="C264" s="2914">
        <f t="shared" si="44"/>
        <v>1</v>
      </c>
      <c r="D264" s="3182"/>
      <c r="E264" s="2914">
        <f t="shared" si="45"/>
        <v>1</v>
      </c>
      <c r="F264" s="3182"/>
      <c r="G264" s="2914">
        <f t="shared" si="46"/>
        <v>1</v>
      </c>
      <c r="H264" s="3182"/>
      <c r="I264" s="2914">
        <f t="shared" si="47"/>
        <v>1</v>
      </c>
      <c r="J264" s="3182"/>
      <c r="K264" s="2914">
        <f t="shared" si="48"/>
        <v>1</v>
      </c>
      <c r="L264" s="3182"/>
      <c r="M264" s="2914">
        <f t="shared" si="49"/>
        <v>1</v>
      </c>
      <c r="N264" s="3182"/>
      <c r="O264" s="2914">
        <f t="shared" si="50"/>
        <v>1</v>
      </c>
      <c r="P264" s="3182"/>
      <c r="Q264" s="2914">
        <f t="shared" si="51"/>
        <v>1</v>
      </c>
      <c r="R264" s="2665">
        <f t="shared" si="52"/>
        <v>0</v>
      </c>
      <c r="S264" s="2790">
        <f t="shared" si="53"/>
        <v>0</v>
      </c>
    </row>
    <row r="265" spans="1:19">
      <c r="A265" s="2916"/>
      <c r="B265" s="3180"/>
      <c r="C265" s="2914">
        <f t="shared" si="44"/>
        <v>1</v>
      </c>
      <c r="D265" s="3182"/>
      <c r="E265" s="2914">
        <f t="shared" si="45"/>
        <v>1</v>
      </c>
      <c r="F265" s="3182"/>
      <c r="G265" s="2914">
        <f t="shared" si="46"/>
        <v>1</v>
      </c>
      <c r="H265" s="3182"/>
      <c r="I265" s="2914">
        <f t="shared" si="47"/>
        <v>1</v>
      </c>
      <c r="J265" s="3182"/>
      <c r="K265" s="2914">
        <f t="shared" si="48"/>
        <v>1</v>
      </c>
      <c r="L265" s="3182"/>
      <c r="M265" s="2914">
        <f t="shared" si="49"/>
        <v>1</v>
      </c>
      <c r="N265" s="3182"/>
      <c r="O265" s="2914">
        <f t="shared" si="50"/>
        <v>1</v>
      </c>
      <c r="P265" s="3182"/>
      <c r="Q265" s="2914">
        <f t="shared" si="51"/>
        <v>1</v>
      </c>
      <c r="R265" s="2665">
        <f t="shared" si="52"/>
        <v>0</v>
      </c>
      <c r="S265" s="2790">
        <f t="shared" si="53"/>
        <v>0</v>
      </c>
    </row>
    <row r="266" spans="1:19">
      <c r="A266" s="2916"/>
      <c r="B266" s="3180"/>
      <c r="C266" s="2914">
        <f t="shared" si="44"/>
        <v>1</v>
      </c>
      <c r="D266" s="3182"/>
      <c r="E266" s="2914">
        <f t="shared" si="45"/>
        <v>1</v>
      </c>
      <c r="F266" s="3182"/>
      <c r="G266" s="2914">
        <f t="shared" si="46"/>
        <v>1</v>
      </c>
      <c r="H266" s="3182"/>
      <c r="I266" s="2914">
        <f t="shared" si="47"/>
        <v>1</v>
      </c>
      <c r="J266" s="3182"/>
      <c r="K266" s="2914">
        <f t="shared" si="48"/>
        <v>1</v>
      </c>
      <c r="L266" s="3182"/>
      <c r="M266" s="2914">
        <f t="shared" si="49"/>
        <v>1</v>
      </c>
      <c r="N266" s="3182"/>
      <c r="O266" s="2914">
        <f t="shared" si="50"/>
        <v>1</v>
      </c>
      <c r="P266" s="3182"/>
      <c r="Q266" s="2914">
        <f t="shared" si="51"/>
        <v>1</v>
      </c>
      <c r="R266" s="2665">
        <f t="shared" si="52"/>
        <v>0</v>
      </c>
      <c r="S266" s="2790">
        <f t="shared" si="53"/>
        <v>0</v>
      </c>
    </row>
    <row r="267" spans="1:19">
      <c r="A267" s="2916"/>
      <c r="B267" s="3180"/>
      <c r="C267" s="2914">
        <f t="shared" si="44"/>
        <v>1</v>
      </c>
      <c r="D267" s="3182"/>
      <c r="E267" s="2914">
        <f t="shared" si="45"/>
        <v>1</v>
      </c>
      <c r="F267" s="3182"/>
      <c r="G267" s="2914">
        <f t="shared" si="46"/>
        <v>1</v>
      </c>
      <c r="H267" s="3182"/>
      <c r="I267" s="2914">
        <f t="shared" si="47"/>
        <v>1</v>
      </c>
      <c r="J267" s="3182"/>
      <c r="K267" s="2914">
        <f t="shared" si="48"/>
        <v>1</v>
      </c>
      <c r="L267" s="3182"/>
      <c r="M267" s="2914">
        <f t="shared" si="49"/>
        <v>1</v>
      </c>
      <c r="N267" s="3182"/>
      <c r="O267" s="2914">
        <f t="shared" si="50"/>
        <v>1</v>
      </c>
      <c r="P267" s="3182"/>
      <c r="Q267" s="2914">
        <f t="shared" si="51"/>
        <v>1</v>
      </c>
      <c r="R267" s="2665">
        <f t="shared" si="52"/>
        <v>0</v>
      </c>
      <c r="S267" s="2790">
        <f t="shared" si="53"/>
        <v>0</v>
      </c>
    </row>
    <row r="268" spans="1:19">
      <c r="A268" s="2916"/>
      <c r="B268" s="3180"/>
      <c r="C268" s="2914">
        <f t="shared" si="44"/>
        <v>1</v>
      </c>
      <c r="D268" s="3182"/>
      <c r="E268" s="2914">
        <f t="shared" si="45"/>
        <v>1</v>
      </c>
      <c r="F268" s="3182"/>
      <c r="G268" s="2914">
        <f t="shared" si="46"/>
        <v>1</v>
      </c>
      <c r="H268" s="3182"/>
      <c r="I268" s="2914">
        <f t="shared" si="47"/>
        <v>1</v>
      </c>
      <c r="J268" s="3182"/>
      <c r="K268" s="2914">
        <f t="shared" si="48"/>
        <v>1</v>
      </c>
      <c r="L268" s="3182"/>
      <c r="M268" s="2914">
        <f t="shared" si="49"/>
        <v>1</v>
      </c>
      <c r="N268" s="3182"/>
      <c r="O268" s="2914">
        <f t="shared" si="50"/>
        <v>1</v>
      </c>
      <c r="P268" s="3182"/>
      <c r="Q268" s="2914">
        <f t="shared" si="51"/>
        <v>1</v>
      </c>
      <c r="R268" s="2665">
        <f t="shared" si="52"/>
        <v>0</v>
      </c>
      <c r="S268" s="2790">
        <f t="shared" si="53"/>
        <v>0</v>
      </c>
    </row>
    <row r="269" spans="1:19">
      <c r="A269" s="2916"/>
      <c r="B269" s="3180"/>
      <c r="C269" s="2914">
        <f t="shared" si="44"/>
        <v>1</v>
      </c>
      <c r="D269" s="3182"/>
      <c r="E269" s="2914">
        <f t="shared" si="45"/>
        <v>1</v>
      </c>
      <c r="F269" s="3182"/>
      <c r="G269" s="2914">
        <f t="shared" si="46"/>
        <v>1</v>
      </c>
      <c r="H269" s="3182"/>
      <c r="I269" s="2914">
        <f t="shared" si="47"/>
        <v>1</v>
      </c>
      <c r="J269" s="3182"/>
      <c r="K269" s="2914">
        <f t="shared" si="48"/>
        <v>1</v>
      </c>
      <c r="L269" s="3182"/>
      <c r="M269" s="2914">
        <f t="shared" si="49"/>
        <v>1</v>
      </c>
      <c r="N269" s="3182"/>
      <c r="O269" s="2914">
        <f t="shared" si="50"/>
        <v>1</v>
      </c>
      <c r="P269" s="3182"/>
      <c r="Q269" s="2914">
        <f t="shared" si="51"/>
        <v>1</v>
      </c>
      <c r="R269" s="2665">
        <f t="shared" si="52"/>
        <v>0</v>
      </c>
      <c r="S269" s="2790">
        <f t="shared" si="53"/>
        <v>0</v>
      </c>
    </row>
    <row r="270" spans="1:19">
      <c r="A270" s="2916"/>
      <c r="B270" s="3180"/>
      <c r="C270" s="2914">
        <f t="shared" si="44"/>
        <v>1</v>
      </c>
      <c r="D270" s="3182"/>
      <c r="E270" s="2914">
        <f t="shared" si="45"/>
        <v>1</v>
      </c>
      <c r="F270" s="3182"/>
      <c r="G270" s="2914">
        <f t="shared" si="46"/>
        <v>1</v>
      </c>
      <c r="H270" s="3182"/>
      <c r="I270" s="2914">
        <f t="shared" si="47"/>
        <v>1</v>
      </c>
      <c r="J270" s="3182"/>
      <c r="K270" s="2914">
        <f t="shared" si="48"/>
        <v>1</v>
      </c>
      <c r="L270" s="3182"/>
      <c r="M270" s="2914">
        <f t="shared" si="49"/>
        <v>1</v>
      </c>
      <c r="N270" s="3182"/>
      <c r="O270" s="2914">
        <f t="shared" si="50"/>
        <v>1</v>
      </c>
      <c r="P270" s="3182"/>
      <c r="Q270" s="2914">
        <f t="shared" si="51"/>
        <v>1</v>
      </c>
      <c r="R270" s="2665">
        <f t="shared" si="52"/>
        <v>0</v>
      </c>
      <c r="S270" s="2790">
        <f t="shared" si="53"/>
        <v>0</v>
      </c>
    </row>
    <row r="271" spans="1:19">
      <c r="A271" s="2916"/>
      <c r="B271" s="3180"/>
      <c r="C271" s="2914">
        <f t="shared" si="44"/>
        <v>1</v>
      </c>
      <c r="D271" s="3182"/>
      <c r="E271" s="2914">
        <f t="shared" si="45"/>
        <v>1</v>
      </c>
      <c r="F271" s="3182"/>
      <c r="G271" s="2914">
        <f t="shared" si="46"/>
        <v>1</v>
      </c>
      <c r="H271" s="3182"/>
      <c r="I271" s="2914">
        <f t="shared" si="47"/>
        <v>1</v>
      </c>
      <c r="J271" s="3182"/>
      <c r="K271" s="2914">
        <f t="shared" si="48"/>
        <v>1</v>
      </c>
      <c r="L271" s="3182"/>
      <c r="M271" s="2914">
        <f t="shared" si="49"/>
        <v>1</v>
      </c>
      <c r="N271" s="3182"/>
      <c r="O271" s="2914">
        <f t="shared" si="50"/>
        <v>1</v>
      </c>
      <c r="P271" s="3182"/>
      <c r="Q271" s="2914">
        <f t="shared" si="51"/>
        <v>1</v>
      </c>
      <c r="R271" s="2665">
        <f t="shared" si="52"/>
        <v>0</v>
      </c>
      <c r="S271" s="2790">
        <f t="shared" si="53"/>
        <v>0</v>
      </c>
    </row>
    <row r="272" spans="1:19">
      <c r="A272" s="2916"/>
      <c r="B272" s="3180"/>
      <c r="C272" s="2914">
        <f t="shared" si="44"/>
        <v>1</v>
      </c>
      <c r="D272" s="3182"/>
      <c r="E272" s="2914">
        <f t="shared" si="45"/>
        <v>1</v>
      </c>
      <c r="F272" s="3182"/>
      <c r="G272" s="2914">
        <f t="shared" si="46"/>
        <v>1</v>
      </c>
      <c r="H272" s="3182"/>
      <c r="I272" s="2914">
        <f t="shared" si="47"/>
        <v>1</v>
      </c>
      <c r="J272" s="3182"/>
      <c r="K272" s="2914">
        <f t="shared" si="48"/>
        <v>1</v>
      </c>
      <c r="L272" s="3182"/>
      <c r="M272" s="2914">
        <f t="shared" si="49"/>
        <v>1</v>
      </c>
      <c r="N272" s="3182"/>
      <c r="O272" s="2914">
        <f t="shared" si="50"/>
        <v>1</v>
      </c>
      <c r="P272" s="3182"/>
      <c r="Q272" s="2914">
        <f t="shared" si="51"/>
        <v>1</v>
      </c>
      <c r="R272" s="2665">
        <f t="shared" si="52"/>
        <v>0</v>
      </c>
      <c r="S272" s="2790">
        <f t="shared" si="53"/>
        <v>0</v>
      </c>
    </row>
    <row r="273" spans="1:19">
      <c r="A273" s="2916"/>
      <c r="B273" s="3180"/>
      <c r="C273" s="2914">
        <f t="shared" si="44"/>
        <v>1</v>
      </c>
      <c r="D273" s="3182"/>
      <c r="E273" s="2914">
        <f t="shared" si="45"/>
        <v>1</v>
      </c>
      <c r="F273" s="3182"/>
      <c r="G273" s="2914">
        <f t="shared" si="46"/>
        <v>1</v>
      </c>
      <c r="H273" s="3182"/>
      <c r="I273" s="2914">
        <f t="shared" si="47"/>
        <v>1</v>
      </c>
      <c r="J273" s="3182"/>
      <c r="K273" s="2914">
        <f t="shared" si="48"/>
        <v>1</v>
      </c>
      <c r="L273" s="3182"/>
      <c r="M273" s="2914">
        <f t="shared" si="49"/>
        <v>1</v>
      </c>
      <c r="N273" s="3182"/>
      <c r="O273" s="2914">
        <f t="shared" si="50"/>
        <v>1</v>
      </c>
      <c r="P273" s="3182"/>
      <c r="Q273" s="2914">
        <f t="shared" si="51"/>
        <v>1</v>
      </c>
      <c r="R273" s="2665">
        <f t="shared" si="52"/>
        <v>0</v>
      </c>
      <c r="S273" s="2790">
        <f t="shared" si="53"/>
        <v>0</v>
      </c>
    </row>
    <row r="274" spans="1:19">
      <c r="A274" s="2916"/>
      <c r="B274" s="3180"/>
      <c r="C274" s="2914">
        <f t="shared" si="44"/>
        <v>1</v>
      </c>
      <c r="D274" s="3182"/>
      <c r="E274" s="2914">
        <f t="shared" si="45"/>
        <v>1</v>
      </c>
      <c r="F274" s="3182"/>
      <c r="G274" s="2914">
        <f t="shared" si="46"/>
        <v>1</v>
      </c>
      <c r="H274" s="3182"/>
      <c r="I274" s="2914">
        <f t="shared" si="47"/>
        <v>1</v>
      </c>
      <c r="J274" s="3182"/>
      <c r="K274" s="2914">
        <f t="shared" si="48"/>
        <v>1</v>
      </c>
      <c r="L274" s="3182"/>
      <c r="M274" s="2914">
        <f t="shared" si="49"/>
        <v>1</v>
      </c>
      <c r="N274" s="3182"/>
      <c r="O274" s="2914">
        <f t="shared" si="50"/>
        <v>1</v>
      </c>
      <c r="P274" s="3182"/>
      <c r="Q274" s="2914">
        <f t="shared" si="51"/>
        <v>1</v>
      </c>
      <c r="R274" s="2665">
        <f t="shared" si="52"/>
        <v>0</v>
      </c>
      <c r="S274" s="2790">
        <f t="shared" si="53"/>
        <v>0</v>
      </c>
    </row>
    <row r="275" spans="1:19">
      <c r="A275" s="2916"/>
      <c r="B275" s="3180"/>
      <c r="C275" s="2914">
        <f t="shared" si="44"/>
        <v>1</v>
      </c>
      <c r="D275" s="3182"/>
      <c r="E275" s="2914">
        <f t="shared" si="45"/>
        <v>1</v>
      </c>
      <c r="F275" s="3182"/>
      <c r="G275" s="2914">
        <f t="shared" si="46"/>
        <v>1</v>
      </c>
      <c r="H275" s="3182"/>
      <c r="I275" s="2914">
        <f t="shared" si="47"/>
        <v>1</v>
      </c>
      <c r="J275" s="3182"/>
      <c r="K275" s="2914">
        <f t="shared" si="48"/>
        <v>1</v>
      </c>
      <c r="L275" s="3182"/>
      <c r="M275" s="2914">
        <f t="shared" si="49"/>
        <v>1</v>
      </c>
      <c r="N275" s="3182"/>
      <c r="O275" s="2914">
        <f t="shared" si="50"/>
        <v>1</v>
      </c>
      <c r="P275" s="3182"/>
      <c r="Q275" s="2914">
        <f t="shared" si="51"/>
        <v>1</v>
      </c>
      <c r="R275" s="2665">
        <f t="shared" si="52"/>
        <v>0</v>
      </c>
      <c r="S275" s="2790">
        <f t="shared" si="53"/>
        <v>0</v>
      </c>
    </row>
    <row r="276" spans="1:19">
      <c r="A276" s="2916"/>
      <c r="B276" s="3180"/>
      <c r="C276" s="2914">
        <f t="shared" si="44"/>
        <v>1</v>
      </c>
      <c r="D276" s="3182"/>
      <c r="E276" s="2914">
        <f t="shared" si="45"/>
        <v>1</v>
      </c>
      <c r="F276" s="3182"/>
      <c r="G276" s="2914">
        <f t="shared" si="46"/>
        <v>1</v>
      </c>
      <c r="H276" s="3182"/>
      <c r="I276" s="2914">
        <f t="shared" si="47"/>
        <v>1</v>
      </c>
      <c r="J276" s="3182"/>
      <c r="K276" s="2914">
        <f t="shared" si="48"/>
        <v>1</v>
      </c>
      <c r="L276" s="3182"/>
      <c r="M276" s="2914">
        <f t="shared" si="49"/>
        <v>1</v>
      </c>
      <c r="N276" s="3182"/>
      <c r="O276" s="2914">
        <f t="shared" si="50"/>
        <v>1</v>
      </c>
      <c r="P276" s="3182"/>
      <c r="Q276" s="2914">
        <f t="shared" si="51"/>
        <v>1</v>
      </c>
      <c r="R276" s="2665">
        <f t="shared" si="52"/>
        <v>0</v>
      </c>
      <c r="S276" s="2790">
        <f t="shared" si="53"/>
        <v>0</v>
      </c>
    </row>
    <row r="277" spans="1:19">
      <c r="A277" s="2916"/>
      <c r="B277" s="3180"/>
      <c r="C277" s="2914">
        <f t="shared" si="44"/>
        <v>1</v>
      </c>
      <c r="D277" s="3182"/>
      <c r="E277" s="2914">
        <f t="shared" si="45"/>
        <v>1</v>
      </c>
      <c r="F277" s="3182"/>
      <c r="G277" s="2914">
        <f t="shared" si="46"/>
        <v>1</v>
      </c>
      <c r="H277" s="3182"/>
      <c r="I277" s="2914">
        <f t="shared" si="47"/>
        <v>1</v>
      </c>
      <c r="J277" s="3182"/>
      <c r="K277" s="2914">
        <f t="shared" si="48"/>
        <v>1</v>
      </c>
      <c r="L277" s="3182"/>
      <c r="M277" s="2914">
        <f t="shared" si="49"/>
        <v>1</v>
      </c>
      <c r="N277" s="3182"/>
      <c r="O277" s="2914">
        <f t="shared" si="50"/>
        <v>1</v>
      </c>
      <c r="P277" s="3182"/>
      <c r="Q277" s="2914">
        <f t="shared" si="51"/>
        <v>1</v>
      </c>
      <c r="R277" s="2665">
        <f t="shared" si="52"/>
        <v>0</v>
      </c>
      <c r="S277" s="2790">
        <f t="shared" si="53"/>
        <v>0</v>
      </c>
    </row>
    <row r="278" spans="1:19">
      <c r="A278" s="2916"/>
      <c r="B278" s="3180"/>
      <c r="C278" s="2914">
        <f t="shared" si="44"/>
        <v>1</v>
      </c>
      <c r="D278" s="3182"/>
      <c r="E278" s="2914">
        <f t="shared" si="45"/>
        <v>1</v>
      </c>
      <c r="F278" s="3182"/>
      <c r="G278" s="2914">
        <f t="shared" si="46"/>
        <v>1</v>
      </c>
      <c r="H278" s="3182"/>
      <c r="I278" s="2914">
        <f t="shared" si="47"/>
        <v>1</v>
      </c>
      <c r="J278" s="3182"/>
      <c r="K278" s="2914">
        <f t="shared" si="48"/>
        <v>1</v>
      </c>
      <c r="L278" s="3182"/>
      <c r="M278" s="2914">
        <f t="shared" si="49"/>
        <v>1</v>
      </c>
      <c r="N278" s="3182"/>
      <c r="O278" s="2914">
        <f t="shared" si="50"/>
        <v>1</v>
      </c>
      <c r="P278" s="3182"/>
      <c r="Q278" s="2914">
        <f t="shared" si="51"/>
        <v>1</v>
      </c>
      <c r="R278" s="2665">
        <f t="shared" si="52"/>
        <v>0</v>
      </c>
      <c r="S278" s="2790">
        <f t="shared" si="53"/>
        <v>0</v>
      </c>
    </row>
    <row r="279" spans="1:19">
      <c r="A279" s="2916"/>
      <c r="B279" s="3180"/>
      <c r="C279" s="2914">
        <f t="shared" si="44"/>
        <v>1</v>
      </c>
      <c r="D279" s="3182"/>
      <c r="E279" s="2914">
        <f t="shared" si="45"/>
        <v>1</v>
      </c>
      <c r="F279" s="3182"/>
      <c r="G279" s="2914">
        <f t="shared" si="46"/>
        <v>1</v>
      </c>
      <c r="H279" s="3182"/>
      <c r="I279" s="2914">
        <f t="shared" si="47"/>
        <v>1</v>
      </c>
      <c r="J279" s="3182"/>
      <c r="K279" s="2914">
        <f t="shared" si="48"/>
        <v>1</v>
      </c>
      <c r="L279" s="3182"/>
      <c r="M279" s="2914">
        <f t="shared" si="49"/>
        <v>1</v>
      </c>
      <c r="N279" s="3182"/>
      <c r="O279" s="2914">
        <f t="shared" si="50"/>
        <v>1</v>
      </c>
      <c r="P279" s="3182"/>
      <c r="Q279" s="2914">
        <f t="shared" si="51"/>
        <v>1</v>
      </c>
      <c r="R279" s="2665">
        <f t="shared" si="52"/>
        <v>0</v>
      </c>
      <c r="S279" s="2790">
        <f t="shared" si="53"/>
        <v>0</v>
      </c>
    </row>
    <row r="280" spans="1:19">
      <c r="A280" s="2916"/>
      <c r="B280" s="3180"/>
      <c r="C280" s="2914">
        <f t="shared" si="44"/>
        <v>1</v>
      </c>
      <c r="D280" s="3182"/>
      <c r="E280" s="2914">
        <f t="shared" si="45"/>
        <v>1</v>
      </c>
      <c r="F280" s="3182"/>
      <c r="G280" s="2914">
        <f t="shared" si="46"/>
        <v>1</v>
      </c>
      <c r="H280" s="3182"/>
      <c r="I280" s="2914">
        <f t="shared" si="47"/>
        <v>1</v>
      </c>
      <c r="J280" s="3182"/>
      <c r="K280" s="2914">
        <f t="shared" si="48"/>
        <v>1</v>
      </c>
      <c r="L280" s="3182"/>
      <c r="M280" s="2914">
        <f t="shared" si="49"/>
        <v>1</v>
      </c>
      <c r="N280" s="3182"/>
      <c r="O280" s="2914">
        <f t="shared" si="50"/>
        <v>1</v>
      </c>
      <c r="P280" s="3182"/>
      <c r="Q280" s="2914">
        <f t="shared" si="51"/>
        <v>1</v>
      </c>
      <c r="R280" s="2665">
        <f t="shared" si="52"/>
        <v>0</v>
      </c>
      <c r="S280" s="2790">
        <f t="shared" si="53"/>
        <v>0</v>
      </c>
    </row>
    <row r="281" spans="1:19">
      <c r="A281" s="2916"/>
      <c r="B281" s="3180"/>
      <c r="C281" s="2914">
        <f t="shared" si="44"/>
        <v>1</v>
      </c>
      <c r="D281" s="3182"/>
      <c r="E281" s="2914">
        <f t="shared" si="45"/>
        <v>1</v>
      </c>
      <c r="F281" s="3182"/>
      <c r="G281" s="2914">
        <f t="shared" si="46"/>
        <v>1</v>
      </c>
      <c r="H281" s="3182"/>
      <c r="I281" s="2914">
        <f t="shared" si="47"/>
        <v>1</v>
      </c>
      <c r="J281" s="3182"/>
      <c r="K281" s="2914">
        <f t="shared" si="48"/>
        <v>1</v>
      </c>
      <c r="L281" s="3182"/>
      <c r="M281" s="2914">
        <f t="shared" si="49"/>
        <v>1</v>
      </c>
      <c r="N281" s="3182"/>
      <c r="O281" s="2914">
        <f t="shared" si="50"/>
        <v>1</v>
      </c>
      <c r="P281" s="3182"/>
      <c r="Q281" s="2914">
        <f t="shared" si="51"/>
        <v>1</v>
      </c>
      <c r="R281" s="2665">
        <f t="shared" si="52"/>
        <v>0</v>
      </c>
      <c r="S281" s="2790">
        <f t="shared" si="53"/>
        <v>0</v>
      </c>
    </row>
    <row r="282" spans="1:19">
      <c r="A282" s="2916"/>
      <c r="B282" s="3180"/>
      <c r="C282" s="2914">
        <f t="shared" ref="C282:C345" si="54">IF(B282="",1,(LOOKUP(B282,$3:$3,$4:$4)-LOOKUP($B$24,$3:$3,$4:$4)+100)/100)</f>
        <v>1</v>
      </c>
      <c r="D282" s="3182"/>
      <c r="E282" s="2914">
        <f t="shared" ref="E282:E345" si="55">(SUMIF($5:$5,D282,$6:$6)-SUMIF($5:$5,$D$24,$6:$6)+100)/100</f>
        <v>1</v>
      </c>
      <c r="F282" s="3182"/>
      <c r="G282" s="2914">
        <f t="shared" ref="G282:G345" si="56">(SUMIF($7:$7,F282,$8:$8)-SUMIF($7:$7,$F$24,$8:$8)+100)/100</f>
        <v>1</v>
      </c>
      <c r="H282" s="3182"/>
      <c r="I282" s="2914">
        <f t="shared" ref="I282:I345" si="57">(SUMIF($9:$9,H282,$10:$10)-SUMIF($9:$9,$H$24,$10:$10)+100)/100</f>
        <v>1</v>
      </c>
      <c r="J282" s="3182"/>
      <c r="K282" s="2914">
        <f t="shared" ref="K282:K345" si="58">(SUMIF($11:$11,J282,$12:$12)-SUMIF($11:$11,$J$24,$12:$12)+100)/100</f>
        <v>1</v>
      </c>
      <c r="L282" s="3182"/>
      <c r="M282" s="2914">
        <f t="shared" ref="M282:M345" si="59">(SUMIF($13:$13,L282,$14:$14)-SUMIF($13:$13,$L$24,$14:$14)+100)/100</f>
        <v>1</v>
      </c>
      <c r="N282" s="3182"/>
      <c r="O282" s="2914">
        <f t="shared" ref="O282:O345" si="60">(SUMIF($15:$15,N282,$16:$16)-SUMIF($15:$15,$N$24,$16:$16)+100)/100</f>
        <v>1</v>
      </c>
      <c r="P282" s="3182"/>
      <c r="Q282" s="2914">
        <f t="shared" ref="Q282:Q345" si="61">(SUMIF($17:$17,P282,$18:$18)-SUMIF($17:$17,$P$24,$18:$18)+100)/100</f>
        <v>1</v>
      </c>
      <c r="R282" s="2665">
        <f t="shared" ref="R282:R345" si="62">IF(B282="",0,ROUND($R$24*C282*E282*G282*I282*K282*M282*O282*Q282,0))</f>
        <v>0</v>
      </c>
      <c r="S282" s="2790">
        <f t="shared" si="53"/>
        <v>0</v>
      </c>
    </row>
    <row r="283" spans="1:19">
      <c r="A283" s="2916"/>
      <c r="B283" s="3180"/>
      <c r="C283" s="2914">
        <f t="shared" si="54"/>
        <v>1</v>
      </c>
      <c r="D283" s="3182"/>
      <c r="E283" s="2914">
        <f t="shared" si="55"/>
        <v>1</v>
      </c>
      <c r="F283" s="3182"/>
      <c r="G283" s="2914">
        <f t="shared" si="56"/>
        <v>1</v>
      </c>
      <c r="H283" s="3182"/>
      <c r="I283" s="2914">
        <f t="shared" si="57"/>
        <v>1</v>
      </c>
      <c r="J283" s="3182"/>
      <c r="K283" s="2914">
        <f t="shared" si="58"/>
        <v>1</v>
      </c>
      <c r="L283" s="3182"/>
      <c r="M283" s="2914">
        <f t="shared" si="59"/>
        <v>1</v>
      </c>
      <c r="N283" s="3182"/>
      <c r="O283" s="2914">
        <f t="shared" si="60"/>
        <v>1</v>
      </c>
      <c r="P283" s="3182"/>
      <c r="Q283" s="2914">
        <f t="shared" si="61"/>
        <v>1</v>
      </c>
      <c r="R283" s="2665">
        <f t="shared" si="62"/>
        <v>0</v>
      </c>
      <c r="S283" s="2790">
        <f t="shared" si="53"/>
        <v>0</v>
      </c>
    </row>
    <row r="284" spans="1:19">
      <c r="A284" s="2916"/>
      <c r="B284" s="3180"/>
      <c r="C284" s="2914">
        <f t="shared" si="54"/>
        <v>1</v>
      </c>
      <c r="D284" s="3182"/>
      <c r="E284" s="2914">
        <f t="shared" si="55"/>
        <v>1</v>
      </c>
      <c r="F284" s="3182"/>
      <c r="G284" s="2914">
        <f t="shared" si="56"/>
        <v>1</v>
      </c>
      <c r="H284" s="3182"/>
      <c r="I284" s="2914">
        <f t="shared" si="57"/>
        <v>1</v>
      </c>
      <c r="J284" s="3182"/>
      <c r="K284" s="2914">
        <f t="shared" si="58"/>
        <v>1</v>
      </c>
      <c r="L284" s="3182"/>
      <c r="M284" s="2914">
        <f t="shared" si="59"/>
        <v>1</v>
      </c>
      <c r="N284" s="3182"/>
      <c r="O284" s="2914">
        <f t="shared" si="60"/>
        <v>1</v>
      </c>
      <c r="P284" s="3182"/>
      <c r="Q284" s="2914">
        <f t="shared" si="61"/>
        <v>1</v>
      </c>
      <c r="R284" s="2665">
        <f t="shared" si="62"/>
        <v>0</v>
      </c>
      <c r="S284" s="2790">
        <f t="shared" si="53"/>
        <v>0</v>
      </c>
    </row>
    <row r="285" spans="1:19">
      <c r="A285" s="2916"/>
      <c r="B285" s="3180"/>
      <c r="C285" s="2914">
        <f t="shared" si="54"/>
        <v>1</v>
      </c>
      <c r="D285" s="3182"/>
      <c r="E285" s="2914">
        <f t="shared" si="55"/>
        <v>1</v>
      </c>
      <c r="F285" s="3182"/>
      <c r="G285" s="2914">
        <f t="shared" si="56"/>
        <v>1</v>
      </c>
      <c r="H285" s="3182"/>
      <c r="I285" s="2914">
        <f t="shared" si="57"/>
        <v>1</v>
      </c>
      <c r="J285" s="3182"/>
      <c r="K285" s="2914">
        <f t="shared" si="58"/>
        <v>1</v>
      </c>
      <c r="L285" s="3182"/>
      <c r="M285" s="2914">
        <f t="shared" si="59"/>
        <v>1</v>
      </c>
      <c r="N285" s="3182"/>
      <c r="O285" s="2914">
        <f t="shared" si="60"/>
        <v>1</v>
      </c>
      <c r="P285" s="3182"/>
      <c r="Q285" s="2914">
        <f t="shared" si="61"/>
        <v>1</v>
      </c>
      <c r="R285" s="2665">
        <f t="shared" si="62"/>
        <v>0</v>
      </c>
      <c r="S285" s="2790">
        <f t="shared" si="53"/>
        <v>0</v>
      </c>
    </row>
    <row r="286" spans="1:19">
      <c r="A286" s="2916"/>
      <c r="B286" s="3180"/>
      <c r="C286" s="2914">
        <f t="shared" si="54"/>
        <v>1</v>
      </c>
      <c r="D286" s="3182"/>
      <c r="E286" s="2914">
        <f t="shared" si="55"/>
        <v>1</v>
      </c>
      <c r="F286" s="3182"/>
      <c r="G286" s="2914">
        <f t="shared" si="56"/>
        <v>1</v>
      </c>
      <c r="H286" s="3182"/>
      <c r="I286" s="2914">
        <f t="shared" si="57"/>
        <v>1</v>
      </c>
      <c r="J286" s="3182"/>
      <c r="K286" s="2914">
        <f t="shared" si="58"/>
        <v>1</v>
      </c>
      <c r="L286" s="3182"/>
      <c r="M286" s="2914">
        <f t="shared" si="59"/>
        <v>1</v>
      </c>
      <c r="N286" s="3182"/>
      <c r="O286" s="2914">
        <f t="shared" si="60"/>
        <v>1</v>
      </c>
      <c r="P286" s="3182"/>
      <c r="Q286" s="2914">
        <f t="shared" si="61"/>
        <v>1</v>
      </c>
      <c r="R286" s="2665">
        <f t="shared" si="62"/>
        <v>0</v>
      </c>
      <c r="S286" s="2790">
        <f t="shared" si="53"/>
        <v>0</v>
      </c>
    </row>
    <row r="287" spans="1:19">
      <c r="A287" s="2916"/>
      <c r="B287" s="3180"/>
      <c r="C287" s="2914">
        <f t="shared" si="54"/>
        <v>1</v>
      </c>
      <c r="D287" s="3182"/>
      <c r="E287" s="2914">
        <f t="shared" si="55"/>
        <v>1</v>
      </c>
      <c r="F287" s="3182"/>
      <c r="G287" s="2914">
        <f t="shared" si="56"/>
        <v>1</v>
      </c>
      <c r="H287" s="3182"/>
      <c r="I287" s="2914">
        <f t="shared" si="57"/>
        <v>1</v>
      </c>
      <c r="J287" s="3182"/>
      <c r="K287" s="2914">
        <f t="shared" si="58"/>
        <v>1</v>
      </c>
      <c r="L287" s="3182"/>
      <c r="M287" s="2914">
        <f t="shared" si="59"/>
        <v>1</v>
      </c>
      <c r="N287" s="3182"/>
      <c r="O287" s="2914">
        <f t="shared" si="60"/>
        <v>1</v>
      </c>
      <c r="P287" s="3182"/>
      <c r="Q287" s="2914">
        <f t="shared" si="61"/>
        <v>1</v>
      </c>
      <c r="R287" s="2665">
        <f t="shared" si="62"/>
        <v>0</v>
      </c>
      <c r="S287" s="2790">
        <f t="shared" ref="S287:S320" si="63">ROUND(R287*B287/10000,0)</f>
        <v>0</v>
      </c>
    </row>
    <row r="288" spans="1:19">
      <c r="A288" s="2916"/>
      <c r="B288" s="3180"/>
      <c r="C288" s="2914">
        <f t="shared" si="54"/>
        <v>1</v>
      </c>
      <c r="D288" s="3182"/>
      <c r="E288" s="2914">
        <f t="shared" si="55"/>
        <v>1</v>
      </c>
      <c r="F288" s="3182"/>
      <c r="G288" s="2914">
        <f t="shared" si="56"/>
        <v>1</v>
      </c>
      <c r="H288" s="3182"/>
      <c r="I288" s="2914">
        <f t="shared" si="57"/>
        <v>1</v>
      </c>
      <c r="J288" s="3182"/>
      <c r="K288" s="2914">
        <f t="shared" si="58"/>
        <v>1</v>
      </c>
      <c r="L288" s="3182"/>
      <c r="M288" s="2914">
        <f t="shared" si="59"/>
        <v>1</v>
      </c>
      <c r="N288" s="3182"/>
      <c r="O288" s="2914">
        <f t="shared" si="60"/>
        <v>1</v>
      </c>
      <c r="P288" s="3182"/>
      <c r="Q288" s="2914">
        <f t="shared" si="61"/>
        <v>1</v>
      </c>
      <c r="R288" s="2665">
        <f t="shared" si="62"/>
        <v>0</v>
      </c>
      <c r="S288" s="2790">
        <f t="shared" si="63"/>
        <v>0</v>
      </c>
    </row>
    <row r="289" spans="1:19">
      <c r="A289" s="2916"/>
      <c r="B289" s="3180"/>
      <c r="C289" s="2914">
        <f t="shared" si="54"/>
        <v>1</v>
      </c>
      <c r="D289" s="3182"/>
      <c r="E289" s="2914">
        <f t="shared" si="55"/>
        <v>1</v>
      </c>
      <c r="F289" s="3182"/>
      <c r="G289" s="2914">
        <f t="shared" si="56"/>
        <v>1</v>
      </c>
      <c r="H289" s="3182"/>
      <c r="I289" s="2914">
        <f t="shared" si="57"/>
        <v>1</v>
      </c>
      <c r="J289" s="3182"/>
      <c r="K289" s="2914">
        <f t="shared" si="58"/>
        <v>1</v>
      </c>
      <c r="L289" s="3182"/>
      <c r="M289" s="2914">
        <f t="shared" si="59"/>
        <v>1</v>
      </c>
      <c r="N289" s="3182"/>
      <c r="O289" s="2914">
        <f t="shared" si="60"/>
        <v>1</v>
      </c>
      <c r="P289" s="3182"/>
      <c r="Q289" s="2914">
        <f t="shared" si="61"/>
        <v>1</v>
      </c>
      <c r="R289" s="2665">
        <f t="shared" si="62"/>
        <v>0</v>
      </c>
      <c r="S289" s="2790">
        <f t="shared" si="63"/>
        <v>0</v>
      </c>
    </row>
    <row r="290" spans="1:19">
      <c r="A290" s="2916"/>
      <c r="B290" s="3180"/>
      <c r="C290" s="2914">
        <f t="shared" si="54"/>
        <v>1</v>
      </c>
      <c r="D290" s="3182"/>
      <c r="E290" s="2914">
        <f t="shared" si="55"/>
        <v>1</v>
      </c>
      <c r="F290" s="3182"/>
      <c r="G290" s="2914">
        <f t="shared" si="56"/>
        <v>1</v>
      </c>
      <c r="H290" s="3182"/>
      <c r="I290" s="2914">
        <f t="shared" si="57"/>
        <v>1</v>
      </c>
      <c r="J290" s="3182"/>
      <c r="K290" s="2914">
        <f t="shared" si="58"/>
        <v>1</v>
      </c>
      <c r="L290" s="3182"/>
      <c r="M290" s="2914">
        <f t="shared" si="59"/>
        <v>1</v>
      </c>
      <c r="N290" s="3182"/>
      <c r="O290" s="2914">
        <f t="shared" si="60"/>
        <v>1</v>
      </c>
      <c r="P290" s="3182"/>
      <c r="Q290" s="2914">
        <f t="shared" si="61"/>
        <v>1</v>
      </c>
      <c r="R290" s="2665">
        <f t="shared" si="62"/>
        <v>0</v>
      </c>
      <c r="S290" s="2790">
        <f t="shared" si="63"/>
        <v>0</v>
      </c>
    </row>
    <row r="291" spans="1:19">
      <c r="A291" s="2916"/>
      <c r="B291" s="3180"/>
      <c r="C291" s="2914">
        <f t="shared" si="54"/>
        <v>1</v>
      </c>
      <c r="D291" s="3182"/>
      <c r="E291" s="2914">
        <f t="shared" si="55"/>
        <v>1</v>
      </c>
      <c r="F291" s="3182"/>
      <c r="G291" s="2914">
        <f t="shared" si="56"/>
        <v>1</v>
      </c>
      <c r="H291" s="3182"/>
      <c r="I291" s="2914">
        <f t="shared" si="57"/>
        <v>1</v>
      </c>
      <c r="J291" s="3182"/>
      <c r="K291" s="2914">
        <f t="shared" si="58"/>
        <v>1</v>
      </c>
      <c r="L291" s="3182"/>
      <c r="M291" s="2914">
        <f t="shared" si="59"/>
        <v>1</v>
      </c>
      <c r="N291" s="3182"/>
      <c r="O291" s="2914">
        <f t="shared" si="60"/>
        <v>1</v>
      </c>
      <c r="P291" s="3182"/>
      <c r="Q291" s="2914">
        <f t="shared" si="61"/>
        <v>1</v>
      </c>
      <c r="R291" s="2665">
        <f t="shared" si="62"/>
        <v>0</v>
      </c>
      <c r="S291" s="2790">
        <f t="shared" si="63"/>
        <v>0</v>
      </c>
    </row>
    <row r="292" spans="1:19">
      <c r="A292" s="2916"/>
      <c r="B292" s="3180"/>
      <c r="C292" s="2914">
        <f t="shared" si="54"/>
        <v>1</v>
      </c>
      <c r="D292" s="3182"/>
      <c r="E292" s="2914">
        <f t="shared" si="55"/>
        <v>1</v>
      </c>
      <c r="F292" s="3182"/>
      <c r="G292" s="2914">
        <f t="shared" si="56"/>
        <v>1</v>
      </c>
      <c r="H292" s="3182"/>
      <c r="I292" s="2914">
        <f t="shared" si="57"/>
        <v>1</v>
      </c>
      <c r="J292" s="3182"/>
      <c r="K292" s="2914">
        <f t="shared" si="58"/>
        <v>1</v>
      </c>
      <c r="L292" s="3182"/>
      <c r="M292" s="2914">
        <f t="shared" si="59"/>
        <v>1</v>
      </c>
      <c r="N292" s="3182"/>
      <c r="O292" s="2914">
        <f t="shared" si="60"/>
        <v>1</v>
      </c>
      <c r="P292" s="3182"/>
      <c r="Q292" s="2914">
        <f t="shared" si="61"/>
        <v>1</v>
      </c>
      <c r="R292" s="2665">
        <f t="shared" si="62"/>
        <v>0</v>
      </c>
      <c r="S292" s="2790">
        <f t="shared" si="63"/>
        <v>0</v>
      </c>
    </row>
    <row r="293" spans="1:19">
      <c r="A293" s="2916"/>
      <c r="B293" s="3180"/>
      <c r="C293" s="2914">
        <f t="shared" si="54"/>
        <v>1</v>
      </c>
      <c r="D293" s="3182"/>
      <c r="E293" s="2914">
        <f t="shared" si="55"/>
        <v>1</v>
      </c>
      <c r="F293" s="3182"/>
      <c r="G293" s="2914">
        <f t="shared" si="56"/>
        <v>1</v>
      </c>
      <c r="H293" s="3182"/>
      <c r="I293" s="2914">
        <f t="shared" si="57"/>
        <v>1</v>
      </c>
      <c r="J293" s="3182"/>
      <c r="K293" s="2914">
        <f t="shared" si="58"/>
        <v>1</v>
      </c>
      <c r="L293" s="3182"/>
      <c r="M293" s="2914">
        <f t="shared" si="59"/>
        <v>1</v>
      </c>
      <c r="N293" s="3182"/>
      <c r="O293" s="2914">
        <f t="shared" si="60"/>
        <v>1</v>
      </c>
      <c r="P293" s="3182"/>
      <c r="Q293" s="2914">
        <f t="shared" si="61"/>
        <v>1</v>
      </c>
      <c r="R293" s="2665">
        <f t="shared" si="62"/>
        <v>0</v>
      </c>
      <c r="S293" s="2790">
        <f t="shared" si="63"/>
        <v>0</v>
      </c>
    </row>
    <row r="294" spans="1:19">
      <c r="A294" s="2916"/>
      <c r="B294" s="3180"/>
      <c r="C294" s="2914">
        <f t="shared" si="54"/>
        <v>1</v>
      </c>
      <c r="D294" s="3182"/>
      <c r="E294" s="2914">
        <f t="shared" si="55"/>
        <v>1</v>
      </c>
      <c r="F294" s="3182"/>
      <c r="G294" s="2914">
        <f t="shared" si="56"/>
        <v>1</v>
      </c>
      <c r="H294" s="3182"/>
      <c r="I294" s="2914">
        <f t="shared" si="57"/>
        <v>1</v>
      </c>
      <c r="J294" s="3182"/>
      <c r="K294" s="2914">
        <f t="shared" si="58"/>
        <v>1</v>
      </c>
      <c r="L294" s="3182"/>
      <c r="M294" s="2914">
        <f t="shared" si="59"/>
        <v>1</v>
      </c>
      <c r="N294" s="3182"/>
      <c r="O294" s="2914">
        <f t="shared" si="60"/>
        <v>1</v>
      </c>
      <c r="P294" s="3182"/>
      <c r="Q294" s="2914">
        <f t="shared" si="61"/>
        <v>1</v>
      </c>
      <c r="R294" s="2665">
        <f t="shared" si="62"/>
        <v>0</v>
      </c>
      <c r="S294" s="2790">
        <f t="shared" si="63"/>
        <v>0</v>
      </c>
    </row>
    <row r="295" spans="1:19">
      <c r="A295" s="2916"/>
      <c r="B295" s="3180"/>
      <c r="C295" s="2914">
        <f t="shared" si="54"/>
        <v>1</v>
      </c>
      <c r="D295" s="3182"/>
      <c r="E295" s="2914">
        <f t="shared" si="55"/>
        <v>1</v>
      </c>
      <c r="F295" s="3182"/>
      <c r="G295" s="2914">
        <f t="shared" si="56"/>
        <v>1</v>
      </c>
      <c r="H295" s="3182"/>
      <c r="I295" s="2914">
        <f t="shared" si="57"/>
        <v>1</v>
      </c>
      <c r="J295" s="3182"/>
      <c r="K295" s="2914">
        <f t="shared" si="58"/>
        <v>1</v>
      </c>
      <c r="L295" s="3182"/>
      <c r="M295" s="2914">
        <f t="shared" si="59"/>
        <v>1</v>
      </c>
      <c r="N295" s="3182"/>
      <c r="O295" s="2914">
        <f t="shared" si="60"/>
        <v>1</v>
      </c>
      <c r="P295" s="3182"/>
      <c r="Q295" s="2914">
        <f t="shared" si="61"/>
        <v>1</v>
      </c>
      <c r="R295" s="2665">
        <f t="shared" si="62"/>
        <v>0</v>
      </c>
      <c r="S295" s="2790">
        <f t="shared" si="63"/>
        <v>0</v>
      </c>
    </row>
    <row r="296" spans="1:19">
      <c r="A296" s="2916"/>
      <c r="B296" s="3180"/>
      <c r="C296" s="2914">
        <f t="shared" si="54"/>
        <v>1</v>
      </c>
      <c r="D296" s="3182"/>
      <c r="E296" s="2914">
        <f t="shared" si="55"/>
        <v>1</v>
      </c>
      <c r="F296" s="3182"/>
      <c r="G296" s="2914">
        <f t="shared" si="56"/>
        <v>1</v>
      </c>
      <c r="H296" s="3182"/>
      <c r="I296" s="2914">
        <f t="shared" si="57"/>
        <v>1</v>
      </c>
      <c r="J296" s="3182"/>
      <c r="K296" s="2914">
        <f t="shared" si="58"/>
        <v>1</v>
      </c>
      <c r="L296" s="3182"/>
      <c r="M296" s="2914">
        <f t="shared" si="59"/>
        <v>1</v>
      </c>
      <c r="N296" s="3182"/>
      <c r="O296" s="2914">
        <f t="shared" si="60"/>
        <v>1</v>
      </c>
      <c r="P296" s="3182"/>
      <c r="Q296" s="2914">
        <f t="shared" si="61"/>
        <v>1</v>
      </c>
      <c r="R296" s="2665">
        <f t="shared" si="62"/>
        <v>0</v>
      </c>
      <c r="S296" s="2790">
        <f t="shared" si="63"/>
        <v>0</v>
      </c>
    </row>
    <row r="297" spans="1:19">
      <c r="A297" s="2916"/>
      <c r="B297" s="3180"/>
      <c r="C297" s="2914">
        <f t="shared" si="54"/>
        <v>1</v>
      </c>
      <c r="D297" s="3182"/>
      <c r="E297" s="2914">
        <f t="shared" si="55"/>
        <v>1</v>
      </c>
      <c r="F297" s="3182"/>
      <c r="G297" s="2914">
        <f t="shared" si="56"/>
        <v>1</v>
      </c>
      <c r="H297" s="3182"/>
      <c r="I297" s="2914">
        <f t="shared" si="57"/>
        <v>1</v>
      </c>
      <c r="J297" s="3182"/>
      <c r="K297" s="2914">
        <f t="shared" si="58"/>
        <v>1</v>
      </c>
      <c r="L297" s="3182"/>
      <c r="M297" s="2914">
        <f t="shared" si="59"/>
        <v>1</v>
      </c>
      <c r="N297" s="3182"/>
      <c r="O297" s="2914">
        <f t="shared" si="60"/>
        <v>1</v>
      </c>
      <c r="P297" s="3182"/>
      <c r="Q297" s="2914">
        <f t="shared" si="61"/>
        <v>1</v>
      </c>
      <c r="R297" s="2665">
        <f t="shared" si="62"/>
        <v>0</v>
      </c>
      <c r="S297" s="2790">
        <f t="shared" si="63"/>
        <v>0</v>
      </c>
    </row>
    <row r="298" spans="1:19">
      <c r="A298" s="2916"/>
      <c r="B298" s="3180"/>
      <c r="C298" s="2914">
        <f t="shared" si="54"/>
        <v>1</v>
      </c>
      <c r="D298" s="3182"/>
      <c r="E298" s="2914">
        <f t="shared" si="55"/>
        <v>1</v>
      </c>
      <c r="F298" s="3182"/>
      <c r="G298" s="2914">
        <f t="shared" si="56"/>
        <v>1</v>
      </c>
      <c r="H298" s="3182"/>
      <c r="I298" s="2914">
        <f t="shared" si="57"/>
        <v>1</v>
      </c>
      <c r="J298" s="3182"/>
      <c r="K298" s="2914">
        <f t="shared" si="58"/>
        <v>1</v>
      </c>
      <c r="L298" s="3182"/>
      <c r="M298" s="2914">
        <f t="shared" si="59"/>
        <v>1</v>
      </c>
      <c r="N298" s="3182"/>
      <c r="O298" s="2914">
        <f t="shared" si="60"/>
        <v>1</v>
      </c>
      <c r="P298" s="3182"/>
      <c r="Q298" s="2914">
        <f t="shared" si="61"/>
        <v>1</v>
      </c>
      <c r="R298" s="2665">
        <f t="shared" si="62"/>
        <v>0</v>
      </c>
      <c r="S298" s="2790">
        <f t="shared" si="63"/>
        <v>0</v>
      </c>
    </row>
    <row r="299" spans="1:19">
      <c r="A299" s="2916"/>
      <c r="B299" s="3180"/>
      <c r="C299" s="2914">
        <f t="shared" si="54"/>
        <v>1</v>
      </c>
      <c r="D299" s="3182"/>
      <c r="E299" s="2914">
        <f t="shared" si="55"/>
        <v>1</v>
      </c>
      <c r="F299" s="3182"/>
      <c r="G299" s="2914">
        <f t="shared" si="56"/>
        <v>1</v>
      </c>
      <c r="H299" s="3182"/>
      <c r="I299" s="2914">
        <f t="shared" si="57"/>
        <v>1</v>
      </c>
      <c r="J299" s="3182"/>
      <c r="K299" s="2914">
        <f t="shared" si="58"/>
        <v>1</v>
      </c>
      <c r="L299" s="3182"/>
      <c r="M299" s="2914">
        <f t="shared" si="59"/>
        <v>1</v>
      </c>
      <c r="N299" s="3182"/>
      <c r="O299" s="2914">
        <f t="shared" si="60"/>
        <v>1</v>
      </c>
      <c r="P299" s="3182"/>
      <c r="Q299" s="2914">
        <f t="shared" si="61"/>
        <v>1</v>
      </c>
      <c r="R299" s="2665">
        <f t="shared" si="62"/>
        <v>0</v>
      </c>
      <c r="S299" s="2790">
        <f t="shared" si="63"/>
        <v>0</v>
      </c>
    </row>
    <row r="300" spans="1:19">
      <c r="A300" s="2916"/>
      <c r="B300" s="3180"/>
      <c r="C300" s="2914">
        <f t="shared" si="54"/>
        <v>1</v>
      </c>
      <c r="D300" s="3182"/>
      <c r="E300" s="2914">
        <f t="shared" si="55"/>
        <v>1</v>
      </c>
      <c r="F300" s="3182"/>
      <c r="G300" s="2914">
        <f t="shared" si="56"/>
        <v>1</v>
      </c>
      <c r="H300" s="3182"/>
      <c r="I300" s="2914">
        <f t="shared" si="57"/>
        <v>1</v>
      </c>
      <c r="J300" s="3182"/>
      <c r="K300" s="2914">
        <f t="shared" si="58"/>
        <v>1</v>
      </c>
      <c r="L300" s="3182"/>
      <c r="M300" s="2914">
        <f t="shared" si="59"/>
        <v>1</v>
      </c>
      <c r="N300" s="3182"/>
      <c r="O300" s="2914">
        <f t="shared" si="60"/>
        <v>1</v>
      </c>
      <c r="P300" s="3182"/>
      <c r="Q300" s="2914">
        <f t="shared" si="61"/>
        <v>1</v>
      </c>
      <c r="R300" s="2665">
        <f t="shared" si="62"/>
        <v>0</v>
      </c>
      <c r="S300" s="2790">
        <f t="shared" si="63"/>
        <v>0</v>
      </c>
    </row>
    <row r="301" spans="1:19">
      <c r="A301" s="2916"/>
      <c r="B301" s="3180"/>
      <c r="C301" s="2914">
        <f t="shared" si="54"/>
        <v>1</v>
      </c>
      <c r="D301" s="3182"/>
      <c r="E301" s="2914">
        <f t="shared" si="55"/>
        <v>1</v>
      </c>
      <c r="F301" s="3182"/>
      <c r="G301" s="2914">
        <f t="shared" si="56"/>
        <v>1</v>
      </c>
      <c r="H301" s="3182"/>
      <c r="I301" s="2914">
        <f t="shared" si="57"/>
        <v>1</v>
      </c>
      <c r="J301" s="3182"/>
      <c r="K301" s="2914">
        <f t="shared" si="58"/>
        <v>1</v>
      </c>
      <c r="L301" s="3182"/>
      <c r="M301" s="2914">
        <f t="shared" si="59"/>
        <v>1</v>
      </c>
      <c r="N301" s="3182"/>
      <c r="O301" s="2914">
        <f t="shared" si="60"/>
        <v>1</v>
      </c>
      <c r="P301" s="3182"/>
      <c r="Q301" s="2914">
        <f t="shared" si="61"/>
        <v>1</v>
      </c>
      <c r="R301" s="2665">
        <f t="shared" si="62"/>
        <v>0</v>
      </c>
      <c r="S301" s="2790">
        <f t="shared" si="63"/>
        <v>0</v>
      </c>
    </row>
    <row r="302" spans="1:19">
      <c r="A302" s="2916"/>
      <c r="B302" s="3180"/>
      <c r="C302" s="2914">
        <f t="shared" si="54"/>
        <v>1</v>
      </c>
      <c r="D302" s="3182"/>
      <c r="E302" s="2914">
        <f t="shared" si="55"/>
        <v>1</v>
      </c>
      <c r="F302" s="3182"/>
      <c r="G302" s="2914">
        <f t="shared" si="56"/>
        <v>1</v>
      </c>
      <c r="H302" s="3182"/>
      <c r="I302" s="2914">
        <f t="shared" si="57"/>
        <v>1</v>
      </c>
      <c r="J302" s="3182"/>
      <c r="K302" s="2914">
        <f t="shared" si="58"/>
        <v>1</v>
      </c>
      <c r="L302" s="3182"/>
      <c r="M302" s="2914">
        <f t="shared" si="59"/>
        <v>1</v>
      </c>
      <c r="N302" s="3182"/>
      <c r="O302" s="2914">
        <f t="shared" si="60"/>
        <v>1</v>
      </c>
      <c r="P302" s="3182"/>
      <c r="Q302" s="2914">
        <f t="shared" si="61"/>
        <v>1</v>
      </c>
      <c r="R302" s="2665">
        <f t="shared" si="62"/>
        <v>0</v>
      </c>
      <c r="S302" s="2790">
        <f t="shared" si="63"/>
        <v>0</v>
      </c>
    </row>
    <row r="303" spans="1:19">
      <c r="A303" s="2916"/>
      <c r="B303" s="3180"/>
      <c r="C303" s="2914">
        <f t="shared" si="54"/>
        <v>1</v>
      </c>
      <c r="D303" s="3182"/>
      <c r="E303" s="2914">
        <f t="shared" si="55"/>
        <v>1</v>
      </c>
      <c r="F303" s="3182"/>
      <c r="G303" s="2914">
        <f t="shared" si="56"/>
        <v>1</v>
      </c>
      <c r="H303" s="3182"/>
      <c r="I303" s="2914">
        <f t="shared" si="57"/>
        <v>1</v>
      </c>
      <c r="J303" s="3182"/>
      <c r="K303" s="2914">
        <f t="shared" si="58"/>
        <v>1</v>
      </c>
      <c r="L303" s="3182"/>
      <c r="M303" s="2914">
        <f t="shared" si="59"/>
        <v>1</v>
      </c>
      <c r="N303" s="3182"/>
      <c r="O303" s="2914">
        <f t="shared" si="60"/>
        <v>1</v>
      </c>
      <c r="P303" s="3182"/>
      <c r="Q303" s="2914">
        <f t="shared" si="61"/>
        <v>1</v>
      </c>
      <c r="R303" s="2665">
        <f t="shared" si="62"/>
        <v>0</v>
      </c>
      <c r="S303" s="2790">
        <f t="shared" si="63"/>
        <v>0</v>
      </c>
    </row>
    <row r="304" spans="1:19">
      <c r="A304" s="2916"/>
      <c r="B304" s="3180"/>
      <c r="C304" s="2914">
        <f t="shared" si="54"/>
        <v>1</v>
      </c>
      <c r="D304" s="3182"/>
      <c r="E304" s="2914">
        <f t="shared" si="55"/>
        <v>1</v>
      </c>
      <c r="F304" s="3182"/>
      <c r="G304" s="2914">
        <f t="shared" si="56"/>
        <v>1</v>
      </c>
      <c r="H304" s="3182"/>
      <c r="I304" s="2914">
        <f t="shared" si="57"/>
        <v>1</v>
      </c>
      <c r="J304" s="3182"/>
      <c r="K304" s="2914">
        <f t="shared" si="58"/>
        <v>1</v>
      </c>
      <c r="L304" s="3182"/>
      <c r="M304" s="2914">
        <f t="shared" si="59"/>
        <v>1</v>
      </c>
      <c r="N304" s="3182"/>
      <c r="O304" s="2914">
        <f t="shared" si="60"/>
        <v>1</v>
      </c>
      <c r="P304" s="3182"/>
      <c r="Q304" s="2914">
        <f t="shared" si="61"/>
        <v>1</v>
      </c>
      <c r="R304" s="2665">
        <f t="shared" si="62"/>
        <v>0</v>
      </c>
      <c r="S304" s="2790">
        <f t="shared" si="63"/>
        <v>0</v>
      </c>
    </row>
    <row r="305" spans="1:19">
      <c r="A305" s="2916"/>
      <c r="B305" s="3180"/>
      <c r="C305" s="2914">
        <f t="shared" si="54"/>
        <v>1</v>
      </c>
      <c r="D305" s="3182"/>
      <c r="E305" s="2914">
        <f t="shared" si="55"/>
        <v>1</v>
      </c>
      <c r="F305" s="3182"/>
      <c r="G305" s="2914">
        <f t="shared" si="56"/>
        <v>1</v>
      </c>
      <c r="H305" s="3182"/>
      <c r="I305" s="2914">
        <f t="shared" si="57"/>
        <v>1</v>
      </c>
      <c r="J305" s="3182"/>
      <c r="K305" s="2914">
        <f t="shared" si="58"/>
        <v>1</v>
      </c>
      <c r="L305" s="3182"/>
      <c r="M305" s="2914">
        <f t="shared" si="59"/>
        <v>1</v>
      </c>
      <c r="N305" s="3182"/>
      <c r="O305" s="2914">
        <f t="shared" si="60"/>
        <v>1</v>
      </c>
      <c r="P305" s="3182"/>
      <c r="Q305" s="2914">
        <f t="shared" si="61"/>
        <v>1</v>
      </c>
      <c r="R305" s="2665">
        <f t="shared" si="62"/>
        <v>0</v>
      </c>
      <c r="S305" s="2790">
        <f t="shared" si="63"/>
        <v>0</v>
      </c>
    </row>
    <row r="306" spans="1:19">
      <c r="A306" s="2916"/>
      <c r="B306" s="3180"/>
      <c r="C306" s="2914">
        <f t="shared" si="54"/>
        <v>1</v>
      </c>
      <c r="D306" s="3182"/>
      <c r="E306" s="2914">
        <f t="shared" si="55"/>
        <v>1</v>
      </c>
      <c r="F306" s="3182"/>
      <c r="G306" s="2914">
        <f t="shared" si="56"/>
        <v>1</v>
      </c>
      <c r="H306" s="3182"/>
      <c r="I306" s="2914">
        <f t="shared" si="57"/>
        <v>1</v>
      </c>
      <c r="J306" s="3182"/>
      <c r="K306" s="2914">
        <f t="shared" si="58"/>
        <v>1</v>
      </c>
      <c r="L306" s="3182"/>
      <c r="M306" s="2914">
        <f t="shared" si="59"/>
        <v>1</v>
      </c>
      <c r="N306" s="3182"/>
      <c r="O306" s="2914">
        <f t="shared" si="60"/>
        <v>1</v>
      </c>
      <c r="P306" s="3182"/>
      <c r="Q306" s="2914">
        <f t="shared" si="61"/>
        <v>1</v>
      </c>
      <c r="R306" s="2665">
        <f t="shared" si="62"/>
        <v>0</v>
      </c>
      <c r="S306" s="2790">
        <f t="shared" si="63"/>
        <v>0</v>
      </c>
    </row>
    <row r="307" spans="1:19">
      <c r="A307" s="2916"/>
      <c r="B307" s="3180"/>
      <c r="C307" s="2914">
        <f t="shared" si="54"/>
        <v>1</v>
      </c>
      <c r="D307" s="3182"/>
      <c r="E307" s="2914">
        <f t="shared" si="55"/>
        <v>1</v>
      </c>
      <c r="F307" s="3182"/>
      <c r="G307" s="2914">
        <f t="shared" si="56"/>
        <v>1</v>
      </c>
      <c r="H307" s="3182"/>
      <c r="I307" s="2914">
        <f t="shared" si="57"/>
        <v>1</v>
      </c>
      <c r="J307" s="3182"/>
      <c r="K307" s="2914">
        <f t="shared" si="58"/>
        <v>1</v>
      </c>
      <c r="L307" s="3182"/>
      <c r="M307" s="2914">
        <f t="shared" si="59"/>
        <v>1</v>
      </c>
      <c r="N307" s="3182"/>
      <c r="O307" s="2914">
        <f t="shared" si="60"/>
        <v>1</v>
      </c>
      <c r="P307" s="3182"/>
      <c r="Q307" s="2914">
        <f t="shared" si="61"/>
        <v>1</v>
      </c>
      <c r="R307" s="2665">
        <f t="shared" si="62"/>
        <v>0</v>
      </c>
      <c r="S307" s="2790">
        <f t="shared" si="63"/>
        <v>0</v>
      </c>
    </row>
    <row r="308" spans="1:19">
      <c r="A308" s="2916"/>
      <c r="B308" s="3180"/>
      <c r="C308" s="2914">
        <f t="shared" si="54"/>
        <v>1</v>
      </c>
      <c r="D308" s="3182"/>
      <c r="E308" s="2914">
        <f t="shared" si="55"/>
        <v>1</v>
      </c>
      <c r="F308" s="3182"/>
      <c r="G308" s="2914">
        <f t="shared" si="56"/>
        <v>1</v>
      </c>
      <c r="H308" s="3182"/>
      <c r="I308" s="2914">
        <f t="shared" si="57"/>
        <v>1</v>
      </c>
      <c r="J308" s="3182"/>
      <c r="K308" s="2914">
        <f t="shared" si="58"/>
        <v>1</v>
      </c>
      <c r="L308" s="3182"/>
      <c r="M308" s="2914">
        <f t="shared" si="59"/>
        <v>1</v>
      </c>
      <c r="N308" s="3182"/>
      <c r="O308" s="2914">
        <f t="shared" si="60"/>
        <v>1</v>
      </c>
      <c r="P308" s="3182"/>
      <c r="Q308" s="2914">
        <f t="shared" si="61"/>
        <v>1</v>
      </c>
      <c r="R308" s="2665">
        <f t="shared" si="62"/>
        <v>0</v>
      </c>
      <c r="S308" s="2790">
        <f t="shared" si="63"/>
        <v>0</v>
      </c>
    </row>
    <row r="309" spans="1:19">
      <c r="A309" s="2916"/>
      <c r="B309" s="3180"/>
      <c r="C309" s="2914">
        <f t="shared" si="54"/>
        <v>1</v>
      </c>
      <c r="D309" s="3182"/>
      <c r="E309" s="2914">
        <f t="shared" si="55"/>
        <v>1</v>
      </c>
      <c r="F309" s="3182"/>
      <c r="G309" s="2914">
        <f t="shared" si="56"/>
        <v>1</v>
      </c>
      <c r="H309" s="3182"/>
      <c r="I309" s="2914">
        <f t="shared" si="57"/>
        <v>1</v>
      </c>
      <c r="J309" s="3182"/>
      <c r="K309" s="2914">
        <f t="shared" si="58"/>
        <v>1</v>
      </c>
      <c r="L309" s="3182"/>
      <c r="M309" s="2914">
        <f t="shared" si="59"/>
        <v>1</v>
      </c>
      <c r="N309" s="3182"/>
      <c r="O309" s="2914">
        <f t="shared" si="60"/>
        <v>1</v>
      </c>
      <c r="P309" s="3182"/>
      <c r="Q309" s="2914">
        <f t="shared" si="61"/>
        <v>1</v>
      </c>
      <c r="R309" s="2665">
        <f t="shared" si="62"/>
        <v>0</v>
      </c>
      <c r="S309" s="2790">
        <f t="shared" si="63"/>
        <v>0</v>
      </c>
    </row>
    <row r="310" spans="1:19">
      <c r="A310" s="2916"/>
      <c r="B310" s="3180"/>
      <c r="C310" s="2914">
        <f t="shared" si="54"/>
        <v>1</v>
      </c>
      <c r="D310" s="3182"/>
      <c r="E310" s="2914">
        <f t="shared" si="55"/>
        <v>1</v>
      </c>
      <c r="F310" s="3182"/>
      <c r="G310" s="2914">
        <f t="shared" si="56"/>
        <v>1</v>
      </c>
      <c r="H310" s="3182"/>
      <c r="I310" s="2914">
        <f t="shared" si="57"/>
        <v>1</v>
      </c>
      <c r="J310" s="3182"/>
      <c r="K310" s="2914">
        <f t="shared" si="58"/>
        <v>1</v>
      </c>
      <c r="L310" s="3182"/>
      <c r="M310" s="2914">
        <f t="shared" si="59"/>
        <v>1</v>
      </c>
      <c r="N310" s="3182"/>
      <c r="O310" s="2914">
        <f t="shared" si="60"/>
        <v>1</v>
      </c>
      <c r="P310" s="3182"/>
      <c r="Q310" s="2914">
        <f t="shared" si="61"/>
        <v>1</v>
      </c>
      <c r="R310" s="2665">
        <f t="shared" si="62"/>
        <v>0</v>
      </c>
      <c r="S310" s="2790">
        <f t="shared" si="63"/>
        <v>0</v>
      </c>
    </row>
    <row r="311" spans="1:19">
      <c r="A311" s="2916"/>
      <c r="B311" s="3180"/>
      <c r="C311" s="2914">
        <f t="shared" si="54"/>
        <v>1</v>
      </c>
      <c r="D311" s="3182"/>
      <c r="E311" s="2914">
        <f t="shared" si="55"/>
        <v>1</v>
      </c>
      <c r="F311" s="3182"/>
      <c r="G311" s="2914">
        <f t="shared" si="56"/>
        <v>1</v>
      </c>
      <c r="H311" s="3182"/>
      <c r="I311" s="2914">
        <f t="shared" si="57"/>
        <v>1</v>
      </c>
      <c r="J311" s="3182"/>
      <c r="K311" s="2914">
        <f t="shared" si="58"/>
        <v>1</v>
      </c>
      <c r="L311" s="3182"/>
      <c r="M311" s="2914">
        <f t="shared" si="59"/>
        <v>1</v>
      </c>
      <c r="N311" s="3182"/>
      <c r="O311" s="2914">
        <f t="shared" si="60"/>
        <v>1</v>
      </c>
      <c r="P311" s="3182"/>
      <c r="Q311" s="2914">
        <f t="shared" si="61"/>
        <v>1</v>
      </c>
      <c r="R311" s="2665">
        <f t="shared" si="62"/>
        <v>0</v>
      </c>
      <c r="S311" s="2790">
        <f t="shared" si="63"/>
        <v>0</v>
      </c>
    </row>
    <row r="312" spans="1:19">
      <c r="A312" s="2916"/>
      <c r="B312" s="3180"/>
      <c r="C312" s="2914">
        <f t="shared" si="54"/>
        <v>1</v>
      </c>
      <c r="D312" s="3182"/>
      <c r="E312" s="2914">
        <f t="shared" si="55"/>
        <v>1</v>
      </c>
      <c r="F312" s="3182"/>
      <c r="G312" s="2914">
        <f t="shared" si="56"/>
        <v>1</v>
      </c>
      <c r="H312" s="3182"/>
      <c r="I312" s="2914">
        <f t="shared" si="57"/>
        <v>1</v>
      </c>
      <c r="J312" s="3182"/>
      <c r="K312" s="2914">
        <f t="shared" si="58"/>
        <v>1</v>
      </c>
      <c r="L312" s="3182"/>
      <c r="M312" s="2914">
        <f t="shared" si="59"/>
        <v>1</v>
      </c>
      <c r="N312" s="3182"/>
      <c r="O312" s="2914">
        <f t="shared" si="60"/>
        <v>1</v>
      </c>
      <c r="P312" s="3182"/>
      <c r="Q312" s="2914">
        <f t="shared" si="61"/>
        <v>1</v>
      </c>
      <c r="R312" s="2665">
        <f t="shared" si="62"/>
        <v>0</v>
      </c>
      <c r="S312" s="2790">
        <f t="shared" si="63"/>
        <v>0</v>
      </c>
    </row>
    <row r="313" spans="1:19">
      <c r="A313" s="2916"/>
      <c r="B313" s="3180"/>
      <c r="C313" s="2914">
        <f t="shared" si="54"/>
        <v>1</v>
      </c>
      <c r="D313" s="3182"/>
      <c r="E313" s="2914">
        <f t="shared" si="55"/>
        <v>1</v>
      </c>
      <c r="F313" s="3182"/>
      <c r="G313" s="2914">
        <f t="shared" si="56"/>
        <v>1</v>
      </c>
      <c r="H313" s="3182"/>
      <c r="I313" s="2914">
        <f t="shared" si="57"/>
        <v>1</v>
      </c>
      <c r="J313" s="3182"/>
      <c r="K313" s="2914">
        <f t="shared" si="58"/>
        <v>1</v>
      </c>
      <c r="L313" s="3182"/>
      <c r="M313" s="2914">
        <f t="shared" si="59"/>
        <v>1</v>
      </c>
      <c r="N313" s="3182"/>
      <c r="O313" s="2914">
        <f t="shared" si="60"/>
        <v>1</v>
      </c>
      <c r="P313" s="3182"/>
      <c r="Q313" s="2914">
        <f t="shared" si="61"/>
        <v>1</v>
      </c>
      <c r="R313" s="2665">
        <f t="shared" si="62"/>
        <v>0</v>
      </c>
      <c r="S313" s="2790">
        <f t="shared" si="63"/>
        <v>0</v>
      </c>
    </row>
    <row r="314" spans="1:19">
      <c r="A314" s="2916"/>
      <c r="B314" s="3180"/>
      <c r="C314" s="2914">
        <f t="shared" si="54"/>
        <v>1</v>
      </c>
      <c r="D314" s="3182"/>
      <c r="E314" s="2914">
        <f t="shared" si="55"/>
        <v>1</v>
      </c>
      <c r="F314" s="3182"/>
      <c r="G314" s="2914">
        <f t="shared" si="56"/>
        <v>1</v>
      </c>
      <c r="H314" s="3182"/>
      <c r="I314" s="2914">
        <f t="shared" si="57"/>
        <v>1</v>
      </c>
      <c r="J314" s="3182"/>
      <c r="K314" s="2914">
        <f t="shared" si="58"/>
        <v>1</v>
      </c>
      <c r="L314" s="3182"/>
      <c r="M314" s="2914">
        <f t="shared" si="59"/>
        <v>1</v>
      </c>
      <c r="N314" s="3182"/>
      <c r="O314" s="2914">
        <f t="shared" si="60"/>
        <v>1</v>
      </c>
      <c r="P314" s="3182"/>
      <c r="Q314" s="2914">
        <f t="shared" si="61"/>
        <v>1</v>
      </c>
      <c r="R314" s="2665">
        <f t="shared" si="62"/>
        <v>0</v>
      </c>
      <c r="S314" s="2790">
        <f t="shared" si="63"/>
        <v>0</v>
      </c>
    </row>
    <row r="315" spans="1:19">
      <c r="A315" s="2916"/>
      <c r="B315" s="3180"/>
      <c r="C315" s="2914">
        <f t="shared" si="54"/>
        <v>1</v>
      </c>
      <c r="D315" s="3182"/>
      <c r="E315" s="2914">
        <f t="shared" si="55"/>
        <v>1</v>
      </c>
      <c r="F315" s="3182"/>
      <c r="G315" s="2914">
        <f t="shared" si="56"/>
        <v>1</v>
      </c>
      <c r="H315" s="3182"/>
      <c r="I315" s="2914">
        <f t="shared" si="57"/>
        <v>1</v>
      </c>
      <c r="J315" s="3182"/>
      <c r="K315" s="2914">
        <f t="shared" si="58"/>
        <v>1</v>
      </c>
      <c r="L315" s="3182"/>
      <c r="M315" s="2914">
        <f t="shared" si="59"/>
        <v>1</v>
      </c>
      <c r="N315" s="3182"/>
      <c r="O315" s="2914">
        <f t="shared" si="60"/>
        <v>1</v>
      </c>
      <c r="P315" s="3182"/>
      <c r="Q315" s="2914">
        <f t="shared" si="61"/>
        <v>1</v>
      </c>
      <c r="R315" s="2665">
        <f t="shared" si="62"/>
        <v>0</v>
      </c>
      <c r="S315" s="2790">
        <f t="shared" si="63"/>
        <v>0</v>
      </c>
    </row>
    <row r="316" spans="1:19">
      <c r="A316" s="2916"/>
      <c r="B316" s="3180"/>
      <c r="C316" s="2914">
        <f t="shared" si="54"/>
        <v>1</v>
      </c>
      <c r="D316" s="3182"/>
      <c r="E316" s="2914">
        <f t="shared" si="55"/>
        <v>1</v>
      </c>
      <c r="F316" s="3182"/>
      <c r="G316" s="2914">
        <f t="shared" si="56"/>
        <v>1</v>
      </c>
      <c r="H316" s="3182"/>
      <c r="I316" s="2914">
        <f t="shared" si="57"/>
        <v>1</v>
      </c>
      <c r="J316" s="3182"/>
      <c r="K316" s="2914">
        <f t="shared" si="58"/>
        <v>1</v>
      </c>
      <c r="L316" s="3182"/>
      <c r="M316" s="2914">
        <f t="shared" si="59"/>
        <v>1</v>
      </c>
      <c r="N316" s="3182"/>
      <c r="O316" s="2914">
        <f t="shared" si="60"/>
        <v>1</v>
      </c>
      <c r="P316" s="3182"/>
      <c r="Q316" s="2914">
        <f t="shared" si="61"/>
        <v>1</v>
      </c>
      <c r="R316" s="2665">
        <f t="shared" si="62"/>
        <v>0</v>
      </c>
      <c r="S316" s="2790">
        <f t="shared" si="63"/>
        <v>0</v>
      </c>
    </row>
    <row r="317" spans="1:19">
      <c r="A317" s="2916"/>
      <c r="B317" s="3180"/>
      <c r="C317" s="2914">
        <f t="shared" si="54"/>
        <v>1</v>
      </c>
      <c r="D317" s="3182"/>
      <c r="E317" s="2914">
        <f t="shared" si="55"/>
        <v>1</v>
      </c>
      <c r="F317" s="3182"/>
      <c r="G317" s="2914">
        <f t="shared" si="56"/>
        <v>1</v>
      </c>
      <c r="H317" s="3182"/>
      <c r="I317" s="2914">
        <f t="shared" si="57"/>
        <v>1</v>
      </c>
      <c r="J317" s="3182"/>
      <c r="K317" s="2914">
        <f t="shared" si="58"/>
        <v>1</v>
      </c>
      <c r="L317" s="3182"/>
      <c r="M317" s="2914">
        <f t="shared" si="59"/>
        <v>1</v>
      </c>
      <c r="N317" s="3182"/>
      <c r="O317" s="2914">
        <f t="shared" si="60"/>
        <v>1</v>
      </c>
      <c r="P317" s="3182"/>
      <c r="Q317" s="2914">
        <f t="shared" si="61"/>
        <v>1</v>
      </c>
      <c r="R317" s="2665">
        <f t="shared" si="62"/>
        <v>0</v>
      </c>
      <c r="S317" s="2790">
        <f t="shared" si="63"/>
        <v>0</v>
      </c>
    </row>
    <row r="318" spans="1:19">
      <c r="A318" s="2916"/>
      <c r="B318" s="3180"/>
      <c r="C318" s="2914">
        <f t="shared" si="54"/>
        <v>1</v>
      </c>
      <c r="D318" s="3182"/>
      <c r="E318" s="2914">
        <f t="shared" si="55"/>
        <v>1</v>
      </c>
      <c r="F318" s="3182"/>
      <c r="G318" s="2914">
        <f t="shared" si="56"/>
        <v>1</v>
      </c>
      <c r="H318" s="3182"/>
      <c r="I318" s="2914">
        <f t="shared" si="57"/>
        <v>1</v>
      </c>
      <c r="J318" s="3182"/>
      <c r="K318" s="2914">
        <f t="shared" si="58"/>
        <v>1</v>
      </c>
      <c r="L318" s="3182"/>
      <c r="M318" s="2914">
        <f t="shared" si="59"/>
        <v>1</v>
      </c>
      <c r="N318" s="3182"/>
      <c r="O318" s="2914">
        <f t="shared" si="60"/>
        <v>1</v>
      </c>
      <c r="P318" s="3182"/>
      <c r="Q318" s="2914">
        <f t="shared" si="61"/>
        <v>1</v>
      </c>
      <c r="R318" s="2665">
        <f t="shared" si="62"/>
        <v>0</v>
      </c>
      <c r="S318" s="2790">
        <f t="shared" si="63"/>
        <v>0</v>
      </c>
    </row>
    <row r="319" spans="1:19">
      <c r="A319" s="2916"/>
      <c r="B319" s="3180"/>
      <c r="C319" s="2914">
        <f t="shared" si="54"/>
        <v>1</v>
      </c>
      <c r="D319" s="3182"/>
      <c r="E319" s="2914">
        <f t="shared" si="55"/>
        <v>1</v>
      </c>
      <c r="F319" s="3182"/>
      <c r="G319" s="2914">
        <f t="shared" si="56"/>
        <v>1</v>
      </c>
      <c r="H319" s="3182"/>
      <c r="I319" s="2914">
        <f t="shared" si="57"/>
        <v>1</v>
      </c>
      <c r="J319" s="3182"/>
      <c r="K319" s="2914">
        <f t="shared" si="58"/>
        <v>1</v>
      </c>
      <c r="L319" s="3182"/>
      <c r="M319" s="2914">
        <f t="shared" si="59"/>
        <v>1</v>
      </c>
      <c r="N319" s="3182"/>
      <c r="O319" s="2914">
        <f t="shared" si="60"/>
        <v>1</v>
      </c>
      <c r="P319" s="3182"/>
      <c r="Q319" s="2914">
        <f t="shared" si="61"/>
        <v>1</v>
      </c>
      <c r="R319" s="2665">
        <f t="shared" si="62"/>
        <v>0</v>
      </c>
      <c r="S319" s="2790">
        <f t="shared" si="63"/>
        <v>0</v>
      </c>
    </row>
    <row r="320" spans="1:19">
      <c r="A320" s="2916"/>
      <c r="B320" s="3180"/>
      <c r="C320" s="2914">
        <f t="shared" si="54"/>
        <v>1</v>
      </c>
      <c r="D320" s="3182"/>
      <c r="E320" s="2914">
        <f t="shared" si="55"/>
        <v>1</v>
      </c>
      <c r="F320" s="3182"/>
      <c r="G320" s="2914">
        <f t="shared" si="56"/>
        <v>1</v>
      </c>
      <c r="H320" s="3182"/>
      <c r="I320" s="2914">
        <f t="shared" si="57"/>
        <v>1</v>
      </c>
      <c r="J320" s="3182"/>
      <c r="K320" s="2914">
        <f t="shared" si="58"/>
        <v>1</v>
      </c>
      <c r="L320" s="3182"/>
      <c r="M320" s="2914">
        <f t="shared" si="59"/>
        <v>1</v>
      </c>
      <c r="N320" s="3182"/>
      <c r="O320" s="2914">
        <f t="shared" si="60"/>
        <v>1</v>
      </c>
      <c r="P320" s="3182"/>
      <c r="Q320" s="2914">
        <f t="shared" si="61"/>
        <v>1</v>
      </c>
      <c r="R320" s="2665">
        <f t="shared" si="62"/>
        <v>0</v>
      </c>
      <c r="S320" s="2790">
        <f t="shared" si="63"/>
        <v>0</v>
      </c>
    </row>
    <row r="321" spans="1:19">
      <c r="A321" s="2916"/>
      <c r="B321" s="3180"/>
      <c r="C321" s="2914">
        <f t="shared" si="54"/>
        <v>1</v>
      </c>
      <c r="D321" s="3182"/>
      <c r="E321" s="2914">
        <f t="shared" si="55"/>
        <v>1</v>
      </c>
      <c r="F321" s="3182"/>
      <c r="G321" s="2914">
        <f t="shared" si="56"/>
        <v>1</v>
      </c>
      <c r="H321" s="3182"/>
      <c r="I321" s="2914">
        <f t="shared" si="57"/>
        <v>1</v>
      </c>
      <c r="J321" s="3182"/>
      <c r="K321" s="2914">
        <f t="shared" si="58"/>
        <v>1</v>
      </c>
      <c r="L321" s="3182"/>
      <c r="M321" s="2914">
        <f t="shared" si="59"/>
        <v>1</v>
      </c>
      <c r="N321" s="3182"/>
      <c r="O321" s="2914">
        <f t="shared" si="60"/>
        <v>1</v>
      </c>
      <c r="P321" s="3182"/>
      <c r="Q321" s="2914">
        <f t="shared" si="61"/>
        <v>1</v>
      </c>
      <c r="R321" s="2665">
        <f t="shared" si="62"/>
        <v>0</v>
      </c>
      <c r="S321" s="2790">
        <f t="shared" ref="S321:S384" si="64">ROUND(R321*B321/10000,0)</f>
        <v>0</v>
      </c>
    </row>
    <row r="322" spans="1:19">
      <c r="A322" s="2916"/>
      <c r="B322" s="3180"/>
      <c r="C322" s="2914">
        <f t="shared" si="54"/>
        <v>1</v>
      </c>
      <c r="D322" s="3182"/>
      <c r="E322" s="2914">
        <f t="shared" si="55"/>
        <v>1</v>
      </c>
      <c r="F322" s="3182"/>
      <c r="G322" s="2914">
        <f t="shared" si="56"/>
        <v>1</v>
      </c>
      <c r="H322" s="3182"/>
      <c r="I322" s="2914">
        <f t="shared" si="57"/>
        <v>1</v>
      </c>
      <c r="J322" s="3182"/>
      <c r="K322" s="2914">
        <f t="shared" si="58"/>
        <v>1</v>
      </c>
      <c r="L322" s="3182"/>
      <c r="M322" s="2914">
        <f t="shared" si="59"/>
        <v>1</v>
      </c>
      <c r="N322" s="3182"/>
      <c r="O322" s="2914">
        <f t="shared" si="60"/>
        <v>1</v>
      </c>
      <c r="P322" s="3182"/>
      <c r="Q322" s="2914">
        <f t="shared" si="61"/>
        <v>1</v>
      </c>
      <c r="R322" s="2665">
        <f t="shared" si="62"/>
        <v>0</v>
      </c>
      <c r="S322" s="2790">
        <f t="shared" si="64"/>
        <v>0</v>
      </c>
    </row>
    <row r="323" spans="1:19">
      <c r="A323" s="2916"/>
      <c r="B323" s="3180"/>
      <c r="C323" s="2914">
        <f t="shared" si="54"/>
        <v>1</v>
      </c>
      <c r="D323" s="3182"/>
      <c r="E323" s="2914">
        <f t="shared" si="55"/>
        <v>1</v>
      </c>
      <c r="F323" s="3182"/>
      <c r="G323" s="2914">
        <f t="shared" si="56"/>
        <v>1</v>
      </c>
      <c r="H323" s="3182"/>
      <c r="I323" s="2914">
        <f t="shared" si="57"/>
        <v>1</v>
      </c>
      <c r="J323" s="3182"/>
      <c r="K323" s="2914">
        <f t="shared" si="58"/>
        <v>1</v>
      </c>
      <c r="L323" s="3182"/>
      <c r="M323" s="2914">
        <f t="shared" si="59"/>
        <v>1</v>
      </c>
      <c r="N323" s="3182"/>
      <c r="O323" s="2914">
        <f t="shared" si="60"/>
        <v>1</v>
      </c>
      <c r="P323" s="3182"/>
      <c r="Q323" s="2914">
        <f t="shared" si="61"/>
        <v>1</v>
      </c>
      <c r="R323" s="2665">
        <f t="shared" si="62"/>
        <v>0</v>
      </c>
      <c r="S323" s="2790">
        <f t="shared" si="64"/>
        <v>0</v>
      </c>
    </row>
    <row r="324" spans="1:19">
      <c r="A324" s="2916"/>
      <c r="B324" s="3180"/>
      <c r="C324" s="2914">
        <f t="shared" si="54"/>
        <v>1</v>
      </c>
      <c r="D324" s="3182"/>
      <c r="E324" s="2914">
        <f t="shared" si="55"/>
        <v>1</v>
      </c>
      <c r="F324" s="3182"/>
      <c r="G324" s="2914">
        <f t="shared" si="56"/>
        <v>1</v>
      </c>
      <c r="H324" s="3182"/>
      <c r="I324" s="2914">
        <f t="shared" si="57"/>
        <v>1</v>
      </c>
      <c r="J324" s="3182"/>
      <c r="K324" s="2914">
        <f t="shared" si="58"/>
        <v>1</v>
      </c>
      <c r="L324" s="3182"/>
      <c r="M324" s="2914">
        <f t="shared" si="59"/>
        <v>1</v>
      </c>
      <c r="N324" s="3182"/>
      <c r="O324" s="2914">
        <f t="shared" si="60"/>
        <v>1</v>
      </c>
      <c r="P324" s="3182"/>
      <c r="Q324" s="2914">
        <f t="shared" si="61"/>
        <v>1</v>
      </c>
      <c r="R324" s="2665">
        <f t="shared" si="62"/>
        <v>0</v>
      </c>
      <c r="S324" s="2790">
        <f t="shared" si="64"/>
        <v>0</v>
      </c>
    </row>
    <row r="325" spans="1:19">
      <c r="A325" s="2916"/>
      <c r="B325" s="3180"/>
      <c r="C325" s="2914">
        <f t="shared" si="54"/>
        <v>1</v>
      </c>
      <c r="D325" s="3182"/>
      <c r="E325" s="2914">
        <f t="shared" si="55"/>
        <v>1</v>
      </c>
      <c r="F325" s="3182"/>
      <c r="G325" s="2914">
        <f t="shared" si="56"/>
        <v>1</v>
      </c>
      <c r="H325" s="3182"/>
      <c r="I325" s="2914">
        <f t="shared" si="57"/>
        <v>1</v>
      </c>
      <c r="J325" s="3182"/>
      <c r="K325" s="2914">
        <f t="shared" si="58"/>
        <v>1</v>
      </c>
      <c r="L325" s="3182"/>
      <c r="M325" s="2914">
        <f t="shared" si="59"/>
        <v>1</v>
      </c>
      <c r="N325" s="3182"/>
      <c r="O325" s="2914">
        <f t="shared" si="60"/>
        <v>1</v>
      </c>
      <c r="P325" s="3182"/>
      <c r="Q325" s="2914">
        <f t="shared" si="61"/>
        <v>1</v>
      </c>
      <c r="R325" s="2665">
        <f t="shared" si="62"/>
        <v>0</v>
      </c>
      <c r="S325" s="2790">
        <f t="shared" si="64"/>
        <v>0</v>
      </c>
    </row>
    <row r="326" spans="1:19">
      <c r="A326" s="2916"/>
      <c r="B326" s="3180"/>
      <c r="C326" s="2914">
        <f t="shared" si="54"/>
        <v>1</v>
      </c>
      <c r="D326" s="3182"/>
      <c r="E326" s="2914">
        <f t="shared" si="55"/>
        <v>1</v>
      </c>
      <c r="F326" s="3182"/>
      <c r="G326" s="2914">
        <f t="shared" si="56"/>
        <v>1</v>
      </c>
      <c r="H326" s="3182"/>
      <c r="I326" s="2914">
        <f t="shared" si="57"/>
        <v>1</v>
      </c>
      <c r="J326" s="3182"/>
      <c r="K326" s="2914">
        <f t="shared" si="58"/>
        <v>1</v>
      </c>
      <c r="L326" s="3182"/>
      <c r="M326" s="2914">
        <f t="shared" si="59"/>
        <v>1</v>
      </c>
      <c r="N326" s="3182"/>
      <c r="O326" s="2914">
        <f t="shared" si="60"/>
        <v>1</v>
      </c>
      <c r="P326" s="3182"/>
      <c r="Q326" s="2914">
        <f t="shared" si="61"/>
        <v>1</v>
      </c>
      <c r="R326" s="2665">
        <f t="shared" si="62"/>
        <v>0</v>
      </c>
      <c r="S326" s="2790">
        <f t="shared" si="64"/>
        <v>0</v>
      </c>
    </row>
    <row r="327" spans="1:19">
      <c r="A327" s="2916"/>
      <c r="B327" s="3180"/>
      <c r="C327" s="2914">
        <f t="shared" si="54"/>
        <v>1</v>
      </c>
      <c r="D327" s="3182"/>
      <c r="E327" s="2914">
        <f t="shared" si="55"/>
        <v>1</v>
      </c>
      <c r="F327" s="3182"/>
      <c r="G327" s="2914">
        <f t="shared" si="56"/>
        <v>1</v>
      </c>
      <c r="H327" s="3182"/>
      <c r="I327" s="2914">
        <f t="shared" si="57"/>
        <v>1</v>
      </c>
      <c r="J327" s="3182"/>
      <c r="K327" s="2914">
        <f t="shared" si="58"/>
        <v>1</v>
      </c>
      <c r="L327" s="3182"/>
      <c r="M327" s="2914">
        <f t="shared" si="59"/>
        <v>1</v>
      </c>
      <c r="N327" s="3182"/>
      <c r="O327" s="2914">
        <f t="shared" si="60"/>
        <v>1</v>
      </c>
      <c r="P327" s="3182"/>
      <c r="Q327" s="2914">
        <f t="shared" si="61"/>
        <v>1</v>
      </c>
      <c r="R327" s="2665">
        <f t="shared" si="62"/>
        <v>0</v>
      </c>
      <c r="S327" s="2790">
        <f t="shared" si="64"/>
        <v>0</v>
      </c>
    </row>
    <row r="328" spans="1:19">
      <c r="A328" s="2916"/>
      <c r="B328" s="3180"/>
      <c r="C328" s="2914">
        <f t="shared" si="54"/>
        <v>1</v>
      </c>
      <c r="D328" s="3182"/>
      <c r="E328" s="2914">
        <f t="shared" si="55"/>
        <v>1</v>
      </c>
      <c r="F328" s="3182"/>
      <c r="G328" s="2914">
        <f t="shared" si="56"/>
        <v>1</v>
      </c>
      <c r="H328" s="3182"/>
      <c r="I328" s="2914">
        <f t="shared" si="57"/>
        <v>1</v>
      </c>
      <c r="J328" s="3182"/>
      <c r="K328" s="2914">
        <f t="shared" si="58"/>
        <v>1</v>
      </c>
      <c r="L328" s="3182"/>
      <c r="M328" s="2914">
        <f t="shared" si="59"/>
        <v>1</v>
      </c>
      <c r="N328" s="3182"/>
      <c r="O328" s="2914">
        <f t="shared" si="60"/>
        <v>1</v>
      </c>
      <c r="P328" s="3182"/>
      <c r="Q328" s="2914">
        <f t="shared" si="61"/>
        <v>1</v>
      </c>
      <c r="R328" s="2665">
        <f t="shared" si="62"/>
        <v>0</v>
      </c>
      <c r="S328" s="2790">
        <f t="shared" si="64"/>
        <v>0</v>
      </c>
    </row>
    <row r="329" spans="1:19">
      <c r="A329" s="2916"/>
      <c r="B329" s="3180"/>
      <c r="C329" s="2914">
        <f t="shared" si="54"/>
        <v>1</v>
      </c>
      <c r="D329" s="3182"/>
      <c r="E329" s="2914">
        <f t="shared" si="55"/>
        <v>1</v>
      </c>
      <c r="F329" s="3182"/>
      <c r="G329" s="2914">
        <f t="shared" si="56"/>
        <v>1</v>
      </c>
      <c r="H329" s="3182"/>
      <c r="I329" s="2914">
        <f t="shared" si="57"/>
        <v>1</v>
      </c>
      <c r="J329" s="3182"/>
      <c r="K329" s="2914">
        <f t="shared" si="58"/>
        <v>1</v>
      </c>
      <c r="L329" s="3182"/>
      <c r="M329" s="2914">
        <f t="shared" si="59"/>
        <v>1</v>
      </c>
      <c r="N329" s="3182"/>
      <c r="O329" s="2914">
        <f t="shared" si="60"/>
        <v>1</v>
      </c>
      <c r="P329" s="3182"/>
      <c r="Q329" s="2914">
        <f t="shared" si="61"/>
        <v>1</v>
      </c>
      <c r="R329" s="2665">
        <f t="shared" si="62"/>
        <v>0</v>
      </c>
      <c r="S329" s="2790">
        <f t="shared" si="64"/>
        <v>0</v>
      </c>
    </row>
    <row r="330" spans="1:19">
      <c r="A330" s="2916"/>
      <c r="B330" s="3180"/>
      <c r="C330" s="2914">
        <f t="shared" si="54"/>
        <v>1</v>
      </c>
      <c r="D330" s="3182"/>
      <c r="E330" s="2914">
        <f t="shared" si="55"/>
        <v>1</v>
      </c>
      <c r="F330" s="3182"/>
      <c r="G330" s="2914">
        <f t="shared" si="56"/>
        <v>1</v>
      </c>
      <c r="H330" s="3182"/>
      <c r="I330" s="2914">
        <f t="shared" si="57"/>
        <v>1</v>
      </c>
      <c r="J330" s="3182"/>
      <c r="K330" s="2914">
        <f t="shared" si="58"/>
        <v>1</v>
      </c>
      <c r="L330" s="3182"/>
      <c r="M330" s="2914">
        <f t="shared" si="59"/>
        <v>1</v>
      </c>
      <c r="N330" s="3182"/>
      <c r="O330" s="2914">
        <f t="shared" si="60"/>
        <v>1</v>
      </c>
      <c r="P330" s="3182"/>
      <c r="Q330" s="2914">
        <f t="shared" si="61"/>
        <v>1</v>
      </c>
      <c r="R330" s="2665">
        <f t="shared" si="62"/>
        <v>0</v>
      </c>
      <c r="S330" s="2790">
        <f t="shared" si="64"/>
        <v>0</v>
      </c>
    </row>
    <row r="331" spans="1:19">
      <c r="A331" s="2916"/>
      <c r="B331" s="3180"/>
      <c r="C331" s="2914">
        <f t="shared" si="54"/>
        <v>1</v>
      </c>
      <c r="D331" s="3182"/>
      <c r="E331" s="2914">
        <f t="shared" si="55"/>
        <v>1</v>
      </c>
      <c r="F331" s="3182"/>
      <c r="G331" s="2914">
        <f t="shared" si="56"/>
        <v>1</v>
      </c>
      <c r="H331" s="3182"/>
      <c r="I331" s="2914">
        <f t="shared" si="57"/>
        <v>1</v>
      </c>
      <c r="J331" s="3182"/>
      <c r="K331" s="2914">
        <f t="shared" si="58"/>
        <v>1</v>
      </c>
      <c r="L331" s="3182"/>
      <c r="M331" s="2914">
        <f t="shared" si="59"/>
        <v>1</v>
      </c>
      <c r="N331" s="3182"/>
      <c r="O331" s="2914">
        <f t="shared" si="60"/>
        <v>1</v>
      </c>
      <c r="P331" s="3182"/>
      <c r="Q331" s="2914">
        <f t="shared" si="61"/>
        <v>1</v>
      </c>
      <c r="R331" s="2665">
        <f t="shared" si="62"/>
        <v>0</v>
      </c>
      <c r="S331" s="2790">
        <f t="shared" si="64"/>
        <v>0</v>
      </c>
    </row>
    <row r="332" spans="1:19">
      <c r="A332" s="2916"/>
      <c r="B332" s="3180"/>
      <c r="C332" s="2914">
        <f t="shared" si="54"/>
        <v>1</v>
      </c>
      <c r="D332" s="3182"/>
      <c r="E332" s="2914">
        <f t="shared" si="55"/>
        <v>1</v>
      </c>
      <c r="F332" s="3182"/>
      <c r="G332" s="2914">
        <f t="shared" si="56"/>
        <v>1</v>
      </c>
      <c r="H332" s="3182"/>
      <c r="I332" s="2914">
        <f t="shared" si="57"/>
        <v>1</v>
      </c>
      <c r="J332" s="3182"/>
      <c r="K332" s="2914">
        <f t="shared" si="58"/>
        <v>1</v>
      </c>
      <c r="L332" s="3182"/>
      <c r="M332" s="2914">
        <f t="shared" si="59"/>
        <v>1</v>
      </c>
      <c r="N332" s="3182"/>
      <c r="O332" s="2914">
        <f t="shared" si="60"/>
        <v>1</v>
      </c>
      <c r="P332" s="3182"/>
      <c r="Q332" s="2914">
        <f t="shared" si="61"/>
        <v>1</v>
      </c>
      <c r="R332" s="2665">
        <f t="shared" si="62"/>
        <v>0</v>
      </c>
      <c r="S332" s="2790">
        <f t="shared" si="64"/>
        <v>0</v>
      </c>
    </row>
    <row r="333" spans="1:19">
      <c r="A333" s="2916"/>
      <c r="B333" s="3180"/>
      <c r="C333" s="2914">
        <f t="shared" si="54"/>
        <v>1</v>
      </c>
      <c r="D333" s="3182"/>
      <c r="E333" s="2914">
        <f t="shared" si="55"/>
        <v>1</v>
      </c>
      <c r="F333" s="3182"/>
      <c r="G333" s="2914">
        <f t="shared" si="56"/>
        <v>1</v>
      </c>
      <c r="H333" s="3182"/>
      <c r="I333" s="2914">
        <f t="shared" si="57"/>
        <v>1</v>
      </c>
      <c r="J333" s="3182"/>
      <c r="K333" s="2914">
        <f t="shared" si="58"/>
        <v>1</v>
      </c>
      <c r="L333" s="3182"/>
      <c r="M333" s="2914">
        <f t="shared" si="59"/>
        <v>1</v>
      </c>
      <c r="N333" s="3182"/>
      <c r="O333" s="2914">
        <f t="shared" si="60"/>
        <v>1</v>
      </c>
      <c r="P333" s="3182"/>
      <c r="Q333" s="2914">
        <f t="shared" si="61"/>
        <v>1</v>
      </c>
      <c r="R333" s="2665">
        <f t="shared" si="62"/>
        <v>0</v>
      </c>
      <c r="S333" s="2790">
        <f t="shared" si="64"/>
        <v>0</v>
      </c>
    </row>
    <row r="334" spans="1:19">
      <c r="A334" s="2916"/>
      <c r="B334" s="3180"/>
      <c r="C334" s="2914">
        <f t="shared" si="54"/>
        <v>1</v>
      </c>
      <c r="D334" s="3182"/>
      <c r="E334" s="2914">
        <f t="shared" si="55"/>
        <v>1</v>
      </c>
      <c r="F334" s="3182"/>
      <c r="G334" s="2914">
        <f t="shared" si="56"/>
        <v>1</v>
      </c>
      <c r="H334" s="3182"/>
      <c r="I334" s="2914">
        <f t="shared" si="57"/>
        <v>1</v>
      </c>
      <c r="J334" s="3182"/>
      <c r="K334" s="2914">
        <f t="shared" si="58"/>
        <v>1</v>
      </c>
      <c r="L334" s="3182"/>
      <c r="M334" s="2914">
        <f t="shared" si="59"/>
        <v>1</v>
      </c>
      <c r="N334" s="3182"/>
      <c r="O334" s="2914">
        <f t="shared" si="60"/>
        <v>1</v>
      </c>
      <c r="P334" s="3182"/>
      <c r="Q334" s="2914">
        <f t="shared" si="61"/>
        <v>1</v>
      </c>
      <c r="R334" s="2665">
        <f t="shared" si="62"/>
        <v>0</v>
      </c>
      <c r="S334" s="2790">
        <f t="shared" si="64"/>
        <v>0</v>
      </c>
    </row>
    <row r="335" spans="1:19">
      <c r="A335" s="2916"/>
      <c r="B335" s="3180"/>
      <c r="C335" s="2914">
        <f t="shared" si="54"/>
        <v>1</v>
      </c>
      <c r="D335" s="3182"/>
      <c r="E335" s="2914">
        <f t="shared" si="55"/>
        <v>1</v>
      </c>
      <c r="F335" s="3182"/>
      <c r="G335" s="2914">
        <f t="shared" si="56"/>
        <v>1</v>
      </c>
      <c r="H335" s="3182"/>
      <c r="I335" s="2914">
        <f t="shared" si="57"/>
        <v>1</v>
      </c>
      <c r="J335" s="3182"/>
      <c r="K335" s="2914">
        <f t="shared" si="58"/>
        <v>1</v>
      </c>
      <c r="L335" s="3182"/>
      <c r="M335" s="2914">
        <f t="shared" si="59"/>
        <v>1</v>
      </c>
      <c r="N335" s="3182"/>
      <c r="O335" s="2914">
        <f t="shared" si="60"/>
        <v>1</v>
      </c>
      <c r="P335" s="3182"/>
      <c r="Q335" s="2914">
        <f t="shared" si="61"/>
        <v>1</v>
      </c>
      <c r="R335" s="2665">
        <f t="shared" si="62"/>
        <v>0</v>
      </c>
      <c r="S335" s="2790">
        <f t="shared" si="64"/>
        <v>0</v>
      </c>
    </row>
    <row r="336" spans="1:19">
      <c r="A336" s="2916"/>
      <c r="B336" s="3180"/>
      <c r="C336" s="2914">
        <f t="shared" si="54"/>
        <v>1</v>
      </c>
      <c r="D336" s="3182"/>
      <c r="E336" s="2914">
        <f t="shared" si="55"/>
        <v>1</v>
      </c>
      <c r="F336" s="3182"/>
      <c r="G336" s="2914">
        <f t="shared" si="56"/>
        <v>1</v>
      </c>
      <c r="H336" s="3182"/>
      <c r="I336" s="2914">
        <f t="shared" si="57"/>
        <v>1</v>
      </c>
      <c r="J336" s="3182"/>
      <c r="K336" s="2914">
        <f t="shared" si="58"/>
        <v>1</v>
      </c>
      <c r="L336" s="3182"/>
      <c r="M336" s="2914">
        <f t="shared" si="59"/>
        <v>1</v>
      </c>
      <c r="N336" s="3182"/>
      <c r="O336" s="2914">
        <f t="shared" si="60"/>
        <v>1</v>
      </c>
      <c r="P336" s="3182"/>
      <c r="Q336" s="2914">
        <f t="shared" si="61"/>
        <v>1</v>
      </c>
      <c r="R336" s="2665">
        <f t="shared" si="62"/>
        <v>0</v>
      </c>
      <c r="S336" s="2790">
        <f t="shared" si="64"/>
        <v>0</v>
      </c>
    </row>
    <row r="337" spans="1:19">
      <c r="A337" s="2916"/>
      <c r="B337" s="3180"/>
      <c r="C337" s="2914">
        <f t="shared" si="54"/>
        <v>1</v>
      </c>
      <c r="D337" s="3182"/>
      <c r="E337" s="2914">
        <f t="shared" si="55"/>
        <v>1</v>
      </c>
      <c r="F337" s="3182"/>
      <c r="G337" s="2914">
        <f t="shared" si="56"/>
        <v>1</v>
      </c>
      <c r="H337" s="3182"/>
      <c r="I337" s="2914">
        <f t="shared" si="57"/>
        <v>1</v>
      </c>
      <c r="J337" s="3182"/>
      <c r="K337" s="2914">
        <f t="shared" si="58"/>
        <v>1</v>
      </c>
      <c r="L337" s="3182"/>
      <c r="M337" s="2914">
        <f t="shared" si="59"/>
        <v>1</v>
      </c>
      <c r="N337" s="3182"/>
      <c r="O337" s="2914">
        <f t="shared" si="60"/>
        <v>1</v>
      </c>
      <c r="P337" s="3182"/>
      <c r="Q337" s="2914">
        <f t="shared" si="61"/>
        <v>1</v>
      </c>
      <c r="R337" s="2665">
        <f t="shared" si="62"/>
        <v>0</v>
      </c>
      <c r="S337" s="2790">
        <f t="shared" si="64"/>
        <v>0</v>
      </c>
    </row>
    <row r="338" spans="1:19">
      <c r="A338" s="2916"/>
      <c r="B338" s="3180"/>
      <c r="C338" s="2914">
        <f t="shared" si="54"/>
        <v>1</v>
      </c>
      <c r="D338" s="3182"/>
      <c r="E338" s="2914">
        <f t="shared" si="55"/>
        <v>1</v>
      </c>
      <c r="F338" s="3182"/>
      <c r="G338" s="2914">
        <f t="shared" si="56"/>
        <v>1</v>
      </c>
      <c r="H338" s="3182"/>
      <c r="I338" s="2914">
        <f t="shared" si="57"/>
        <v>1</v>
      </c>
      <c r="J338" s="3182"/>
      <c r="K338" s="2914">
        <f t="shared" si="58"/>
        <v>1</v>
      </c>
      <c r="L338" s="3182"/>
      <c r="M338" s="2914">
        <f t="shared" si="59"/>
        <v>1</v>
      </c>
      <c r="N338" s="3182"/>
      <c r="O338" s="2914">
        <f t="shared" si="60"/>
        <v>1</v>
      </c>
      <c r="P338" s="3182"/>
      <c r="Q338" s="2914">
        <f t="shared" si="61"/>
        <v>1</v>
      </c>
      <c r="R338" s="2665">
        <f t="shared" si="62"/>
        <v>0</v>
      </c>
      <c r="S338" s="2790">
        <f t="shared" si="64"/>
        <v>0</v>
      </c>
    </row>
    <row r="339" spans="1:19">
      <c r="A339" s="2916"/>
      <c r="B339" s="3180"/>
      <c r="C339" s="2914">
        <f t="shared" si="54"/>
        <v>1</v>
      </c>
      <c r="D339" s="3182"/>
      <c r="E339" s="2914">
        <f t="shared" si="55"/>
        <v>1</v>
      </c>
      <c r="F339" s="3182"/>
      <c r="G339" s="2914">
        <f t="shared" si="56"/>
        <v>1</v>
      </c>
      <c r="H339" s="3182"/>
      <c r="I339" s="2914">
        <f t="shared" si="57"/>
        <v>1</v>
      </c>
      <c r="J339" s="3182"/>
      <c r="K339" s="2914">
        <f t="shared" si="58"/>
        <v>1</v>
      </c>
      <c r="L339" s="3182"/>
      <c r="M339" s="2914">
        <f t="shared" si="59"/>
        <v>1</v>
      </c>
      <c r="N339" s="3182"/>
      <c r="O339" s="2914">
        <f t="shared" si="60"/>
        <v>1</v>
      </c>
      <c r="P339" s="3182"/>
      <c r="Q339" s="2914">
        <f t="shared" si="61"/>
        <v>1</v>
      </c>
      <c r="R339" s="2665">
        <f t="shared" si="62"/>
        <v>0</v>
      </c>
      <c r="S339" s="2790">
        <f t="shared" si="64"/>
        <v>0</v>
      </c>
    </row>
    <row r="340" spans="1:19">
      <c r="A340" s="2916"/>
      <c r="B340" s="3180"/>
      <c r="C340" s="2914">
        <f t="shared" si="54"/>
        <v>1</v>
      </c>
      <c r="D340" s="3182"/>
      <c r="E340" s="2914">
        <f t="shared" si="55"/>
        <v>1</v>
      </c>
      <c r="F340" s="3182"/>
      <c r="G340" s="2914">
        <f t="shared" si="56"/>
        <v>1</v>
      </c>
      <c r="H340" s="3182"/>
      <c r="I340" s="2914">
        <f t="shared" si="57"/>
        <v>1</v>
      </c>
      <c r="J340" s="3182"/>
      <c r="K340" s="2914">
        <f t="shared" si="58"/>
        <v>1</v>
      </c>
      <c r="L340" s="3182"/>
      <c r="M340" s="2914">
        <f t="shared" si="59"/>
        <v>1</v>
      </c>
      <c r="N340" s="3182"/>
      <c r="O340" s="2914">
        <f t="shared" si="60"/>
        <v>1</v>
      </c>
      <c r="P340" s="3182"/>
      <c r="Q340" s="2914">
        <f t="shared" si="61"/>
        <v>1</v>
      </c>
      <c r="R340" s="2665">
        <f t="shared" si="62"/>
        <v>0</v>
      </c>
      <c r="S340" s="2790">
        <f t="shared" si="64"/>
        <v>0</v>
      </c>
    </row>
    <row r="341" spans="1:19">
      <c r="A341" s="2916"/>
      <c r="B341" s="3180"/>
      <c r="C341" s="2914">
        <f t="shared" si="54"/>
        <v>1</v>
      </c>
      <c r="D341" s="3182"/>
      <c r="E341" s="2914">
        <f t="shared" si="55"/>
        <v>1</v>
      </c>
      <c r="F341" s="3182"/>
      <c r="G341" s="2914">
        <f t="shared" si="56"/>
        <v>1</v>
      </c>
      <c r="H341" s="3182"/>
      <c r="I341" s="2914">
        <f t="shared" si="57"/>
        <v>1</v>
      </c>
      <c r="J341" s="3182"/>
      <c r="K341" s="2914">
        <f t="shared" si="58"/>
        <v>1</v>
      </c>
      <c r="L341" s="3182"/>
      <c r="M341" s="2914">
        <f t="shared" si="59"/>
        <v>1</v>
      </c>
      <c r="N341" s="3182"/>
      <c r="O341" s="2914">
        <f t="shared" si="60"/>
        <v>1</v>
      </c>
      <c r="P341" s="3182"/>
      <c r="Q341" s="2914">
        <f t="shared" si="61"/>
        <v>1</v>
      </c>
      <c r="R341" s="2665">
        <f t="shared" si="62"/>
        <v>0</v>
      </c>
      <c r="S341" s="2790">
        <f t="shared" si="64"/>
        <v>0</v>
      </c>
    </row>
    <row r="342" spans="1:19">
      <c r="A342" s="2916"/>
      <c r="B342" s="3180"/>
      <c r="C342" s="2914">
        <f t="shared" si="54"/>
        <v>1</v>
      </c>
      <c r="D342" s="3182"/>
      <c r="E342" s="2914">
        <f t="shared" si="55"/>
        <v>1</v>
      </c>
      <c r="F342" s="3182"/>
      <c r="G342" s="2914">
        <f t="shared" si="56"/>
        <v>1</v>
      </c>
      <c r="H342" s="3182"/>
      <c r="I342" s="2914">
        <f t="shared" si="57"/>
        <v>1</v>
      </c>
      <c r="J342" s="3182"/>
      <c r="K342" s="2914">
        <f t="shared" si="58"/>
        <v>1</v>
      </c>
      <c r="L342" s="3182"/>
      <c r="M342" s="2914">
        <f t="shared" si="59"/>
        <v>1</v>
      </c>
      <c r="N342" s="3182"/>
      <c r="O342" s="2914">
        <f t="shared" si="60"/>
        <v>1</v>
      </c>
      <c r="P342" s="3182"/>
      <c r="Q342" s="2914">
        <f t="shared" si="61"/>
        <v>1</v>
      </c>
      <c r="R342" s="2665">
        <f t="shared" si="62"/>
        <v>0</v>
      </c>
      <c r="S342" s="2790">
        <f t="shared" si="64"/>
        <v>0</v>
      </c>
    </row>
    <row r="343" spans="1:19">
      <c r="A343" s="2916"/>
      <c r="B343" s="3180"/>
      <c r="C343" s="2914">
        <f t="shared" si="54"/>
        <v>1</v>
      </c>
      <c r="D343" s="3182"/>
      <c r="E343" s="2914">
        <f t="shared" si="55"/>
        <v>1</v>
      </c>
      <c r="F343" s="3182"/>
      <c r="G343" s="2914">
        <f t="shared" si="56"/>
        <v>1</v>
      </c>
      <c r="H343" s="3182"/>
      <c r="I343" s="2914">
        <f t="shared" si="57"/>
        <v>1</v>
      </c>
      <c r="J343" s="3182"/>
      <c r="K343" s="2914">
        <f t="shared" si="58"/>
        <v>1</v>
      </c>
      <c r="L343" s="3182"/>
      <c r="M343" s="2914">
        <f t="shared" si="59"/>
        <v>1</v>
      </c>
      <c r="N343" s="3182"/>
      <c r="O343" s="2914">
        <f t="shared" si="60"/>
        <v>1</v>
      </c>
      <c r="P343" s="3182"/>
      <c r="Q343" s="2914">
        <f t="shared" si="61"/>
        <v>1</v>
      </c>
      <c r="R343" s="2665">
        <f t="shared" si="62"/>
        <v>0</v>
      </c>
      <c r="S343" s="2790">
        <f t="shared" si="64"/>
        <v>0</v>
      </c>
    </row>
    <row r="344" spans="1:19">
      <c r="A344" s="2916"/>
      <c r="B344" s="3180"/>
      <c r="C344" s="2914">
        <f t="shared" si="54"/>
        <v>1</v>
      </c>
      <c r="D344" s="3182"/>
      <c r="E344" s="2914">
        <f t="shared" si="55"/>
        <v>1</v>
      </c>
      <c r="F344" s="3182"/>
      <c r="G344" s="2914">
        <f t="shared" si="56"/>
        <v>1</v>
      </c>
      <c r="H344" s="3182"/>
      <c r="I344" s="2914">
        <f t="shared" si="57"/>
        <v>1</v>
      </c>
      <c r="J344" s="3182"/>
      <c r="K344" s="2914">
        <f t="shared" si="58"/>
        <v>1</v>
      </c>
      <c r="L344" s="3182"/>
      <c r="M344" s="2914">
        <f t="shared" si="59"/>
        <v>1</v>
      </c>
      <c r="N344" s="3182"/>
      <c r="O344" s="2914">
        <f t="shared" si="60"/>
        <v>1</v>
      </c>
      <c r="P344" s="3182"/>
      <c r="Q344" s="2914">
        <f t="shared" si="61"/>
        <v>1</v>
      </c>
      <c r="R344" s="2665">
        <f t="shared" si="62"/>
        <v>0</v>
      </c>
      <c r="S344" s="2790">
        <f t="shared" si="64"/>
        <v>0</v>
      </c>
    </row>
    <row r="345" spans="1:19">
      <c r="A345" s="2916"/>
      <c r="B345" s="3180"/>
      <c r="C345" s="2914">
        <f t="shared" si="54"/>
        <v>1</v>
      </c>
      <c r="D345" s="3182"/>
      <c r="E345" s="2914">
        <f t="shared" si="55"/>
        <v>1</v>
      </c>
      <c r="F345" s="3182"/>
      <c r="G345" s="2914">
        <f t="shared" si="56"/>
        <v>1</v>
      </c>
      <c r="H345" s="3182"/>
      <c r="I345" s="2914">
        <f t="shared" si="57"/>
        <v>1</v>
      </c>
      <c r="J345" s="3182"/>
      <c r="K345" s="2914">
        <f t="shared" si="58"/>
        <v>1</v>
      </c>
      <c r="L345" s="3182"/>
      <c r="M345" s="2914">
        <f t="shared" si="59"/>
        <v>1</v>
      </c>
      <c r="N345" s="3182"/>
      <c r="O345" s="2914">
        <f t="shared" si="60"/>
        <v>1</v>
      </c>
      <c r="P345" s="3182"/>
      <c r="Q345" s="2914">
        <f t="shared" si="61"/>
        <v>1</v>
      </c>
      <c r="R345" s="2665">
        <f t="shared" si="62"/>
        <v>0</v>
      </c>
      <c r="S345" s="2790">
        <f t="shared" si="64"/>
        <v>0</v>
      </c>
    </row>
    <row r="346" spans="1:19">
      <c r="A346" s="2916"/>
      <c r="B346" s="3180"/>
      <c r="C346" s="2914">
        <f t="shared" ref="C346:C409" si="65">IF(B346="",1,(LOOKUP(B346,$3:$3,$4:$4)-LOOKUP($B$24,$3:$3,$4:$4)+100)/100)</f>
        <v>1</v>
      </c>
      <c r="D346" s="3182"/>
      <c r="E346" s="2914">
        <f t="shared" ref="E346:E409" si="66">(SUMIF($5:$5,D346,$6:$6)-SUMIF($5:$5,$D$24,$6:$6)+100)/100</f>
        <v>1</v>
      </c>
      <c r="F346" s="3182"/>
      <c r="G346" s="2914">
        <f t="shared" ref="G346:G409" si="67">(SUMIF($7:$7,F346,$8:$8)-SUMIF($7:$7,$F$24,$8:$8)+100)/100</f>
        <v>1</v>
      </c>
      <c r="H346" s="3182"/>
      <c r="I346" s="2914">
        <f t="shared" ref="I346:I409" si="68">(SUMIF($9:$9,H346,$10:$10)-SUMIF($9:$9,$H$24,$10:$10)+100)/100</f>
        <v>1</v>
      </c>
      <c r="J346" s="3182"/>
      <c r="K346" s="2914">
        <f t="shared" ref="K346:K409" si="69">(SUMIF($11:$11,J346,$12:$12)-SUMIF($11:$11,$J$24,$12:$12)+100)/100</f>
        <v>1</v>
      </c>
      <c r="L346" s="3182"/>
      <c r="M346" s="2914">
        <f t="shared" ref="M346:M409" si="70">(SUMIF($13:$13,L346,$14:$14)-SUMIF($13:$13,$L$24,$14:$14)+100)/100</f>
        <v>1</v>
      </c>
      <c r="N346" s="3182"/>
      <c r="O346" s="2914">
        <f t="shared" ref="O346:O409" si="71">(SUMIF($15:$15,N346,$16:$16)-SUMIF($15:$15,$N$24,$16:$16)+100)/100</f>
        <v>1</v>
      </c>
      <c r="P346" s="3182"/>
      <c r="Q346" s="2914">
        <f t="shared" ref="Q346:Q409" si="72">(SUMIF($17:$17,P346,$18:$18)-SUMIF($17:$17,$P$24,$18:$18)+100)/100</f>
        <v>1</v>
      </c>
      <c r="R346" s="2665">
        <f t="shared" ref="R346:R409" si="73">IF(B346="",0,ROUND($R$24*C346*E346*G346*I346*K346*M346*O346*Q346,0))</f>
        <v>0</v>
      </c>
      <c r="S346" s="2790">
        <f t="shared" si="64"/>
        <v>0</v>
      </c>
    </row>
    <row r="347" spans="1:19">
      <c r="A347" s="2916"/>
      <c r="B347" s="3180"/>
      <c r="C347" s="2914">
        <f t="shared" si="65"/>
        <v>1</v>
      </c>
      <c r="D347" s="3182"/>
      <c r="E347" s="2914">
        <f t="shared" si="66"/>
        <v>1</v>
      </c>
      <c r="F347" s="3182"/>
      <c r="G347" s="2914">
        <f t="shared" si="67"/>
        <v>1</v>
      </c>
      <c r="H347" s="3182"/>
      <c r="I347" s="2914">
        <f t="shared" si="68"/>
        <v>1</v>
      </c>
      <c r="J347" s="3182"/>
      <c r="K347" s="2914">
        <f t="shared" si="69"/>
        <v>1</v>
      </c>
      <c r="L347" s="3182"/>
      <c r="M347" s="2914">
        <f t="shared" si="70"/>
        <v>1</v>
      </c>
      <c r="N347" s="3182"/>
      <c r="O347" s="2914">
        <f t="shared" si="71"/>
        <v>1</v>
      </c>
      <c r="P347" s="3182"/>
      <c r="Q347" s="2914">
        <f t="shared" si="72"/>
        <v>1</v>
      </c>
      <c r="R347" s="2665">
        <f t="shared" si="73"/>
        <v>0</v>
      </c>
      <c r="S347" s="2790">
        <f t="shared" si="64"/>
        <v>0</v>
      </c>
    </row>
    <row r="348" spans="1:19">
      <c r="A348" s="2916"/>
      <c r="B348" s="3180"/>
      <c r="C348" s="2914">
        <f t="shared" si="65"/>
        <v>1</v>
      </c>
      <c r="D348" s="3182"/>
      <c r="E348" s="2914">
        <f t="shared" si="66"/>
        <v>1</v>
      </c>
      <c r="F348" s="3182"/>
      <c r="G348" s="2914">
        <f t="shared" si="67"/>
        <v>1</v>
      </c>
      <c r="H348" s="3182"/>
      <c r="I348" s="2914">
        <f t="shared" si="68"/>
        <v>1</v>
      </c>
      <c r="J348" s="3182"/>
      <c r="K348" s="2914">
        <f t="shared" si="69"/>
        <v>1</v>
      </c>
      <c r="L348" s="3182"/>
      <c r="M348" s="2914">
        <f t="shared" si="70"/>
        <v>1</v>
      </c>
      <c r="N348" s="3182"/>
      <c r="O348" s="2914">
        <f t="shared" si="71"/>
        <v>1</v>
      </c>
      <c r="P348" s="3182"/>
      <c r="Q348" s="2914">
        <f t="shared" si="72"/>
        <v>1</v>
      </c>
      <c r="R348" s="2665">
        <f t="shared" si="73"/>
        <v>0</v>
      </c>
      <c r="S348" s="2790">
        <f t="shared" si="64"/>
        <v>0</v>
      </c>
    </row>
    <row r="349" spans="1:19">
      <c r="A349" s="2916"/>
      <c r="B349" s="3180"/>
      <c r="C349" s="2914">
        <f t="shared" si="65"/>
        <v>1</v>
      </c>
      <c r="D349" s="3182"/>
      <c r="E349" s="2914">
        <f t="shared" si="66"/>
        <v>1</v>
      </c>
      <c r="F349" s="3182"/>
      <c r="G349" s="2914">
        <f t="shared" si="67"/>
        <v>1</v>
      </c>
      <c r="H349" s="3182"/>
      <c r="I349" s="2914">
        <f t="shared" si="68"/>
        <v>1</v>
      </c>
      <c r="J349" s="3182"/>
      <c r="K349" s="2914">
        <f t="shared" si="69"/>
        <v>1</v>
      </c>
      <c r="L349" s="3182"/>
      <c r="M349" s="2914">
        <f t="shared" si="70"/>
        <v>1</v>
      </c>
      <c r="N349" s="3182"/>
      <c r="O349" s="2914">
        <f t="shared" si="71"/>
        <v>1</v>
      </c>
      <c r="P349" s="3182"/>
      <c r="Q349" s="2914">
        <f t="shared" si="72"/>
        <v>1</v>
      </c>
      <c r="R349" s="2665">
        <f t="shared" si="73"/>
        <v>0</v>
      </c>
      <c r="S349" s="2790">
        <f t="shared" si="64"/>
        <v>0</v>
      </c>
    </row>
    <row r="350" spans="1:19">
      <c r="A350" s="2916"/>
      <c r="B350" s="3180"/>
      <c r="C350" s="2914">
        <f t="shared" si="65"/>
        <v>1</v>
      </c>
      <c r="D350" s="3182"/>
      <c r="E350" s="2914">
        <f t="shared" si="66"/>
        <v>1</v>
      </c>
      <c r="F350" s="3182"/>
      <c r="G350" s="2914">
        <f t="shared" si="67"/>
        <v>1</v>
      </c>
      <c r="H350" s="3182"/>
      <c r="I350" s="2914">
        <f t="shared" si="68"/>
        <v>1</v>
      </c>
      <c r="J350" s="3182"/>
      <c r="K350" s="2914">
        <f t="shared" si="69"/>
        <v>1</v>
      </c>
      <c r="L350" s="3182"/>
      <c r="M350" s="2914">
        <f t="shared" si="70"/>
        <v>1</v>
      </c>
      <c r="N350" s="3182"/>
      <c r="O350" s="2914">
        <f t="shared" si="71"/>
        <v>1</v>
      </c>
      <c r="P350" s="3182"/>
      <c r="Q350" s="2914">
        <f t="shared" si="72"/>
        <v>1</v>
      </c>
      <c r="R350" s="2665">
        <f t="shared" si="73"/>
        <v>0</v>
      </c>
      <c r="S350" s="2790">
        <f t="shared" si="64"/>
        <v>0</v>
      </c>
    </row>
    <row r="351" spans="1:19">
      <c r="A351" s="2916"/>
      <c r="B351" s="3180"/>
      <c r="C351" s="2914">
        <f t="shared" si="65"/>
        <v>1</v>
      </c>
      <c r="D351" s="3182"/>
      <c r="E351" s="2914">
        <f t="shared" si="66"/>
        <v>1</v>
      </c>
      <c r="F351" s="3182"/>
      <c r="G351" s="2914">
        <f t="shared" si="67"/>
        <v>1</v>
      </c>
      <c r="H351" s="3182"/>
      <c r="I351" s="2914">
        <f t="shared" si="68"/>
        <v>1</v>
      </c>
      <c r="J351" s="3182"/>
      <c r="K351" s="2914">
        <f t="shared" si="69"/>
        <v>1</v>
      </c>
      <c r="L351" s="3182"/>
      <c r="M351" s="2914">
        <f t="shared" si="70"/>
        <v>1</v>
      </c>
      <c r="N351" s="3182"/>
      <c r="O351" s="2914">
        <f t="shared" si="71"/>
        <v>1</v>
      </c>
      <c r="P351" s="3182"/>
      <c r="Q351" s="2914">
        <f t="shared" si="72"/>
        <v>1</v>
      </c>
      <c r="R351" s="2665">
        <f t="shared" si="73"/>
        <v>0</v>
      </c>
      <c r="S351" s="2790">
        <f t="shared" si="64"/>
        <v>0</v>
      </c>
    </row>
    <row r="352" spans="1:19">
      <c r="A352" s="2916"/>
      <c r="B352" s="3180"/>
      <c r="C352" s="2914">
        <f t="shared" si="65"/>
        <v>1</v>
      </c>
      <c r="D352" s="3182"/>
      <c r="E352" s="2914">
        <f t="shared" si="66"/>
        <v>1</v>
      </c>
      <c r="F352" s="3182"/>
      <c r="G352" s="2914">
        <f t="shared" si="67"/>
        <v>1</v>
      </c>
      <c r="H352" s="3182"/>
      <c r="I352" s="2914">
        <f t="shared" si="68"/>
        <v>1</v>
      </c>
      <c r="J352" s="3182"/>
      <c r="K352" s="2914">
        <f t="shared" si="69"/>
        <v>1</v>
      </c>
      <c r="L352" s="3182"/>
      <c r="M352" s="2914">
        <f t="shared" si="70"/>
        <v>1</v>
      </c>
      <c r="N352" s="3182"/>
      <c r="O352" s="2914">
        <f t="shared" si="71"/>
        <v>1</v>
      </c>
      <c r="P352" s="3182"/>
      <c r="Q352" s="2914">
        <f t="shared" si="72"/>
        <v>1</v>
      </c>
      <c r="R352" s="2665">
        <f t="shared" si="73"/>
        <v>0</v>
      </c>
      <c r="S352" s="2790">
        <f t="shared" si="64"/>
        <v>0</v>
      </c>
    </row>
    <row r="353" spans="1:19">
      <c r="A353" s="2916"/>
      <c r="B353" s="3180"/>
      <c r="C353" s="2914">
        <f t="shared" si="65"/>
        <v>1</v>
      </c>
      <c r="D353" s="3182"/>
      <c r="E353" s="2914">
        <f t="shared" si="66"/>
        <v>1</v>
      </c>
      <c r="F353" s="3182"/>
      <c r="G353" s="2914">
        <f t="shared" si="67"/>
        <v>1</v>
      </c>
      <c r="H353" s="3182"/>
      <c r="I353" s="2914">
        <f t="shared" si="68"/>
        <v>1</v>
      </c>
      <c r="J353" s="3182"/>
      <c r="K353" s="2914">
        <f t="shared" si="69"/>
        <v>1</v>
      </c>
      <c r="L353" s="3182"/>
      <c r="M353" s="2914">
        <f t="shared" si="70"/>
        <v>1</v>
      </c>
      <c r="N353" s="3182"/>
      <c r="O353" s="2914">
        <f t="shared" si="71"/>
        <v>1</v>
      </c>
      <c r="P353" s="3182"/>
      <c r="Q353" s="2914">
        <f t="shared" si="72"/>
        <v>1</v>
      </c>
      <c r="R353" s="2665">
        <f t="shared" si="73"/>
        <v>0</v>
      </c>
      <c r="S353" s="2790">
        <f t="shared" si="64"/>
        <v>0</v>
      </c>
    </row>
    <row r="354" spans="1:19">
      <c r="A354" s="2916"/>
      <c r="B354" s="3180"/>
      <c r="C354" s="2914">
        <f t="shared" si="65"/>
        <v>1</v>
      </c>
      <c r="D354" s="3182"/>
      <c r="E354" s="2914">
        <f t="shared" si="66"/>
        <v>1</v>
      </c>
      <c r="F354" s="3182"/>
      <c r="G354" s="2914">
        <f t="shared" si="67"/>
        <v>1</v>
      </c>
      <c r="H354" s="3182"/>
      <c r="I354" s="2914">
        <f t="shared" si="68"/>
        <v>1</v>
      </c>
      <c r="J354" s="3182"/>
      <c r="K354" s="2914">
        <f t="shared" si="69"/>
        <v>1</v>
      </c>
      <c r="L354" s="3182"/>
      <c r="M354" s="2914">
        <f t="shared" si="70"/>
        <v>1</v>
      </c>
      <c r="N354" s="3182"/>
      <c r="O354" s="2914">
        <f t="shared" si="71"/>
        <v>1</v>
      </c>
      <c r="P354" s="3182"/>
      <c r="Q354" s="2914">
        <f t="shared" si="72"/>
        <v>1</v>
      </c>
      <c r="R354" s="2665">
        <f t="shared" si="73"/>
        <v>0</v>
      </c>
      <c r="S354" s="2790">
        <f t="shared" si="64"/>
        <v>0</v>
      </c>
    </row>
    <row r="355" spans="1:19">
      <c r="A355" s="2916"/>
      <c r="B355" s="3180"/>
      <c r="C355" s="2914">
        <f t="shared" si="65"/>
        <v>1</v>
      </c>
      <c r="D355" s="3182"/>
      <c r="E355" s="2914">
        <f t="shared" si="66"/>
        <v>1</v>
      </c>
      <c r="F355" s="3182"/>
      <c r="G355" s="2914">
        <f t="shared" si="67"/>
        <v>1</v>
      </c>
      <c r="H355" s="3182"/>
      <c r="I355" s="2914">
        <f t="shared" si="68"/>
        <v>1</v>
      </c>
      <c r="J355" s="3182"/>
      <c r="K355" s="2914">
        <f t="shared" si="69"/>
        <v>1</v>
      </c>
      <c r="L355" s="3182"/>
      <c r="M355" s="2914">
        <f t="shared" si="70"/>
        <v>1</v>
      </c>
      <c r="N355" s="3182"/>
      <c r="O355" s="2914">
        <f t="shared" si="71"/>
        <v>1</v>
      </c>
      <c r="P355" s="3182"/>
      <c r="Q355" s="2914">
        <f t="shared" si="72"/>
        <v>1</v>
      </c>
      <c r="R355" s="2665">
        <f t="shared" si="73"/>
        <v>0</v>
      </c>
      <c r="S355" s="2790">
        <f t="shared" si="64"/>
        <v>0</v>
      </c>
    </row>
    <row r="356" spans="1:19">
      <c r="A356" s="2916"/>
      <c r="B356" s="3180"/>
      <c r="C356" s="2914">
        <f t="shared" si="65"/>
        <v>1</v>
      </c>
      <c r="D356" s="3182"/>
      <c r="E356" s="2914">
        <f t="shared" si="66"/>
        <v>1</v>
      </c>
      <c r="F356" s="3182"/>
      <c r="G356" s="2914">
        <f t="shared" si="67"/>
        <v>1</v>
      </c>
      <c r="H356" s="3182"/>
      <c r="I356" s="2914">
        <f t="shared" si="68"/>
        <v>1</v>
      </c>
      <c r="J356" s="3182"/>
      <c r="K356" s="2914">
        <f t="shared" si="69"/>
        <v>1</v>
      </c>
      <c r="L356" s="3182"/>
      <c r="M356" s="2914">
        <f t="shared" si="70"/>
        <v>1</v>
      </c>
      <c r="N356" s="3182"/>
      <c r="O356" s="2914">
        <f t="shared" si="71"/>
        <v>1</v>
      </c>
      <c r="P356" s="3182"/>
      <c r="Q356" s="2914">
        <f t="shared" si="72"/>
        <v>1</v>
      </c>
      <c r="R356" s="2665">
        <f t="shared" si="73"/>
        <v>0</v>
      </c>
      <c r="S356" s="2790">
        <f t="shared" si="64"/>
        <v>0</v>
      </c>
    </row>
    <row r="357" spans="1:19">
      <c r="A357" s="2916"/>
      <c r="B357" s="3180"/>
      <c r="C357" s="2914">
        <f t="shared" si="65"/>
        <v>1</v>
      </c>
      <c r="D357" s="3182"/>
      <c r="E357" s="2914">
        <f t="shared" si="66"/>
        <v>1</v>
      </c>
      <c r="F357" s="3182"/>
      <c r="G357" s="2914">
        <f t="shared" si="67"/>
        <v>1</v>
      </c>
      <c r="H357" s="3182"/>
      <c r="I357" s="2914">
        <f t="shared" si="68"/>
        <v>1</v>
      </c>
      <c r="J357" s="3182"/>
      <c r="K357" s="2914">
        <f t="shared" si="69"/>
        <v>1</v>
      </c>
      <c r="L357" s="3182"/>
      <c r="M357" s="2914">
        <f t="shared" si="70"/>
        <v>1</v>
      </c>
      <c r="N357" s="3182"/>
      <c r="O357" s="2914">
        <f t="shared" si="71"/>
        <v>1</v>
      </c>
      <c r="P357" s="3182"/>
      <c r="Q357" s="2914">
        <f t="shared" si="72"/>
        <v>1</v>
      </c>
      <c r="R357" s="2665">
        <f t="shared" si="73"/>
        <v>0</v>
      </c>
      <c r="S357" s="2790">
        <f t="shared" si="64"/>
        <v>0</v>
      </c>
    </row>
    <row r="358" spans="1:19">
      <c r="A358" s="2916"/>
      <c r="B358" s="3180"/>
      <c r="C358" s="2914">
        <f t="shared" si="65"/>
        <v>1</v>
      </c>
      <c r="D358" s="3182"/>
      <c r="E358" s="2914">
        <f t="shared" si="66"/>
        <v>1</v>
      </c>
      <c r="F358" s="3182"/>
      <c r="G358" s="2914">
        <f t="shared" si="67"/>
        <v>1</v>
      </c>
      <c r="H358" s="3182"/>
      <c r="I358" s="2914">
        <f t="shared" si="68"/>
        <v>1</v>
      </c>
      <c r="J358" s="3182"/>
      <c r="K358" s="2914">
        <f t="shared" si="69"/>
        <v>1</v>
      </c>
      <c r="L358" s="3182"/>
      <c r="M358" s="2914">
        <f t="shared" si="70"/>
        <v>1</v>
      </c>
      <c r="N358" s="3182"/>
      <c r="O358" s="2914">
        <f t="shared" si="71"/>
        <v>1</v>
      </c>
      <c r="P358" s="3182"/>
      <c r="Q358" s="2914">
        <f t="shared" si="72"/>
        <v>1</v>
      </c>
      <c r="R358" s="2665">
        <f t="shared" si="73"/>
        <v>0</v>
      </c>
      <c r="S358" s="2790">
        <f t="shared" si="64"/>
        <v>0</v>
      </c>
    </row>
    <row r="359" spans="1:19">
      <c r="A359" s="2916"/>
      <c r="B359" s="3180"/>
      <c r="C359" s="2914">
        <f t="shared" si="65"/>
        <v>1</v>
      </c>
      <c r="D359" s="3182"/>
      <c r="E359" s="2914">
        <f t="shared" si="66"/>
        <v>1</v>
      </c>
      <c r="F359" s="3182"/>
      <c r="G359" s="2914">
        <f t="shared" si="67"/>
        <v>1</v>
      </c>
      <c r="H359" s="3182"/>
      <c r="I359" s="2914">
        <f t="shared" si="68"/>
        <v>1</v>
      </c>
      <c r="J359" s="3182"/>
      <c r="K359" s="2914">
        <f t="shared" si="69"/>
        <v>1</v>
      </c>
      <c r="L359" s="3182"/>
      <c r="M359" s="2914">
        <f t="shared" si="70"/>
        <v>1</v>
      </c>
      <c r="N359" s="3182"/>
      <c r="O359" s="2914">
        <f t="shared" si="71"/>
        <v>1</v>
      </c>
      <c r="P359" s="3182"/>
      <c r="Q359" s="2914">
        <f t="shared" si="72"/>
        <v>1</v>
      </c>
      <c r="R359" s="2665">
        <f t="shared" si="73"/>
        <v>0</v>
      </c>
      <c r="S359" s="2790">
        <f t="shared" si="64"/>
        <v>0</v>
      </c>
    </row>
    <row r="360" spans="1:19">
      <c r="A360" s="2916"/>
      <c r="B360" s="3180"/>
      <c r="C360" s="2914">
        <f t="shared" si="65"/>
        <v>1</v>
      </c>
      <c r="D360" s="3182"/>
      <c r="E360" s="2914">
        <f t="shared" si="66"/>
        <v>1</v>
      </c>
      <c r="F360" s="3182"/>
      <c r="G360" s="2914">
        <f t="shared" si="67"/>
        <v>1</v>
      </c>
      <c r="H360" s="3182"/>
      <c r="I360" s="2914">
        <f t="shared" si="68"/>
        <v>1</v>
      </c>
      <c r="J360" s="3182"/>
      <c r="K360" s="2914">
        <f t="shared" si="69"/>
        <v>1</v>
      </c>
      <c r="L360" s="3182"/>
      <c r="M360" s="2914">
        <f t="shared" si="70"/>
        <v>1</v>
      </c>
      <c r="N360" s="3182"/>
      <c r="O360" s="2914">
        <f t="shared" si="71"/>
        <v>1</v>
      </c>
      <c r="P360" s="3182"/>
      <c r="Q360" s="2914">
        <f t="shared" si="72"/>
        <v>1</v>
      </c>
      <c r="R360" s="2665">
        <f t="shared" si="73"/>
        <v>0</v>
      </c>
      <c r="S360" s="2790">
        <f t="shared" si="64"/>
        <v>0</v>
      </c>
    </row>
    <row r="361" spans="1:19">
      <c r="A361" s="2916"/>
      <c r="B361" s="3180"/>
      <c r="C361" s="2914">
        <f t="shared" si="65"/>
        <v>1</v>
      </c>
      <c r="D361" s="3182"/>
      <c r="E361" s="2914">
        <f t="shared" si="66"/>
        <v>1</v>
      </c>
      <c r="F361" s="3182"/>
      <c r="G361" s="2914">
        <f t="shared" si="67"/>
        <v>1</v>
      </c>
      <c r="H361" s="3182"/>
      <c r="I361" s="2914">
        <f t="shared" si="68"/>
        <v>1</v>
      </c>
      <c r="J361" s="3182"/>
      <c r="K361" s="2914">
        <f t="shared" si="69"/>
        <v>1</v>
      </c>
      <c r="L361" s="3182"/>
      <c r="M361" s="2914">
        <f t="shared" si="70"/>
        <v>1</v>
      </c>
      <c r="N361" s="3182"/>
      <c r="O361" s="2914">
        <f t="shared" si="71"/>
        <v>1</v>
      </c>
      <c r="P361" s="3182"/>
      <c r="Q361" s="2914">
        <f t="shared" si="72"/>
        <v>1</v>
      </c>
      <c r="R361" s="2665">
        <f t="shared" si="73"/>
        <v>0</v>
      </c>
      <c r="S361" s="2790">
        <f t="shared" si="64"/>
        <v>0</v>
      </c>
    </row>
    <row r="362" spans="1:19">
      <c r="A362" s="2916"/>
      <c r="B362" s="3180"/>
      <c r="C362" s="2914">
        <f t="shared" si="65"/>
        <v>1</v>
      </c>
      <c r="D362" s="3182"/>
      <c r="E362" s="2914">
        <f t="shared" si="66"/>
        <v>1</v>
      </c>
      <c r="F362" s="3182"/>
      <c r="G362" s="2914">
        <f t="shared" si="67"/>
        <v>1</v>
      </c>
      <c r="H362" s="3182"/>
      <c r="I362" s="2914">
        <f t="shared" si="68"/>
        <v>1</v>
      </c>
      <c r="J362" s="3182"/>
      <c r="K362" s="2914">
        <f t="shared" si="69"/>
        <v>1</v>
      </c>
      <c r="L362" s="3182"/>
      <c r="M362" s="2914">
        <f t="shared" si="70"/>
        <v>1</v>
      </c>
      <c r="N362" s="3182"/>
      <c r="O362" s="2914">
        <f t="shared" si="71"/>
        <v>1</v>
      </c>
      <c r="P362" s="3182"/>
      <c r="Q362" s="2914">
        <f t="shared" si="72"/>
        <v>1</v>
      </c>
      <c r="R362" s="2665">
        <f t="shared" si="73"/>
        <v>0</v>
      </c>
      <c r="S362" s="2790">
        <f t="shared" si="64"/>
        <v>0</v>
      </c>
    </row>
    <row r="363" spans="1:19">
      <c r="A363" s="2916"/>
      <c r="B363" s="3180"/>
      <c r="C363" s="2914">
        <f t="shared" si="65"/>
        <v>1</v>
      </c>
      <c r="D363" s="3182"/>
      <c r="E363" s="2914">
        <f t="shared" si="66"/>
        <v>1</v>
      </c>
      <c r="F363" s="3182"/>
      <c r="G363" s="2914">
        <f t="shared" si="67"/>
        <v>1</v>
      </c>
      <c r="H363" s="3182"/>
      <c r="I363" s="2914">
        <f t="shared" si="68"/>
        <v>1</v>
      </c>
      <c r="J363" s="3182"/>
      <c r="K363" s="2914">
        <f t="shared" si="69"/>
        <v>1</v>
      </c>
      <c r="L363" s="3182"/>
      <c r="M363" s="2914">
        <f t="shared" si="70"/>
        <v>1</v>
      </c>
      <c r="N363" s="3182"/>
      <c r="O363" s="2914">
        <f t="shared" si="71"/>
        <v>1</v>
      </c>
      <c r="P363" s="3182"/>
      <c r="Q363" s="2914">
        <f t="shared" si="72"/>
        <v>1</v>
      </c>
      <c r="R363" s="2665">
        <f t="shared" si="73"/>
        <v>0</v>
      </c>
      <c r="S363" s="2790">
        <f t="shared" si="64"/>
        <v>0</v>
      </c>
    </row>
    <row r="364" spans="1:19">
      <c r="A364" s="2916"/>
      <c r="B364" s="3180"/>
      <c r="C364" s="2914">
        <f t="shared" si="65"/>
        <v>1</v>
      </c>
      <c r="D364" s="3182"/>
      <c r="E364" s="2914">
        <f t="shared" si="66"/>
        <v>1</v>
      </c>
      <c r="F364" s="3182"/>
      <c r="G364" s="2914">
        <f t="shared" si="67"/>
        <v>1</v>
      </c>
      <c r="H364" s="3182"/>
      <c r="I364" s="2914">
        <f t="shared" si="68"/>
        <v>1</v>
      </c>
      <c r="J364" s="3182"/>
      <c r="K364" s="2914">
        <f t="shared" si="69"/>
        <v>1</v>
      </c>
      <c r="L364" s="3182"/>
      <c r="M364" s="2914">
        <f t="shared" si="70"/>
        <v>1</v>
      </c>
      <c r="N364" s="3182"/>
      <c r="O364" s="2914">
        <f t="shared" si="71"/>
        <v>1</v>
      </c>
      <c r="P364" s="3182"/>
      <c r="Q364" s="2914">
        <f t="shared" si="72"/>
        <v>1</v>
      </c>
      <c r="R364" s="2665">
        <f t="shared" si="73"/>
        <v>0</v>
      </c>
      <c r="S364" s="2790">
        <f t="shared" si="64"/>
        <v>0</v>
      </c>
    </row>
    <row r="365" spans="1:19">
      <c r="A365" s="2916"/>
      <c r="B365" s="3180"/>
      <c r="C365" s="2914">
        <f t="shared" si="65"/>
        <v>1</v>
      </c>
      <c r="D365" s="3182"/>
      <c r="E365" s="2914">
        <f t="shared" si="66"/>
        <v>1</v>
      </c>
      <c r="F365" s="3182"/>
      <c r="G365" s="2914">
        <f t="shared" si="67"/>
        <v>1</v>
      </c>
      <c r="H365" s="3182"/>
      <c r="I365" s="2914">
        <f t="shared" si="68"/>
        <v>1</v>
      </c>
      <c r="J365" s="3182"/>
      <c r="K365" s="2914">
        <f t="shared" si="69"/>
        <v>1</v>
      </c>
      <c r="L365" s="3182"/>
      <c r="M365" s="2914">
        <f t="shared" si="70"/>
        <v>1</v>
      </c>
      <c r="N365" s="3182"/>
      <c r="O365" s="2914">
        <f t="shared" si="71"/>
        <v>1</v>
      </c>
      <c r="P365" s="3182"/>
      <c r="Q365" s="2914">
        <f t="shared" si="72"/>
        <v>1</v>
      </c>
      <c r="R365" s="2665">
        <f t="shared" si="73"/>
        <v>0</v>
      </c>
      <c r="S365" s="2790">
        <f t="shared" si="64"/>
        <v>0</v>
      </c>
    </row>
    <row r="366" spans="1:19">
      <c r="A366" s="2916"/>
      <c r="B366" s="3180"/>
      <c r="C366" s="2914">
        <f t="shared" si="65"/>
        <v>1</v>
      </c>
      <c r="D366" s="3182"/>
      <c r="E366" s="2914">
        <f t="shared" si="66"/>
        <v>1</v>
      </c>
      <c r="F366" s="3182"/>
      <c r="G366" s="2914">
        <f t="shared" si="67"/>
        <v>1</v>
      </c>
      <c r="H366" s="3182"/>
      <c r="I366" s="2914">
        <f t="shared" si="68"/>
        <v>1</v>
      </c>
      <c r="J366" s="3182"/>
      <c r="K366" s="2914">
        <f t="shared" si="69"/>
        <v>1</v>
      </c>
      <c r="L366" s="3182"/>
      <c r="M366" s="2914">
        <f t="shared" si="70"/>
        <v>1</v>
      </c>
      <c r="N366" s="3182"/>
      <c r="O366" s="2914">
        <f t="shared" si="71"/>
        <v>1</v>
      </c>
      <c r="P366" s="3182"/>
      <c r="Q366" s="2914">
        <f t="shared" si="72"/>
        <v>1</v>
      </c>
      <c r="R366" s="2665">
        <f t="shared" si="73"/>
        <v>0</v>
      </c>
      <c r="S366" s="2790">
        <f t="shared" si="64"/>
        <v>0</v>
      </c>
    </row>
    <row r="367" spans="1:19">
      <c r="A367" s="2916"/>
      <c r="B367" s="3180"/>
      <c r="C367" s="2914">
        <f t="shared" si="65"/>
        <v>1</v>
      </c>
      <c r="D367" s="3182"/>
      <c r="E367" s="2914">
        <f t="shared" si="66"/>
        <v>1</v>
      </c>
      <c r="F367" s="3182"/>
      <c r="G367" s="2914">
        <f t="shared" si="67"/>
        <v>1</v>
      </c>
      <c r="H367" s="3182"/>
      <c r="I367" s="2914">
        <f t="shared" si="68"/>
        <v>1</v>
      </c>
      <c r="J367" s="3182"/>
      <c r="K367" s="2914">
        <f t="shared" si="69"/>
        <v>1</v>
      </c>
      <c r="L367" s="3182"/>
      <c r="M367" s="2914">
        <f t="shared" si="70"/>
        <v>1</v>
      </c>
      <c r="N367" s="3182"/>
      <c r="O367" s="2914">
        <f t="shared" si="71"/>
        <v>1</v>
      </c>
      <c r="P367" s="3182"/>
      <c r="Q367" s="2914">
        <f t="shared" si="72"/>
        <v>1</v>
      </c>
      <c r="R367" s="2665">
        <f t="shared" si="73"/>
        <v>0</v>
      </c>
      <c r="S367" s="2790">
        <f t="shared" si="64"/>
        <v>0</v>
      </c>
    </row>
    <row r="368" spans="1:19">
      <c r="A368" s="2916"/>
      <c r="B368" s="3180"/>
      <c r="C368" s="2914">
        <f t="shared" si="65"/>
        <v>1</v>
      </c>
      <c r="D368" s="3182"/>
      <c r="E368" s="2914">
        <f t="shared" si="66"/>
        <v>1</v>
      </c>
      <c r="F368" s="3182"/>
      <c r="G368" s="2914">
        <f t="shared" si="67"/>
        <v>1</v>
      </c>
      <c r="H368" s="3182"/>
      <c r="I368" s="2914">
        <f t="shared" si="68"/>
        <v>1</v>
      </c>
      <c r="J368" s="3182"/>
      <c r="K368" s="2914">
        <f t="shared" si="69"/>
        <v>1</v>
      </c>
      <c r="L368" s="3182"/>
      <c r="M368" s="2914">
        <f t="shared" si="70"/>
        <v>1</v>
      </c>
      <c r="N368" s="3182"/>
      <c r="O368" s="2914">
        <f t="shared" si="71"/>
        <v>1</v>
      </c>
      <c r="P368" s="3182"/>
      <c r="Q368" s="2914">
        <f t="shared" si="72"/>
        <v>1</v>
      </c>
      <c r="R368" s="2665">
        <f t="shared" si="73"/>
        <v>0</v>
      </c>
      <c r="S368" s="2790">
        <f t="shared" si="64"/>
        <v>0</v>
      </c>
    </row>
    <row r="369" spans="1:19">
      <c r="A369" s="2916"/>
      <c r="B369" s="3180"/>
      <c r="C369" s="2914">
        <f t="shared" si="65"/>
        <v>1</v>
      </c>
      <c r="D369" s="3182"/>
      <c r="E369" s="2914">
        <f t="shared" si="66"/>
        <v>1</v>
      </c>
      <c r="F369" s="3182"/>
      <c r="G369" s="2914">
        <f t="shared" si="67"/>
        <v>1</v>
      </c>
      <c r="H369" s="3182"/>
      <c r="I369" s="2914">
        <f t="shared" si="68"/>
        <v>1</v>
      </c>
      <c r="J369" s="3182"/>
      <c r="K369" s="2914">
        <f t="shared" si="69"/>
        <v>1</v>
      </c>
      <c r="L369" s="3182"/>
      <c r="M369" s="2914">
        <f t="shared" si="70"/>
        <v>1</v>
      </c>
      <c r="N369" s="3182"/>
      <c r="O369" s="2914">
        <f t="shared" si="71"/>
        <v>1</v>
      </c>
      <c r="P369" s="3182"/>
      <c r="Q369" s="2914">
        <f t="shared" si="72"/>
        <v>1</v>
      </c>
      <c r="R369" s="2665">
        <f t="shared" si="73"/>
        <v>0</v>
      </c>
      <c r="S369" s="2790">
        <f t="shared" si="64"/>
        <v>0</v>
      </c>
    </row>
    <row r="370" spans="1:19">
      <c r="A370" s="2916"/>
      <c r="B370" s="3180"/>
      <c r="C370" s="2914">
        <f t="shared" si="65"/>
        <v>1</v>
      </c>
      <c r="D370" s="3182"/>
      <c r="E370" s="2914">
        <f t="shared" si="66"/>
        <v>1</v>
      </c>
      <c r="F370" s="3182"/>
      <c r="G370" s="2914">
        <f t="shared" si="67"/>
        <v>1</v>
      </c>
      <c r="H370" s="3182"/>
      <c r="I370" s="2914">
        <f t="shared" si="68"/>
        <v>1</v>
      </c>
      <c r="J370" s="3182"/>
      <c r="K370" s="2914">
        <f t="shared" si="69"/>
        <v>1</v>
      </c>
      <c r="L370" s="3182"/>
      <c r="M370" s="2914">
        <f t="shared" si="70"/>
        <v>1</v>
      </c>
      <c r="N370" s="3182"/>
      <c r="O370" s="2914">
        <f t="shared" si="71"/>
        <v>1</v>
      </c>
      <c r="P370" s="3182"/>
      <c r="Q370" s="2914">
        <f t="shared" si="72"/>
        <v>1</v>
      </c>
      <c r="R370" s="2665">
        <f t="shared" si="73"/>
        <v>0</v>
      </c>
      <c r="S370" s="2790">
        <f t="shared" si="64"/>
        <v>0</v>
      </c>
    </row>
    <row r="371" spans="1:19">
      <c r="A371" s="2916"/>
      <c r="B371" s="3180"/>
      <c r="C371" s="2914">
        <f t="shared" si="65"/>
        <v>1</v>
      </c>
      <c r="D371" s="3182"/>
      <c r="E371" s="2914">
        <f t="shared" si="66"/>
        <v>1</v>
      </c>
      <c r="F371" s="3182"/>
      <c r="G371" s="2914">
        <f t="shared" si="67"/>
        <v>1</v>
      </c>
      <c r="H371" s="3182"/>
      <c r="I371" s="2914">
        <f t="shared" si="68"/>
        <v>1</v>
      </c>
      <c r="J371" s="3182"/>
      <c r="K371" s="2914">
        <f t="shared" si="69"/>
        <v>1</v>
      </c>
      <c r="L371" s="3182"/>
      <c r="M371" s="2914">
        <f t="shared" si="70"/>
        <v>1</v>
      </c>
      <c r="N371" s="3182"/>
      <c r="O371" s="2914">
        <f t="shared" si="71"/>
        <v>1</v>
      </c>
      <c r="P371" s="3182"/>
      <c r="Q371" s="2914">
        <f t="shared" si="72"/>
        <v>1</v>
      </c>
      <c r="R371" s="2665">
        <f t="shared" si="73"/>
        <v>0</v>
      </c>
      <c r="S371" s="2790">
        <f t="shared" si="64"/>
        <v>0</v>
      </c>
    </row>
    <row r="372" spans="1:19">
      <c r="A372" s="2916"/>
      <c r="B372" s="3180"/>
      <c r="C372" s="2914">
        <f t="shared" si="65"/>
        <v>1</v>
      </c>
      <c r="D372" s="3182"/>
      <c r="E372" s="2914">
        <f t="shared" si="66"/>
        <v>1</v>
      </c>
      <c r="F372" s="3182"/>
      <c r="G372" s="2914">
        <f t="shared" si="67"/>
        <v>1</v>
      </c>
      <c r="H372" s="3182"/>
      <c r="I372" s="2914">
        <f t="shared" si="68"/>
        <v>1</v>
      </c>
      <c r="J372" s="3182"/>
      <c r="K372" s="2914">
        <f t="shared" si="69"/>
        <v>1</v>
      </c>
      <c r="L372" s="3182"/>
      <c r="M372" s="2914">
        <f t="shared" si="70"/>
        <v>1</v>
      </c>
      <c r="N372" s="3182"/>
      <c r="O372" s="2914">
        <f t="shared" si="71"/>
        <v>1</v>
      </c>
      <c r="P372" s="3182"/>
      <c r="Q372" s="2914">
        <f t="shared" si="72"/>
        <v>1</v>
      </c>
      <c r="R372" s="2665">
        <f t="shared" si="73"/>
        <v>0</v>
      </c>
      <c r="S372" s="2790">
        <f t="shared" si="64"/>
        <v>0</v>
      </c>
    </row>
    <row r="373" spans="1:19">
      <c r="A373" s="2916"/>
      <c r="B373" s="3180"/>
      <c r="C373" s="2914">
        <f t="shared" si="65"/>
        <v>1</v>
      </c>
      <c r="D373" s="3182"/>
      <c r="E373" s="2914">
        <f t="shared" si="66"/>
        <v>1</v>
      </c>
      <c r="F373" s="3182"/>
      <c r="G373" s="2914">
        <f t="shared" si="67"/>
        <v>1</v>
      </c>
      <c r="H373" s="3182"/>
      <c r="I373" s="2914">
        <f t="shared" si="68"/>
        <v>1</v>
      </c>
      <c r="J373" s="3182"/>
      <c r="K373" s="2914">
        <f t="shared" si="69"/>
        <v>1</v>
      </c>
      <c r="L373" s="3182"/>
      <c r="M373" s="2914">
        <f t="shared" si="70"/>
        <v>1</v>
      </c>
      <c r="N373" s="3182"/>
      <c r="O373" s="2914">
        <f t="shared" si="71"/>
        <v>1</v>
      </c>
      <c r="P373" s="3182"/>
      <c r="Q373" s="2914">
        <f t="shared" si="72"/>
        <v>1</v>
      </c>
      <c r="R373" s="2665">
        <f t="shared" si="73"/>
        <v>0</v>
      </c>
      <c r="S373" s="2790">
        <f t="shared" si="64"/>
        <v>0</v>
      </c>
    </row>
    <row r="374" spans="1:19">
      <c r="A374" s="2916"/>
      <c r="B374" s="3180"/>
      <c r="C374" s="2914">
        <f t="shared" si="65"/>
        <v>1</v>
      </c>
      <c r="D374" s="3182"/>
      <c r="E374" s="2914">
        <f t="shared" si="66"/>
        <v>1</v>
      </c>
      <c r="F374" s="3182"/>
      <c r="G374" s="2914">
        <f t="shared" si="67"/>
        <v>1</v>
      </c>
      <c r="H374" s="3182"/>
      <c r="I374" s="2914">
        <f t="shared" si="68"/>
        <v>1</v>
      </c>
      <c r="J374" s="3182"/>
      <c r="K374" s="2914">
        <f t="shared" si="69"/>
        <v>1</v>
      </c>
      <c r="L374" s="3182"/>
      <c r="M374" s="2914">
        <f t="shared" si="70"/>
        <v>1</v>
      </c>
      <c r="N374" s="3182"/>
      <c r="O374" s="2914">
        <f t="shared" si="71"/>
        <v>1</v>
      </c>
      <c r="P374" s="3182"/>
      <c r="Q374" s="2914">
        <f t="shared" si="72"/>
        <v>1</v>
      </c>
      <c r="R374" s="2665">
        <f t="shared" si="73"/>
        <v>0</v>
      </c>
      <c r="S374" s="2790">
        <f t="shared" si="64"/>
        <v>0</v>
      </c>
    </row>
    <row r="375" spans="1:19">
      <c r="A375" s="2916"/>
      <c r="B375" s="3180"/>
      <c r="C375" s="2914">
        <f t="shared" si="65"/>
        <v>1</v>
      </c>
      <c r="D375" s="3182"/>
      <c r="E375" s="2914">
        <f t="shared" si="66"/>
        <v>1</v>
      </c>
      <c r="F375" s="3182"/>
      <c r="G375" s="2914">
        <f t="shared" si="67"/>
        <v>1</v>
      </c>
      <c r="H375" s="3182"/>
      <c r="I375" s="2914">
        <f t="shared" si="68"/>
        <v>1</v>
      </c>
      <c r="J375" s="3182"/>
      <c r="K375" s="2914">
        <f t="shared" si="69"/>
        <v>1</v>
      </c>
      <c r="L375" s="3182"/>
      <c r="M375" s="2914">
        <f t="shared" si="70"/>
        <v>1</v>
      </c>
      <c r="N375" s="3182"/>
      <c r="O375" s="2914">
        <f t="shared" si="71"/>
        <v>1</v>
      </c>
      <c r="P375" s="3182"/>
      <c r="Q375" s="2914">
        <f t="shared" si="72"/>
        <v>1</v>
      </c>
      <c r="R375" s="2665">
        <f t="shared" si="73"/>
        <v>0</v>
      </c>
      <c r="S375" s="2790">
        <f t="shared" si="64"/>
        <v>0</v>
      </c>
    </row>
    <row r="376" spans="1:19">
      <c r="A376" s="2916"/>
      <c r="B376" s="3180"/>
      <c r="C376" s="2914">
        <f t="shared" si="65"/>
        <v>1</v>
      </c>
      <c r="D376" s="3182"/>
      <c r="E376" s="2914">
        <f t="shared" si="66"/>
        <v>1</v>
      </c>
      <c r="F376" s="3182"/>
      <c r="G376" s="2914">
        <f t="shared" si="67"/>
        <v>1</v>
      </c>
      <c r="H376" s="3182"/>
      <c r="I376" s="2914">
        <f t="shared" si="68"/>
        <v>1</v>
      </c>
      <c r="J376" s="3182"/>
      <c r="K376" s="2914">
        <f t="shared" si="69"/>
        <v>1</v>
      </c>
      <c r="L376" s="3182"/>
      <c r="M376" s="2914">
        <f t="shared" si="70"/>
        <v>1</v>
      </c>
      <c r="N376" s="3182"/>
      <c r="O376" s="2914">
        <f t="shared" si="71"/>
        <v>1</v>
      </c>
      <c r="P376" s="3182"/>
      <c r="Q376" s="2914">
        <f t="shared" si="72"/>
        <v>1</v>
      </c>
      <c r="R376" s="2665">
        <f t="shared" si="73"/>
        <v>0</v>
      </c>
      <c r="S376" s="2790">
        <f t="shared" si="64"/>
        <v>0</v>
      </c>
    </row>
    <row r="377" spans="1:19">
      <c r="A377" s="2916"/>
      <c r="B377" s="3180"/>
      <c r="C377" s="2914">
        <f t="shared" si="65"/>
        <v>1</v>
      </c>
      <c r="D377" s="3182"/>
      <c r="E377" s="2914">
        <f t="shared" si="66"/>
        <v>1</v>
      </c>
      <c r="F377" s="3182"/>
      <c r="G377" s="2914">
        <f t="shared" si="67"/>
        <v>1</v>
      </c>
      <c r="H377" s="3182"/>
      <c r="I377" s="2914">
        <f t="shared" si="68"/>
        <v>1</v>
      </c>
      <c r="J377" s="3182"/>
      <c r="K377" s="2914">
        <f t="shared" si="69"/>
        <v>1</v>
      </c>
      <c r="L377" s="3182"/>
      <c r="M377" s="2914">
        <f t="shared" si="70"/>
        <v>1</v>
      </c>
      <c r="N377" s="3182"/>
      <c r="O377" s="2914">
        <f t="shared" si="71"/>
        <v>1</v>
      </c>
      <c r="P377" s="3182"/>
      <c r="Q377" s="2914">
        <f t="shared" si="72"/>
        <v>1</v>
      </c>
      <c r="R377" s="2665">
        <f t="shared" si="73"/>
        <v>0</v>
      </c>
      <c r="S377" s="2790">
        <f t="shared" si="64"/>
        <v>0</v>
      </c>
    </row>
    <row r="378" spans="1:19">
      <c r="A378" s="2916"/>
      <c r="B378" s="3180"/>
      <c r="C378" s="2914">
        <f t="shared" si="65"/>
        <v>1</v>
      </c>
      <c r="D378" s="3182"/>
      <c r="E378" s="2914">
        <f t="shared" si="66"/>
        <v>1</v>
      </c>
      <c r="F378" s="3182"/>
      <c r="G378" s="2914">
        <f t="shared" si="67"/>
        <v>1</v>
      </c>
      <c r="H378" s="3182"/>
      <c r="I378" s="2914">
        <f t="shared" si="68"/>
        <v>1</v>
      </c>
      <c r="J378" s="3182"/>
      <c r="K378" s="2914">
        <f t="shared" si="69"/>
        <v>1</v>
      </c>
      <c r="L378" s="3182"/>
      <c r="M378" s="2914">
        <f t="shared" si="70"/>
        <v>1</v>
      </c>
      <c r="N378" s="3182"/>
      <c r="O378" s="2914">
        <f t="shared" si="71"/>
        <v>1</v>
      </c>
      <c r="P378" s="3182"/>
      <c r="Q378" s="2914">
        <f t="shared" si="72"/>
        <v>1</v>
      </c>
      <c r="R378" s="2665">
        <f t="shared" si="73"/>
        <v>0</v>
      </c>
      <c r="S378" s="2790">
        <f t="shared" si="64"/>
        <v>0</v>
      </c>
    </row>
    <row r="379" spans="1:19">
      <c r="A379" s="2916"/>
      <c r="B379" s="3180"/>
      <c r="C379" s="2914">
        <f t="shared" si="65"/>
        <v>1</v>
      </c>
      <c r="D379" s="3182"/>
      <c r="E379" s="2914">
        <f t="shared" si="66"/>
        <v>1</v>
      </c>
      <c r="F379" s="3182"/>
      <c r="G379" s="2914">
        <f t="shared" si="67"/>
        <v>1</v>
      </c>
      <c r="H379" s="3182"/>
      <c r="I379" s="2914">
        <f t="shared" si="68"/>
        <v>1</v>
      </c>
      <c r="J379" s="3182"/>
      <c r="K379" s="2914">
        <f t="shared" si="69"/>
        <v>1</v>
      </c>
      <c r="L379" s="3182"/>
      <c r="M379" s="2914">
        <f t="shared" si="70"/>
        <v>1</v>
      </c>
      <c r="N379" s="3182"/>
      <c r="O379" s="2914">
        <f t="shared" si="71"/>
        <v>1</v>
      </c>
      <c r="P379" s="3182"/>
      <c r="Q379" s="2914">
        <f t="shared" si="72"/>
        <v>1</v>
      </c>
      <c r="R379" s="2665">
        <f t="shared" si="73"/>
        <v>0</v>
      </c>
      <c r="S379" s="2790">
        <f t="shared" si="64"/>
        <v>0</v>
      </c>
    </row>
    <row r="380" spans="1:19">
      <c r="A380" s="2916"/>
      <c r="B380" s="3180"/>
      <c r="C380" s="2914">
        <f t="shared" si="65"/>
        <v>1</v>
      </c>
      <c r="D380" s="3182"/>
      <c r="E380" s="2914">
        <f t="shared" si="66"/>
        <v>1</v>
      </c>
      <c r="F380" s="3182"/>
      <c r="G380" s="2914">
        <f t="shared" si="67"/>
        <v>1</v>
      </c>
      <c r="H380" s="3182"/>
      <c r="I380" s="2914">
        <f t="shared" si="68"/>
        <v>1</v>
      </c>
      <c r="J380" s="3182"/>
      <c r="K380" s="2914">
        <f t="shared" si="69"/>
        <v>1</v>
      </c>
      <c r="L380" s="3182"/>
      <c r="M380" s="2914">
        <f t="shared" si="70"/>
        <v>1</v>
      </c>
      <c r="N380" s="3182"/>
      <c r="O380" s="2914">
        <f t="shared" si="71"/>
        <v>1</v>
      </c>
      <c r="P380" s="3182"/>
      <c r="Q380" s="2914">
        <f t="shared" si="72"/>
        <v>1</v>
      </c>
      <c r="R380" s="2665">
        <f t="shared" si="73"/>
        <v>0</v>
      </c>
      <c r="S380" s="2790">
        <f t="shared" si="64"/>
        <v>0</v>
      </c>
    </row>
    <row r="381" spans="1:19">
      <c r="A381" s="2916"/>
      <c r="B381" s="3180"/>
      <c r="C381" s="2914">
        <f t="shared" si="65"/>
        <v>1</v>
      </c>
      <c r="D381" s="3182"/>
      <c r="E381" s="2914">
        <f t="shared" si="66"/>
        <v>1</v>
      </c>
      <c r="F381" s="3182"/>
      <c r="G381" s="2914">
        <f t="shared" si="67"/>
        <v>1</v>
      </c>
      <c r="H381" s="3182"/>
      <c r="I381" s="2914">
        <f t="shared" si="68"/>
        <v>1</v>
      </c>
      <c r="J381" s="3182"/>
      <c r="K381" s="2914">
        <f t="shared" si="69"/>
        <v>1</v>
      </c>
      <c r="L381" s="3182"/>
      <c r="M381" s="2914">
        <f t="shared" si="70"/>
        <v>1</v>
      </c>
      <c r="N381" s="3182"/>
      <c r="O381" s="2914">
        <f t="shared" si="71"/>
        <v>1</v>
      </c>
      <c r="P381" s="3182"/>
      <c r="Q381" s="2914">
        <f t="shared" si="72"/>
        <v>1</v>
      </c>
      <c r="R381" s="2665">
        <f t="shared" si="73"/>
        <v>0</v>
      </c>
      <c r="S381" s="2790">
        <f t="shared" si="64"/>
        <v>0</v>
      </c>
    </row>
    <row r="382" spans="1:19">
      <c r="A382" s="2916"/>
      <c r="B382" s="3180"/>
      <c r="C382" s="2914">
        <f t="shared" si="65"/>
        <v>1</v>
      </c>
      <c r="D382" s="3182"/>
      <c r="E382" s="2914">
        <f t="shared" si="66"/>
        <v>1</v>
      </c>
      <c r="F382" s="3182"/>
      <c r="G382" s="2914">
        <f t="shared" si="67"/>
        <v>1</v>
      </c>
      <c r="H382" s="3182"/>
      <c r="I382" s="2914">
        <f t="shared" si="68"/>
        <v>1</v>
      </c>
      <c r="J382" s="3182"/>
      <c r="K382" s="2914">
        <f t="shared" si="69"/>
        <v>1</v>
      </c>
      <c r="L382" s="3182"/>
      <c r="M382" s="2914">
        <f t="shared" si="70"/>
        <v>1</v>
      </c>
      <c r="N382" s="3182"/>
      <c r="O382" s="2914">
        <f t="shared" si="71"/>
        <v>1</v>
      </c>
      <c r="P382" s="3182"/>
      <c r="Q382" s="2914">
        <f t="shared" si="72"/>
        <v>1</v>
      </c>
      <c r="R382" s="2665">
        <f t="shared" si="73"/>
        <v>0</v>
      </c>
      <c r="S382" s="2790">
        <f t="shared" si="64"/>
        <v>0</v>
      </c>
    </row>
    <row r="383" spans="1:19">
      <c r="A383" s="2916"/>
      <c r="B383" s="3180"/>
      <c r="C383" s="2914">
        <f t="shared" si="65"/>
        <v>1</v>
      </c>
      <c r="D383" s="3182"/>
      <c r="E383" s="2914">
        <f t="shared" si="66"/>
        <v>1</v>
      </c>
      <c r="F383" s="3182"/>
      <c r="G383" s="2914">
        <f t="shared" si="67"/>
        <v>1</v>
      </c>
      <c r="H383" s="3182"/>
      <c r="I383" s="2914">
        <f t="shared" si="68"/>
        <v>1</v>
      </c>
      <c r="J383" s="3182"/>
      <c r="K383" s="2914">
        <f t="shared" si="69"/>
        <v>1</v>
      </c>
      <c r="L383" s="3182"/>
      <c r="M383" s="2914">
        <f t="shared" si="70"/>
        <v>1</v>
      </c>
      <c r="N383" s="3182"/>
      <c r="O383" s="2914">
        <f t="shared" si="71"/>
        <v>1</v>
      </c>
      <c r="P383" s="3182"/>
      <c r="Q383" s="2914">
        <f t="shared" si="72"/>
        <v>1</v>
      </c>
      <c r="R383" s="2665">
        <f t="shared" si="73"/>
        <v>0</v>
      </c>
      <c r="S383" s="2790">
        <f t="shared" si="64"/>
        <v>0</v>
      </c>
    </row>
    <row r="384" spans="1:19">
      <c r="A384" s="2916"/>
      <c r="B384" s="3180"/>
      <c r="C384" s="2914">
        <f t="shared" si="65"/>
        <v>1</v>
      </c>
      <c r="D384" s="3182"/>
      <c r="E384" s="2914">
        <f t="shared" si="66"/>
        <v>1</v>
      </c>
      <c r="F384" s="3182"/>
      <c r="G384" s="2914">
        <f t="shared" si="67"/>
        <v>1</v>
      </c>
      <c r="H384" s="3182"/>
      <c r="I384" s="2914">
        <f t="shared" si="68"/>
        <v>1</v>
      </c>
      <c r="J384" s="3182"/>
      <c r="K384" s="2914">
        <f t="shared" si="69"/>
        <v>1</v>
      </c>
      <c r="L384" s="3182"/>
      <c r="M384" s="2914">
        <f t="shared" si="70"/>
        <v>1</v>
      </c>
      <c r="N384" s="3182"/>
      <c r="O384" s="2914">
        <f t="shared" si="71"/>
        <v>1</v>
      </c>
      <c r="P384" s="3182"/>
      <c r="Q384" s="2914">
        <f t="shared" si="72"/>
        <v>1</v>
      </c>
      <c r="R384" s="2665">
        <f t="shared" si="73"/>
        <v>0</v>
      </c>
      <c r="S384" s="2790">
        <f t="shared" si="64"/>
        <v>0</v>
      </c>
    </row>
    <row r="385" spans="1:19">
      <c r="A385" s="2916"/>
      <c r="B385" s="3180"/>
      <c r="C385" s="2914">
        <f t="shared" si="65"/>
        <v>1</v>
      </c>
      <c r="D385" s="3182"/>
      <c r="E385" s="2914">
        <f t="shared" si="66"/>
        <v>1</v>
      </c>
      <c r="F385" s="3182"/>
      <c r="G385" s="2914">
        <f t="shared" si="67"/>
        <v>1</v>
      </c>
      <c r="H385" s="3182"/>
      <c r="I385" s="2914">
        <f t="shared" si="68"/>
        <v>1</v>
      </c>
      <c r="J385" s="3182"/>
      <c r="K385" s="2914">
        <f t="shared" si="69"/>
        <v>1</v>
      </c>
      <c r="L385" s="3182"/>
      <c r="M385" s="2914">
        <f t="shared" si="70"/>
        <v>1</v>
      </c>
      <c r="N385" s="3182"/>
      <c r="O385" s="2914">
        <f t="shared" si="71"/>
        <v>1</v>
      </c>
      <c r="P385" s="3182"/>
      <c r="Q385" s="2914">
        <f t="shared" si="72"/>
        <v>1</v>
      </c>
      <c r="R385" s="2665">
        <f t="shared" si="73"/>
        <v>0</v>
      </c>
      <c r="S385" s="2790">
        <f t="shared" ref="S385:S422" si="74">ROUND(R385*B385/10000,0)</f>
        <v>0</v>
      </c>
    </row>
    <row r="386" spans="1:19">
      <c r="A386" s="2916"/>
      <c r="B386" s="3180"/>
      <c r="C386" s="2914">
        <f t="shared" si="65"/>
        <v>1</v>
      </c>
      <c r="D386" s="3182"/>
      <c r="E386" s="2914">
        <f t="shared" si="66"/>
        <v>1</v>
      </c>
      <c r="F386" s="3182"/>
      <c r="G386" s="2914">
        <f t="shared" si="67"/>
        <v>1</v>
      </c>
      <c r="H386" s="3182"/>
      <c r="I386" s="2914">
        <f t="shared" si="68"/>
        <v>1</v>
      </c>
      <c r="J386" s="3182"/>
      <c r="K386" s="2914">
        <f t="shared" si="69"/>
        <v>1</v>
      </c>
      <c r="L386" s="3182"/>
      <c r="M386" s="2914">
        <f t="shared" si="70"/>
        <v>1</v>
      </c>
      <c r="N386" s="3182"/>
      <c r="O386" s="2914">
        <f t="shared" si="71"/>
        <v>1</v>
      </c>
      <c r="P386" s="3182"/>
      <c r="Q386" s="2914">
        <f t="shared" si="72"/>
        <v>1</v>
      </c>
      <c r="R386" s="2665">
        <f t="shared" si="73"/>
        <v>0</v>
      </c>
      <c r="S386" s="2790">
        <f t="shared" si="74"/>
        <v>0</v>
      </c>
    </row>
    <row r="387" spans="1:19">
      <c r="A387" s="2916"/>
      <c r="B387" s="3180"/>
      <c r="C387" s="2914">
        <f t="shared" si="65"/>
        <v>1</v>
      </c>
      <c r="D387" s="3182"/>
      <c r="E387" s="2914">
        <f t="shared" si="66"/>
        <v>1</v>
      </c>
      <c r="F387" s="3182"/>
      <c r="G387" s="2914">
        <f t="shared" si="67"/>
        <v>1</v>
      </c>
      <c r="H387" s="3182"/>
      <c r="I387" s="2914">
        <f t="shared" si="68"/>
        <v>1</v>
      </c>
      <c r="J387" s="3182"/>
      <c r="K387" s="2914">
        <f t="shared" si="69"/>
        <v>1</v>
      </c>
      <c r="L387" s="3182"/>
      <c r="M387" s="2914">
        <f t="shared" si="70"/>
        <v>1</v>
      </c>
      <c r="N387" s="3182"/>
      <c r="O387" s="2914">
        <f t="shared" si="71"/>
        <v>1</v>
      </c>
      <c r="P387" s="3182"/>
      <c r="Q387" s="2914">
        <f t="shared" si="72"/>
        <v>1</v>
      </c>
      <c r="R387" s="2665">
        <f t="shared" si="73"/>
        <v>0</v>
      </c>
      <c r="S387" s="2790">
        <f t="shared" si="74"/>
        <v>0</v>
      </c>
    </row>
    <row r="388" spans="1:19">
      <c r="A388" s="2916"/>
      <c r="B388" s="3180"/>
      <c r="C388" s="2914">
        <f t="shared" si="65"/>
        <v>1</v>
      </c>
      <c r="D388" s="3182"/>
      <c r="E388" s="2914">
        <f t="shared" si="66"/>
        <v>1</v>
      </c>
      <c r="F388" s="3182"/>
      <c r="G388" s="2914">
        <f t="shared" si="67"/>
        <v>1</v>
      </c>
      <c r="H388" s="3182"/>
      <c r="I388" s="2914">
        <f t="shared" si="68"/>
        <v>1</v>
      </c>
      <c r="J388" s="3182"/>
      <c r="K388" s="2914">
        <f t="shared" si="69"/>
        <v>1</v>
      </c>
      <c r="L388" s="3182"/>
      <c r="M388" s="2914">
        <f t="shared" si="70"/>
        <v>1</v>
      </c>
      <c r="N388" s="3182"/>
      <c r="O388" s="2914">
        <f t="shared" si="71"/>
        <v>1</v>
      </c>
      <c r="P388" s="3182"/>
      <c r="Q388" s="2914">
        <f t="shared" si="72"/>
        <v>1</v>
      </c>
      <c r="R388" s="2665">
        <f t="shared" si="73"/>
        <v>0</v>
      </c>
      <c r="S388" s="2790">
        <f t="shared" si="74"/>
        <v>0</v>
      </c>
    </row>
    <row r="389" spans="1:19">
      <c r="A389" s="2916"/>
      <c r="B389" s="3180"/>
      <c r="C389" s="2914">
        <f t="shared" si="65"/>
        <v>1</v>
      </c>
      <c r="D389" s="3182"/>
      <c r="E389" s="2914">
        <f t="shared" si="66"/>
        <v>1</v>
      </c>
      <c r="F389" s="3182"/>
      <c r="G389" s="2914">
        <f t="shared" si="67"/>
        <v>1</v>
      </c>
      <c r="H389" s="3182"/>
      <c r="I389" s="2914">
        <f t="shared" si="68"/>
        <v>1</v>
      </c>
      <c r="J389" s="3182"/>
      <c r="K389" s="2914">
        <f t="shared" si="69"/>
        <v>1</v>
      </c>
      <c r="L389" s="3182"/>
      <c r="M389" s="2914">
        <f t="shared" si="70"/>
        <v>1</v>
      </c>
      <c r="N389" s="3182"/>
      <c r="O389" s="2914">
        <f t="shared" si="71"/>
        <v>1</v>
      </c>
      <c r="P389" s="3182"/>
      <c r="Q389" s="2914">
        <f t="shared" si="72"/>
        <v>1</v>
      </c>
      <c r="R389" s="2665">
        <f t="shared" si="73"/>
        <v>0</v>
      </c>
      <c r="S389" s="2790">
        <f t="shared" si="74"/>
        <v>0</v>
      </c>
    </row>
    <row r="390" spans="1:19">
      <c r="A390" s="2916"/>
      <c r="B390" s="3180"/>
      <c r="C390" s="2914">
        <f t="shared" si="65"/>
        <v>1</v>
      </c>
      <c r="D390" s="3182"/>
      <c r="E390" s="2914">
        <f t="shared" si="66"/>
        <v>1</v>
      </c>
      <c r="F390" s="3182"/>
      <c r="G390" s="2914">
        <f t="shared" si="67"/>
        <v>1</v>
      </c>
      <c r="H390" s="3182"/>
      <c r="I390" s="2914">
        <f t="shared" si="68"/>
        <v>1</v>
      </c>
      <c r="J390" s="3182"/>
      <c r="K390" s="2914">
        <f t="shared" si="69"/>
        <v>1</v>
      </c>
      <c r="L390" s="3182"/>
      <c r="M390" s="2914">
        <f t="shared" si="70"/>
        <v>1</v>
      </c>
      <c r="N390" s="3182"/>
      <c r="O390" s="2914">
        <f t="shared" si="71"/>
        <v>1</v>
      </c>
      <c r="P390" s="3182"/>
      <c r="Q390" s="2914">
        <f t="shared" si="72"/>
        <v>1</v>
      </c>
      <c r="R390" s="2665">
        <f t="shared" si="73"/>
        <v>0</v>
      </c>
      <c r="S390" s="2790">
        <f t="shared" si="74"/>
        <v>0</v>
      </c>
    </row>
    <row r="391" spans="1:19">
      <c r="A391" s="2916"/>
      <c r="B391" s="3180"/>
      <c r="C391" s="2914">
        <f t="shared" si="65"/>
        <v>1</v>
      </c>
      <c r="D391" s="3182"/>
      <c r="E391" s="2914">
        <f t="shared" si="66"/>
        <v>1</v>
      </c>
      <c r="F391" s="3182"/>
      <c r="G391" s="2914">
        <f t="shared" si="67"/>
        <v>1</v>
      </c>
      <c r="H391" s="3182"/>
      <c r="I391" s="2914">
        <f t="shared" si="68"/>
        <v>1</v>
      </c>
      <c r="J391" s="3182"/>
      <c r="K391" s="2914">
        <f t="shared" si="69"/>
        <v>1</v>
      </c>
      <c r="L391" s="3182"/>
      <c r="M391" s="2914">
        <f t="shared" si="70"/>
        <v>1</v>
      </c>
      <c r="N391" s="3182"/>
      <c r="O391" s="2914">
        <f t="shared" si="71"/>
        <v>1</v>
      </c>
      <c r="P391" s="3182"/>
      <c r="Q391" s="2914">
        <f t="shared" si="72"/>
        <v>1</v>
      </c>
      <c r="R391" s="2665">
        <f t="shared" si="73"/>
        <v>0</v>
      </c>
      <c r="S391" s="2790">
        <f t="shared" si="74"/>
        <v>0</v>
      </c>
    </row>
    <row r="392" spans="1:19">
      <c r="A392" s="2916"/>
      <c r="B392" s="3180"/>
      <c r="C392" s="2914">
        <f t="shared" si="65"/>
        <v>1</v>
      </c>
      <c r="D392" s="3182"/>
      <c r="E392" s="2914">
        <f t="shared" si="66"/>
        <v>1</v>
      </c>
      <c r="F392" s="3182"/>
      <c r="G392" s="2914">
        <f t="shared" si="67"/>
        <v>1</v>
      </c>
      <c r="H392" s="3182"/>
      <c r="I392" s="2914">
        <f t="shared" si="68"/>
        <v>1</v>
      </c>
      <c r="J392" s="3182"/>
      <c r="K392" s="2914">
        <f t="shared" si="69"/>
        <v>1</v>
      </c>
      <c r="L392" s="3182"/>
      <c r="M392" s="2914">
        <f t="shared" si="70"/>
        <v>1</v>
      </c>
      <c r="N392" s="3182"/>
      <c r="O392" s="2914">
        <f t="shared" si="71"/>
        <v>1</v>
      </c>
      <c r="P392" s="3182"/>
      <c r="Q392" s="2914">
        <f t="shared" si="72"/>
        <v>1</v>
      </c>
      <c r="R392" s="2665">
        <f t="shared" si="73"/>
        <v>0</v>
      </c>
      <c r="S392" s="2790">
        <f t="shared" si="74"/>
        <v>0</v>
      </c>
    </row>
    <row r="393" spans="1:19">
      <c r="A393" s="2916"/>
      <c r="B393" s="3180"/>
      <c r="C393" s="2914">
        <f t="shared" si="65"/>
        <v>1</v>
      </c>
      <c r="D393" s="3182"/>
      <c r="E393" s="2914">
        <f t="shared" si="66"/>
        <v>1</v>
      </c>
      <c r="F393" s="3182"/>
      <c r="G393" s="2914">
        <f t="shared" si="67"/>
        <v>1</v>
      </c>
      <c r="H393" s="3182"/>
      <c r="I393" s="2914">
        <f t="shared" si="68"/>
        <v>1</v>
      </c>
      <c r="J393" s="3182"/>
      <c r="K393" s="2914">
        <f t="shared" si="69"/>
        <v>1</v>
      </c>
      <c r="L393" s="3182"/>
      <c r="M393" s="2914">
        <f t="shared" si="70"/>
        <v>1</v>
      </c>
      <c r="N393" s="3182"/>
      <c r="O393" s="2914">
        <f t="shared" si="71"/>
        <v>1</v>
      </c>
      <c r="P393" s="3182"/>
      <c r="Q393" s="2914">
        <f t="shared" si="72"/>
        <v>1</v>
      </c>
      <c r="R393" s="2665">
        <f t="shared" si="73"/>
        <v>0</v>
      </c>
      <c r="S393" s="2790">
        <f t="shared" si="74"/>
        <v>0</v>
      </c>
    </row>
    <row r="394" spans="1:19">
      <c r="A394" s="2916"/>
      <c r="B394" s="3180"/>
      <c r="C394" s="2914">
        <f t="shared" si="65"/>
        <v>1</v>
      </c>
      <c r="D394" s="3182"/>
      <c r="E394" s="2914">
        <f t="shared" si="66"/>
        <v>1</v>
      </c>
      <c r="F394" s="3182"/>
      <c r="G394" s="2914">
        <f t="shared" si="67"/>
        <v>1</v>
      </c>
      <c r="H394" s="3182"/>
      <c r="I394" s="2914">
        <f t="shared" si="68"/>
        <v>1</v>
      </c>
      <c r="J394" s="3182"/>
      <c r="K394" s="2914">
        <f t="shared" si="69"/>
        <v>1</v>
      </c>
      <c r="L394" s="3182"/>
      <c r="M394" s="2914">
        <f t="shared" si="70"/>
        <v>1</v>
      </c>
      <c r="N394" s="3182"/>
      <c r="O394" s="2914">
        <f t="shared" si="71"/>
        <v>1</v>
      </c>
      <c r="P394" s="3182"/>
      <c r="Q394" s="2914">
        <f t="shared" si="72"/>
        <v>1</v>
      </c>
      <c r="R394" s="2665">
        <f t="shared" si="73"/>
        <v>0</v>
      </c>
      <c r="S394" s="2790">
        <f t="shared" si="74"/>
        <v>0</v>
      </c>
    </row>
    <row r="395" spans="1:19">
      <c r="A395" s="2916"/>
      <c r="B395" s="3180"/>
      <c r="C395" s="2914">
        <f t="shared" si="65"/>
        <v>1</v>
      </c>
      <c r="D395" s="3182"/>
      <c r="E395" s="2914">
        <f t="shared" si="66"/>
        <v>1</v>
      </c>
      <c r="F395" s="3182"/>
      <c r="G395" s="2914">
        <f t="shared" si="67"/>
        <v>1</v>
      </c>
      <c r="H395" s="3182"/>
      <c r="I395" s="2914">
        <f t="shared" si="68"/>
        <v>1</v>
      </c>
      <c r="J395" s="3182"/>
      <c r="K395" s="2914">
        <f t="shared" si="69"/>
        <v>1</v>
      </c>
      <c r="L395" s="3182"/>
      <c r="M395" s="2914">
        <f t="shared" si="70"/>
        <v>1</v>
      </c>
      <c r="N395" s="3182"/>
      <c r="O395" s="2914">
        <f t="shared" si="71"/>
        <v>1</v>
      </c>
      <c r="P395" s="3182"/>
      <c r="Q395" s="2914">
        <f t="shared" si="72"/>
        <v>1</v>
      </c>
      <c r="R395" s="2665">
        <f t="shared" si="73"/>
        <v>0</v>
      </c>
      <c r="S395" s="2790">
        <f t="shared" si="74"/>
        <v>0</v>
      </c>
    </row>
    <row r="396" spans="1:19">
      <c r="A396" s="2916"/>
      <c r="B396" s="3180"/>
      <c r="C396" s="2914">
        <f t="shared" si="65"/>
        <v>1</v>
      </c>
      <c r="D396" s="3182"/>
      <c r="E396" s="2914">
        <f t="shared" si="66"/>
        <v>1</v>
      </c>
      <c r="F396" s="3182"/>
      <c r="G396" s="2914">
        <f t="shared" si="67"/>
        <v>1</v>
      </c>
      <c r="H396" s="3182"/>
      <c r="I396" s="2914">
        <f t="shared" si="68"/>
        <v>1</v>
      </c>
      <c r="J396" s="3182"/>
      <c r="K396" s="2914">
        <f t="shared" si="69"/>
        <v>1</v>
      </c>
      <c r="L396" s="3182"/>
      <c r="M396" s="2914">
        <f t="shared" si="70"/>
        <v>1</v>
      </c>
      <c r="N396" s="3182"/>
      <c r="O396" s="2914">
        <f t="shared" si="71"/>
        <v>1</v>
      </c>
      <c r="P396" s="3182"/>
      <c r="Q396" s="2914">
        <f t="shared" si="72"/>
        <v>1</v>
      </c>
      <c r="R396" s="2665">
        <f t="shared" si="73"/>
        <v>0</v>
      </c>
      <c r="S396" s="2790">
        <f t="shared" si="74"/>
        <v>0</v>
      </c>
    </row>
    <row r="397" spans="1:19">
      <c r="A397" s="2916"/>
      <c r="B397" s="3180"/>
      <c r="C397" s="2914">
        <f t="shared" si="65"/>
        <v>1</v>
      </c>
      <c r="D397" s="3182"/>
      <c r="E397" s="2914">
        <f t="shared" si="66"/>
        <v>1</v>
      </c>
      <c r="F397" s="3182"/>
      <c r="G397" s="2914">
        <f t="shared" si="67"/>
        <v>1</v>
      </c>
      <c r="H397" s="3182"/>
      <c r="I397" s="2914">
        <f t="shared" si="68"/>
        <v>1</v>
      </c>
      <c r="J397" s="3182"/>
      <c r="K397" s="2914">
        <f t="shared" si="69"/>
        <v>1</v>
      </c>
      <c r="L397" s="3182"/>
      <c r="M397" s="2914">
        <f t="shared" si="70"/>
        <v>1</v>
      </c>
      <c r="N397" s="3182"/>
      <c r="O397" s="2914">
        <f t="shared" si="71"/>
        <v>1</v>
      </c>
      <c r="P397" s="3182"/>
      <c r="Q397" s="2914">
        <f t="shared" si="72"/>
        <v>1</v>
      </c>
      <c r="R397" s="2665">
        <f t="shared" si="73"/>
        <v>0</v>
      </c>
      <c r="S397" s="2790">
        <f t="shared" si="74"/>
        <v>0</v>
      </c>
    </row>
    <row r="398" spans="1:19">
      <c r="A398" s="2916"/>
      <c r="B398" s="3180"/>
      <c r="C398" s="2914">
        <f t="shared" si="65"/>
        <v>1</v>
      </c>
      <c r="D398" s="3182"/>
      <c r="E398" s="2914">
        <f t="shared" si="66"/>
        <v>1</v>
      </c>
      <c r="F398" s="3182"/>
      <c r="G398" s="2914">
        <f t="shared" si="67"/>
        <v>1</v>
      </c>
      <c r="H398" s="3182"/>
      <c r="I398" s="2914">
        <f t="shared" si="68"/>
        <v>1</v>
      </c>
      <c r="J398" s="3182"/>
      <c r="K398" s="2914">
        <f t="shared" si="69"/>
        <v>1</v>
      </c>
      <c r="L398" s="3182"/>
      <c r="M398" s="2914">
        <f t="shared" si="70"/>
        <v>1</v>
      </c>
      <c r="N398" s="3182"/>
      <c r="O398" s="2914">
        <f t="shared" si="71"/>
        <v>1</v>
      </c>
      <c r="P398" s="3182"/>
      <c r="Q398" s="2914">
        <f t="shared" si="72"/>
        <v>1</v>
      </c>
      <c r="R398" s="2665">
        <f t="shared" si="73"/>
        <v>0</v>
      </c>
      <c r="S398" s="2790">
        <f t="shared" si="74"/>
        <v>0</v>
      </c>
    </row>
    <row r="399" spans="1:19">
      <c r="A399" s="2916"/>
      <c r="B399" s="3180"/>
      <c r="C399" s="2914">
        <f t="shared" si="65"/>
        <v>1</v>
      </c>
      <c r="D399" s="3182"/>
      <c r="E399" s="2914">
        <f t="shared" si="66"/>
        <v>1</v>
      </c>
      <c r="F399" s="3182"/>
      <c r="G399" s="2914">
        <f t="shared" si="67"/>
        <v>1</v>
      </c>
      <c r="H399" s="3182"/>
      <c r="I399" s="2914">
        <f t="shared" si="68"/>
        <v>1</v>
      </c>
      <c r="J399" s="3182"/>
      <c r="K399" s="2914">
        <f t="shared" si="69"/>
        <v>1</v>
      </c>
      <c r="L399" s="3182"/>
      <c r="M399" s="2914">
        <f t="shared" si="70"/>
        <v>1</v>
      </c>
      <c r="N399" s="3182"/>
      <c r="O399" s="2914">
        <f t="shared" si="71"/>
        <v>1</v>
      </c>
      <c r="P399" s="3182"/>
      <c r="Q399" s="2914">
        <f t="shared" si="72"/>
        <v>1</v>
      </c>
      <c r="R399" s="2665">
        <f t="shared" si="73"/>
        <v>0</v>
      </c>
      <c r="S399" s="2790">
        <f t="shared" si="74"/>
        <v>0</v>
      </c>
    </row>
    <row r="400" spans="1:19">
      <c r="A400" s="2916"/>
      <c r="B400" s="3180"/>
      <c r="C400" s="2914">
        <f t="shared" si="65"/>
        <v>1</v>
      </c>
      <c r="D400" s="3182"/>
      <c r="E400" s="2914">
        <f t="shared" si="66"/>
        <v>1</v>
      </c>
      <c r="F400" s="3182"/>
      <c r="G400" s="2914">
        <f t="shared" si="67"/>
        <v>1</v>
      </c>
      <c r="H400" s="3182"/>
      <c r="I400" s="2914">
        <f t="shared" si="68"/>
        <v>1</v>
      </c>
      <c r="J400" s="3182"/>
      <c r="K400" s="2914">
        <f t="shared" si="69"/>
        <v>1</v>
      </c>
      <c r="L400" s="3182"/>
      <c r="M400" s="2914">
        <f t="shared" si="70"/>
        <v>1</v>
      </c>
      <c r="N400" s="3182"/>
      <c r="O400" s="2914">
        <f t="shared" si="71"/>
        <v>1</v>
      </c>
      <c r="P400" s="3182"/>
      <c r="Q400" s="2914">
        <f t="shared" si="72"/>
        <v>1</v>
      </c>
      <c r="R400" s="2665">
        <f t="shared" si="73"/>
        <v>0</v>
      </c>
      <c r="S400" s="2790">
        <f t="shared" si="74"/>
        <v>0</v>
      </c>
    </row>
    <row r="401" spans="1:19">
      <c r="A401" s="2916"/>
      <c r="B401" s="3180"/>
      <c r="C401" s="2914">
        <f t="shared" si="65"/>
        <v>1</v>
      </c>
      <c r="D401" s="3182"/>
      <c r="E401" s="2914">
        <f t="shared" si="66"/>
        <v>1</v>
      </c>
      <c r="F401" s="3182"/>
      <c r="G401" s="2914">
        <f t="shared" si="67"/>
        <v>1</v>
      </c>
      <c r="H401" s="3182"/>
      <c r="I401" s="2914">
        <f t="shared" si="68"/>
        <v>1</v>
      </c>
      <c r="J401" s="3182"/>
      <c r="K401" s="2914">
        <f t="shared" si="69"/>
        <v>1</v>
      </c>
      <c r="L401" s="3182"/>
      <c r="M401" s="2914">
        <f t="shared" si="70"/>
        <v>1</v>
      </c>
      <c r="N401" s="3182"/>
      <c r="O401" s="2914">
        <f t="shared" si="71"/>
        <v>1</v>
      </c>
      <c r="P401" s="3182"/>
      <c r="Q401" s="2914">
        <f t="shared" si="72"/>
        <v>1</v>
      </c>
      <c r="R401" s="2665">
        <f t="shared" si="73"/>
        <v>0</v>
      </c>
      <c r="S401" s="2790">
        <f t="shared" si="74"/>
        <v>0</v>
      </c>
    </row>
    <row r="402" spans="1:19">
      <c r="A402" s="2916"/>
      <c r="B402" s="3180"/>
      <c r="C402" s="2914">
        <f t="shared" si="65"/>
        <v>1</v>
      </c>
      <c r="D402" s="3182"/>
      <c r="E402" s="2914">
        <f t="shared" si="66"/>
        <v>1</v>
      </c>
      <c r="F402" s="3182"/>
      <c r="G402" s="2914">
        <f t="shared" si="67"/>
        <v>1</v>
      </c>
      <c r="H402" s="3182"/>
      <c r="I402" s="2914">
        <f t="shared" si="68"/>
        <v>1</v>
      </c>
      <c r="J402" s="3182"/>
      <c r="K402" s="2914">
        <f t="shared" si="69"/>
        <v>1</v>
      </c>
      <c r="L402" s="3182"/>
      <c r="M402" s="2914">
        <f t="shared" si="70"/>
        <v>1</v>
      </c>
      <c r="N402" s="3182"/>
      <c r="O402" s="2914">
        <f t="shared" si="71"/>
        <v>1</v>
      </c>
      <c r="P402" s="3182"/>
      <c r="Q402" s="2914">
        <f t="shared" si="72"/>
        <v>1</v>
      </c>
      <c r="R402" s="2665">
        <f t="shared" si="73"/>
        <v>0</v>
      </c>
      <c r="S402" s="2790">
        <f t="shared" si="74"/>
        <v>0</v>
      </c>
    </row>
    <row r="403" spans="1:19">
      <c r="A403" s="2916"/>
      <c r="B403" s="3180"/>
      <c r="C403" s="2914">
        <f t="shared" si="65"/>
        <v>1</v>
      </c>
      <c r="D403" s="3182"/>
      <c r="E403" s="2914">
        <f t="shared" si="66"/>
        <v>1</v>
      </c>
      <c r="F403" s="3182"/>
      <c r="G403" s="2914">
        <f t="shared" si="67"/>
        <v>1</v>
      </c>
      <c r="H403" s="3182"/>
      <c r="I403" s="2914">
        <f t="shared" si="68"/>
        <v>1</v>
      </c>
      <c r="J403" s="3182"/>
      <c r="K403" s="2914">
        <f t="shared" si="69"/>
        <v>1</v>
      </c>
      <c r="L403" s="3182"/>
      <c r="M403" s="2914">
        <f t="shared" si="70"/>
        <v>1</v>
      </c>
      <c r="N403" s="3182"/>
      <c r="O403" s="2914">
        <f t="shared" si="71"/>
        <v>1</v>
      </c>
      <c r="P403" s="3182"/>
      <c r="Q403" s="2914">
        <f t="shared" si="72"/>
        <v>1</v>
      </c>
      <c r="R403" s="2665">
        <f t="shared" si="73"/>
        <v>0</v>
      </c>
      <c r="S403" s="2790">
        <f t="shared" si="74"/>
        <v>0</v>
      </c>
    </row>
    <row r="404" spans="1:19">
      <c r="A404" s="2916"/>
      <c r="B404" s="3180"/>
      <c r="C404" s="2914">
        <f t="shared" si="65"/>
        <v>1</v>
      </c>
      <c r="D404" s="3182"/>
      <c r="E404" s="2914">
        <f t="shared" si="66"/>
        <v>1</v>
      </c>
      <c r="F404" s="3182"/>
      <c r="G404" s="2914">
        <f t="shared" si="67"/>
        <v>1</v>
      </c>
      <c r="H404" s="3182"/>
      <c r="I404" s="2914">
        <f t="shared" si="68"/>
        <v>1</v>
      </c>
      <c r="J404" s="3182"/>
      <c r="K404" s="2914">
        <f t="shared" si="69"/>
        <v>1</v>
      </c>
      <c r="L404" s="3182"/>
      <c r="M404" s="2914">
        <f t="shared" si="70"/>
        <v>1</v>
      </c>
      <c r="N404" s="3182"/>
      <c r="O404" s="2914">
        <f t="shared" si="71"/>
        <v>1</v>
      </c>
      <c r="P404" s="3182"/>
      <c r="Q404" s="2914">
        <f t="shared" si="72"/>
        <v>1</v>
      </c>
      <c r="R404" s="2665">
        <f t="shared" si="73"/>
        <v>0</v>
      </c>
      <c r="S404" s="2790">
        <f t="shared" si="74"/>
        <v>0</v>
      </c>
    </row>
    <row r="405" spans="1:19">
      <c r="A405" s="2916"/>
      <c r="B405" s="3180"/>
      <c r="C405" s="2914">
        <f t="shared" si="65"/>
        <v>1</v>
      </c>
      <c r="D405" s="3182"/>
      <c r="E405" s="2914">
        <f t="shared" si="66"/>
        <v>1</v>
      </c>
      <c r="F405" s="3182"/>
      <c r="G405" s="2914">
        <f t="shared" si="67"/>
        <v>1</v>
      </c>
      <c r="H405" s="3182"/>
      <c r="I405" s="2914">
        <f t="shared" si="68"/>
        <v>1</v>
      </c>
      <c r="J405" s="3182"/>
      <c r="K405" s="2914">
        <f t="shared" si="69"/>
        <v>1</v>
      </c>
      <c r="L405" s="3182"/>
      <c r="M405" s="2914">
        <f t="shared" si="70"/>
        <v>1</v>
      </c>
      <c r="N405" s="3182"/>
      <c r="O405" s="2914">
        <f t="shared" si="71"/>
        <v>1</v>
      </c>
      <c r="P405" s="3182"/>
      <c r="Q405" s="2914">
        <f t="shared" si="72"/>
        <v>1</v>
      </c>
      <c r="R405" s="2665">
        <f t="shared" si="73"/>
        <v>0</v>
      </c>
      <c r="S405" s="2790">
        <f t="shared" si="74"/>
        <v>0</v>
      </c>
    </row>
    <row r="406" spans="1:19">
      <c r="A406" s="2916"/>
      <c r="B406" s="3180"/>
      <c r="C406" s="2914">
        <f t="shared" si="65"/>
        <v>1</v>
      </c>
      <c r="D406" s="3182"/>
      <c r="E406" s="2914">
        <f t="shared" si="66"/>
        <v>1</v>
      </c>
      <c r="F406" s="3182"/>
      <c r="G406" s="2914">
        <f t="shared" si="67"/>
        <v>1</v>
      </c>
      <c r="H406" s="3182"/>
      <c r="I406" s="2914">
        <f t="shared" si="68"/>
        <v>1</v>
      </c>
      <c r="J406" s="3182"/>
      <c r="K406" s="2914">
        <f t="shared" si="69"/>
        <v>1</v>
      </c>
      <c r="L406" s="3182"/>
      <c r="M406" s="2914">
        <f t="shared" si="70"/>
        <v>1</v>
      </c>
      <c r="N406" s="3182"/>
      <c r="O406" s="2914">
        <f t="shared" si="71"/>
        <v>1</v>
      </c>
      <c r="P406" s="3182"/>
      <c r="Q406" s="2914">
        <f t="shared" si="72"/>
        <v>1</v>
      </c>
      <c r="R406" s="2665">
        <f t="shared" si="73"/>
        <v>0</v>
      </c>
      <c r="S406" s="2790">
        <f t="shared" si="74"/>
        <v>0</v>
      </c>
    </row>
    <row r="407" spans="1:19">
      <c r="A407" s="2916"/>
      <c r="B407" s="3180"/>
      <c r="C407" s="2914">
        <f t="shared" si="65"/>
        <v>1</v>
      </c>
      <c r="D407" s="3182"/>
      <c r="E407" s="2914">
        <f t="shared" si="66"/>
        <v>1</v>
      </c>
      <c r="F407" s="3182"/>
      <c r="G407" s="2914">
        <f t="shared" si="67"/>
        <v>1</v>
      </c>
      <c r="H407" s="3182"/>
      <c r="I407" s="2914">
        <f t="shared" si="68"/>
        <v>1</v>
      </c>
      <c r="J407" s="3182"/>
      <c r="K407" s="2914">
        <f t="shared" si="69"/>
        <v>1</v>
      </c>
      <c r="L407" s="3182"/>
      <c r="M407" s="2914">
        <f t="shared" si="70"/>
        <v>1</v>
      </c>
      <c r="N407" s="3182"/>
      <c r="O407" s="2914">
        <f t="shared" si="71"/>
        <v>1</v>
      </c>
      <c r="P407" s="3182"/>
      <c r="Q407" s="2914">
        <f t="shared" si="72"/>
        <v>1</v>
      </c>
      <c r="R407" s="2665">
        <f t="shared" si="73"/>
        <v>0</v>
      </c>
      <c r="S407" s="2790">
        <f t="shared" si="74"/>
        <v>0</v>
      </c>
    </row>
    <row r="408" spans="1:19">
      <c r="A408" s="2916"/>
      <c r="B408" s="3180"/>
      <c r="C408" s="2914">
        <f t="shared" si="65"/>
        <v>1</v>
      </c>
      <c r="D408" s="3182"/>
      <c r="E408" s="2914">
        <f t="shared" si="66"/>
        <v>1</v>
      </c>
      <c r="F408" s="3182"/>
      <c r="G408" s="2914">
        <f t="shared" si="67"/>
        <v>1</v>
      </c>
      <c r="H408" s="3182"/>
      <c r="I408" s="2914">
        <f t="shared" si="68"/>
        <v>1</v>
      </c>
      <c r="J408" s="3182"/>
      <c r="K408" s="2914">
        <f t="shared" si="69"/>
        <v>1</v>
      </c>
      <c r="L408" s="3182"/>
      <c r="M408" s="2914">
        <f t="shared" si="70"/>
        <v>1</v>
      </c>
      <c r="N408" s="3182"/>
      <c r="O408" s="2914">
        <f t="shared" si="71"/>
        <v>1</v>
      </c>
      <c r="P408" s="3182"/>
      <c r="Q408" s="2914">
        <f t="shared" si="72"/>
        <v>1</v>
      </c>
      <c r="R408" s="2665">
        <f t="shared" si="73"/>
        <v>0</v>
      </c>
      <c r="S408" s="2790">
        <f t="shared" si="74"/>
        <v>0</v>
      </c>
    </row>
    <row r="409" spans="1:19">
      <c r="A409" s="2916"/>
      <c r="B409" s="3180"/>
      <c r="C409" s="2914">
        <f t="shared" si="65"/>
        <v>1</v>
      </c>
      <c r="D409" s="3182"/>
      <c r="E409" s="2914">
        <f t="shared" si="66"/>
        <v>1</v>
      </c>
      <c r="F409" s="3182"/>
      <c r="G409" s="2914">
        <f t="shared" si="67"/>
        <v>1</v>
      </c>
      <c r="H409" s="3182"/>
      <c r="I409" s="2914">
        <f t="shared" si="68"/>
        <v>1</v>
      </c>
      <c r="J409" s="3182"/>
      <c r="K409" s="2914">
        <f t="shared" si="69"/>
        <v>1</v>
      </c>
      <c r="L409" s="3182"/>
      <c r="M409" s="2914">
        <f t="shared" si="70"/>
        <v>1</v>
      </c>
      <c r="N409" s="3182"/>
      <c r="O409" s="2914">
        <f t="shared" si="71"/>
        <v>1</v>
      </c>
      <c r="P409" s="3182"/>
      <c r="Q409" s="2914">
        <f t="shared" si="72"/>
        <v>1</v>
      </c>
      <c r="R409" s="2665">
        <f t="shared" si="73"/>
        <v>0</v>
      </c>
      <c r="S409" s="2790">
        <f t="shared" si="74"/>
        <v>0</v>
      </c>
    </row>
    <row r="410" spans="1:19">
      <c r="A410" s="2916"/>
      <c r="B410" s="3180"/>
      <c r="C410" s="2914">
        <f t="shared" ref="C410:C473" si="75">IF(B410="",1,(LOOKUP(B410,$3:$3,$4:$4)-LOOKUP($B$24,$3:$3,$4:$4)+100)/100)</f>
        <v>1</v>
      </c>
      <c r="D410" s="3182"/>
      <c r="E410" s="2914">
        <f t="shared" ref="E410:E473" si="76">(SUMIF($5:$5,D410,$6:$6)-SUMIF($5:$5,$D$24,$6:$6)+100)/100</f>
        <v>1</v>
      </c>
      <c r="F410" s="3182"/>
      <c r="G410" s="2914">
        <f t="shared" ref="G410:G473" si="77">(SUMIF($7:$7,F410,$8:$8)-SUMIF($7:$7,$F$24,$8:$8)+100)/100</f>
        <v>1</v>
      </c>
      <c r="H410" s="3182"/>
      <c r="I410" s="2914">
        <f t="shared" ref="I410:I473" si="78">(SUMIF($9:$9,H410,$10:$10)-SUMIF($9:$9,$H$24,$10:$10)+100)/100</f>
        <v>1</v>
      </c>
      <c r="J410" s="3182"/>
      <c r="K410" s="2914">
        <f t="shared" ref="K410:K473" si="79">(SUMIF($11:$11,J410,$12:$12)-SUMIF($11:$11,$J$24,$12:$12)+100)/100</f>
        <v>1</v>
      </c>
      <c r="L410" s="3182"/>
      <c r="M410" s="2914">
        <f t="shared" ref="M410:M473" si="80">(SUMIF($13:$13,L410,$14:$14)-SUMIF($13:$13,$L$24,$14:$14)+100)/100</f>
        <v>1</v>
      </c>
      <c r="N410" s="3182"/>
      <c r="O410" s="2914">
        <f t="shared" ref="O410:O473" si="81">(SUMIF($15:$15,N410,$16:$16)-SUMIF($15:$15,$N$24,$16:$16)+100)/100</f>
        <v>1</v>
      </c>
      <c r="P410" s="3182"/>
      <c r="Q410" s="2914">
        <f t="shared" ref="Q410:Q473" si="82">(SUMIF($17:$17,P410,$18:$18)-SUMIF($17:$17,$P$24,$18:$18)+100)/100</f>
        <v>1</v>
      </c>
      <c r="R410" s="2665">
        <f t="shared" ref="R410:R473" si="83">IF(B410="",0,ROUND($R$24*C410*E410*G410*I410*K410*M410*O410*Q410,0))</f>
        <v>0</v>
      </c>
      <c r="S410" s="2790">
        <f t="shared" si="74"/>
        <v>0</v>
      </c>
    </row>
    <row r="411" spans="1:19">
      <c r="A411" s="2916"/>
      <c r="B411" s="3180"/>
      <c r="C411" s="2914">
        <f t="shared" si="75"/>
        <v>1</v>
      </c>
      <c r="D411" s="3182"/>
      <c r="E411" s="2914">
        <f t="shared" si="76"/>
        <v>1</v>
      </c>
      <c r="F411" s="3182"/>
      <c r="G411" s="2914">
        <f t="shared" si="77"/>
        <v>1</v>
      </c>
      <c r="H411" s="3182"/>
      <c r="I411" s="2914">
        <f t="shared" si="78"/>
        <v>1</v>
      </c>
      <c r="J411" s="3182"/>
      <c r="K411" s="2914">
        <f t="shared" si="79"/>
        <v>1</v>
      </c>
      <c r="L411" s="3182"/>
      <c r="M411" s="2914">
        <f t="shared" si="80"/>
        <v>1</v>
      </c>
      <c r="N411" s="3182"/>
      <c r="O411" s="2914">
        <f t="shared" si="81"/>
        <v>1</v>
      </c>
      <c r="P411" s="3182"/>
      <c r="Q411" s="2914">
        <f t="shared" si="82"/>
        <v>1</v>
      </c>
      <c r="R411" s="2665">
        <f t="shared" si="83"/>
        <v>0</v>
      </c>
      <c r="S411" s="2790">
        <f t="shared" si="74"/>
        <v>0</v>
      </c>
    </row>
    <row r="412" spans="1:19">
      <c r="A412" s="2916"/>
      <c r="B412" s="3180"/>
      <c r="C412" s="2914">
        <f t="shared" si="75"/>
        <v>1</v>
      </c>
      <c r="D412" s="3182"/>
      <c r="E412" s="2914">
        <f t="shared" si="76"/>
        <v>1</v>
      </c>
      <c r="F412" s="3182"/>
      <c r="G412" s="2914">
        <f t="shared" si="77"/>
        <v>1</v>
      </c>
      <c r="H412" s="3182"/>
      <c r="I412" s="2914">
        <f t="shared" si="78"/>
        <v>1</v>
      </c>
      <c r="J412" s="3182"/>
      <c r="K412" s="2914">
        <f t="shared" si="79"/>
        <v>1</v>
      </c>
      <c r="L412" s="3182"/>
      <c r="M412" s="2914">
        <f t="shared" si="80"/>
        <v>1</v>
      </c>
      <c r="N412" s="3182"/>
      <c r="O412" s="2914">
        <f t="shared" si="81"/>
        <v>1</v>
      </c>
      <c r="P412" s="3182"/>
      <c r="Q412" s="2914">
        <f t="shared" si="82"/>
        <v>1</v>
      </c>
      <c r="R412" s="2665">
        <f t="shared" si="83"/>
        <v>0</v>
      </c>
      <c r="S412" s="2790">
        <f t="shared" si="74"/>
        <v>0</v>
      </c>
    </row>
    <row r="413" spans="1:19">
      <c r="A413" s="2916"/>
      <c r="B413" s="3180"/>
      <c r="C413" s="2914">
        <f t="shared" si="75"/>
        <v>1</v>
      </c>
      <c r="D413" s="3182"/>
      <c r="E413" s="2914">
        <f t="shared" si="76"/>
        <v>1</v>
      </c>
      <c r="F413" s="3182"/>
      <c r="G413" s="2914">
        <f t="shared" si="77"/>
        <v>1</v>
      </c>
      <c r="H413" s="3182"/>
      <c r="I413" s="2914">
        <f t="shared" si="78"/>
        <v>1</v>
      </c>
      <c r="J413" s="3182"/>
      <c r="K413" s="2914">
        <f t="shared" si="79"/>
        <v>1</v>
      </c>
      <c r="L413" s="3182"/>
      <c r="M413" s="2914">
        <f t="shared" si="80"/>
        <v>1</v>
      </c>
      <c r="N413" s="3182"/>
      <c r="O413" s="2914">
        <f t="shared" si="81"/>
        <v>1</v>
      </c>
      <c r="P413" s="3182"/>
      <c r="Q413" s="2914">
        <f t="shared" si="82"/>
        <v>1</v>
      </c>
      <c r="R413" s="2665">
        <f t="shared" si="83"/>
        <v>0</v>
      </c>
      <c r="S413" s="2790">
        <f t="shared" si="74"/>
        <v>0</v>
      </c>
    </row>
    <row r="414" spans="1:19">
      <c r="A414" s="2916"/>
      <c r="B414" s="3180"/>
      <c r="C414" s="2914">
        <f t="shared" si="75"/>
        <v>1</v>
      </c>
      <c r="D414" s="3182"/>
      <c r="E414" s="2914">
        <f t="shared" si="76"/>
        <v>1</v>
      </c>
      <c r="F414" s="3182"/>
      <c r="G414" s="2914">
        <f t="shared" si="77"/>
        <v>1</v>
      </c>
      <c r="H414" s="3182"/>
      <c r="I414" s="2914">
        <f t="shared" si="78"/>
        <v>1</v>
      </c>
      <c r="J414" s="3182"/>
      <c r="K414" s="2914">
        <f t="shared" si="79"/>
        <v>1</v>
      </c>
      <c r="L414" s="3182"/>
      <c r="M414" s="2914">
        <f t="shared" si="80"/>
        <v>1</v>
      </c>
      <c r="N414" s="3182"/>
      <c r="O414" s="2914">
        <f t="shared" si="81"/>
        <v>1</v>
      </c>
      <c r="P414" s="3182"/>
      <c r="Q414" s="2914">
        <f t="shared" si="82"/>
        <v>1</v>
      </c>
      <c r="R414" s="2665">
        <f t="shared" si="83"/>
        <v>0</v>
      </c>
      <c r="S414" s="2790">
        <f t="shared" si="74"/>
        <v>0</v>
      </c>
    </row>
    <row r="415" spans="1:19">
      <c r="A415" s="2916"/>
      <c r="B415" s="3180"/>
      <c r="C415" s="2914">
        <f t="shared" si="75"/>
        <v>1</v>
      </c>
      <c r="D415" s="3182"/>
      <c r="E415" s="2914">
        <f t="shared" si="76"/>
        <v>1</v>
      </c>
      <c r="F415" s="3182"/>
      <c r="G415" s="2914">
        <f t="shared" si="77"/>
        <v>1</v>
      </c>
      <c r="H415" s="3182"/>
      <c r="I415" s="2914">
        <f t="shared" si="78"/>
        <v>1</v>
      </c>
      <c r="J415" s="3182"/>
      <c r="K415" s="2914">
        <f t="shared" si="79"/>
        <v>1</v>
      </c>
      <c r="L415" s="3182"/>
      <c r="M415" s="2914">
        <f t="shared" si="80"/>
        <v>1</v>
      </c>
      <c r="N415" s="3182"/>
      <c r="O415" s="2914">
        <f t="shared" si="81"/>
        <v>1</v>
      </c>
      <c r="P415" s="3182"/>
      <c r="Q415" s="2914">
        <f t="shared" si="82"/>
        <v>1</v>
      </c>
      <c r="R415" s="2665">
        <f t="shared" si="83"/>
        <v>0</v>
      </c>
      <c r="S415" s="2790">
        <f t="shared" si="74"/>
        <v>0</v>
      </c>
    </row>
    <row r="416" spans="1:19">
      <c r="A416" s="2916"/>
      <c r="B416" s="3180"/>
      <c r="C416" s="2914">
        <f t="shared" si="75"/>
        <v>1</v>
      </c>
      <c r="D416" s="3182"/>
      <c r="E416" s="2914">
        <f t="shared" si="76"/>
        <v>1</v>
      </c>
      <c r="F416" s="3182"/>
      <c r="G416" s="2914">
        <f t="shared" si="77"/>
        <v>1</v>
      </c>
      <c r="H416" s="3182"/>
      <c r="I416" s="2914">
        <f t="shared" si="78"/>
        <v>1</v>
      </c>
      <c r="J416" s="3182"/>
      <c r="K416" s="2914">
        <f t="shared" si="79"/>
        <v>1</v>
      </c>
      <c r="L416" s="3182"/>
      <c r="M416" s="2914">
        <f t="shared" si="80"/>
        <v>1</v>
      </c>
      <c r="N416" s="3182"/>
      <c r="O416" s="2914">
        <f t="shared" si="81"/>
        <v>1</v>
      </c>
      <c r="P416" s="3182"/>
      <c r="Q416" s="2914">
        <f t="shared" si="82"/>
        <v>1</v>
      </c>
      <c r="R416" s="2665">
        <f t="shared" si="83"/>
        <v>0</v>
      </c>
      <c r="S416" s="2790">
        <f t="shared" si="74"/>
        <v>0</v>
      </c>
    </row>
    <row r="417" spans="1:19">
      <c r="A417" s="2916"/>
      <c r="B417" s="3180"/>
      <c r="C417" s="2914">
        <f t="shared" si="75"/>
        <v>1</v>
      </c>
      <c r="D417" s="3182"/>
      <c r="E417" s="2914">
        <f t="shared" si="76"/>
        <v>1</v>
      </c>
      <c r="F417" s="3182"/>
      <c r="G417" s="2914">
        <f t="shared" si="77"/>
        <v>1</v>
      </c>
      <c r="H417" s="3182"/>
      <c r="I417" s="2914">
        <f t="shared" si="78"/>
        <v>1</v>
      </c>
      <c r="J417" s="3182"/>
      <c r="K417" s="2914">
        <f t="shared" si="79"/>
        <v>1</v>
      </c>
      <c r="L417" s="3182"/>
      <c r="M417" s="2914">
        <f t="shared" si="80"/>
        <v>1</v>
      </c>
      <c r="N417" s="3182"/>
      <c r="O417" s="2914">
        <f t="shared" si="81"/>
        <v>1</v>
      </c>
      <c r="P417" s="3182"/>
      <c r="Q417" s="2914">
        <f t="shared" si="82"/>
        <v>1</v>
      </c>
      <c r="R417" s="2665">
        <f t="shared" si="83"/>
        <v>0</v>
      </c>
      <c r="S417" s="2790">
        <f t="shared" si="74"/>
        <v>0</v>
      </c>
    </row>
    <row r="418" spans="1:19">
      <c r="A418" s="2916"/>
      <c r="B418" s="3180"/>
      <c r="C418" s="2914">
        <f t="shared" si="75"/>
        <v>1</v>
      </c>
      <c r="D418" s="3182"/>
      <c r="E418" s="2914">
        <f t="shared" si="76"/>
        <v>1</v>
      </c>
      <c r="F418" s="3182"/>
      <c r="G418" s="2914">
        <f t="shared" si="77"/>
        <v>1</v>
      </c>
      <c r="H418" s="3182"/>
      <c r="I418" s="2914">
        <f t="shared" si="78"/>
        <v>1</v>
      </c>
      <c r="J418" s="3182"/>
      <c r="K418" s="2914">
        <f t="shared" si="79"/>
        <v>1</v>
      </c>
      <c r="L418" s="3182"/>
      <c r="M418" s="2914">
        <f t="shared" si="80"/>
        <v>1</v>
      </c>
      <c r="N418" s="3182"/>
      <c r="O418" s="2914">
        <f t="shared" si="81"/>
        <v>1</v>
      </c>
      <c r="P418" s="3182"/>
      <c r="Q418" s="2914">
        <f t="shared" si="82"/>
        <v>1</v>
      </c>
      <c r="R418" s="2665">
        <f t="shared" si="83"/>
        <v>0</v>
      </c>
      <c r="S418" s="2790">
        <f t="shared" si="74"/>
        <v>0</v>
      </c>
    </row>
    <row r="419" spans="1:19">
      <c r="A419" s="2916"/>
      <c r="B419" s="3180"/>
      <c r="C419" s="2914">
        <f t="shared" si="75"/>
        <v>1</v>
      </c>
      <c r="D419" s="3182"/>
      <c r="E419" s="2914">
        <f t="shared" si="76"/>
        <v>1</v>
      </c>
      <c r="F419" s="3182"/>
      <c r="G419" s="2914">
        <f t="shared" si="77"/>
        <v>1</v>
      </c>
      <c r="H419" s="3182"/>
      <c r="I419" s="2914">
        <f t="shared" si="78"/>
        <v>1</v>
      </c>
      <c r="J419" s="3182"/>
      <c r="K419" s="2914">
        <f t="shared" si="79"/>
        <v>1</v>
      </c>
      <c r="L419" s="3182"/>
      <c r="M419" s="2914">
        <f t="shared" si="80"/>
        <v>1</v>
      </c>
      <c r="N419" s="3182"/>
      <c r="O419" s="2914">
        <f t="shared" si="81"/>
        <v>1</v>
      </c>
      <c r="P419" s="3182"/>
      <c r="Q419" s="2914">
        <f t="shared" si="82"/>
        <v>1</v>
      </c>
      <c r="R419" s="2665">
        <f t="shared" si="83"/>
        <v>0</v>
      </c>
      <c r="S419" s="2790">
        <f t="shared" si="74"/>
        <v>0</v>
      </c>
    </row>
    <row r="420" spans="1:19">
      <c r="A420" s="2916"/>
      <c r="B420" s="3180"/>
      <c r="C420" s="2914">
        <f t="shared" si="75"/>
        <v>1</v>
      </c>
      <c r="D420" s="3182"/>
      <c r="E420" s="2914">
        <f t="shared" si="76"/>
        <v>1</v>
      </c>
      <c r="F420" s="3182"/>
      <c r="G420" s="2914">
        <f t="shared" si="77"/>
        <v>1</v>
      </c>
      <c r="H420" s="3182"/>
      <c r="I420" s="2914">
        <f t="shared" si="78"/>
        <v>1</v>
      </c>
      <c r="J420" s="3182"/>
      <c r="K420" s="2914">
        <f t="shared" si="79"/>
        <v>1</v>
      </c>
      <c r="L420" s="3182"/>
      <c r="M420" s="2914">
        <f t="shared" si="80"/>
        <v>1</v>
      </c>
      <c r="N420" s="3182"/>
      <c r="O420" s="2914">
        <f t="shared" si="81"/>
        <v>1</v>
      </c>
      <c r="P420" s="3182"/>
      <c r="Q420" s="2914">
        <f t="shared" si="82"/>
        <v>1</v>
      </c>
      <c r="R420" s="2665">
        <f t="shared" si="83"/>
        <v>0</v>
      </c>
      <c r="S420" s="2790">
        <f t="shared" si="74"/>
        <v>0</v>
      </c>
    </row>
    <row r="421" spans="1:19">
      <c r="A421" s="2916"/>
      <c r="B421" s="3180"/>
      <c r="C421" s="2914">
        <f t="shared" si="75"/>
        <v>1</v>
      </c>
      <c r="D421" s="3182"/>
      <c r="E421" s="2914">
        <f t="shared" si="76"/>
        <v>1</v>
      </c>
      <c r="F421" s="3182"/>
      <c r="G421" s="2914">
        <f t="shared" si="77"/>
        <v>1</v>
      </c>
      <c r="H421" s="3182"/>
      <c r="I421" s="2914">
        <f t="shared" si="78"/>
        <v>1</v>
      </c>
      <c r="J421" s="3182"/>
      <c r="K421" s="2914">
        <f t="shared" si="79"/>
        <v>1</v>
      </c>
      <c r="L421" s="3182"/>
      <c r="M421" s="2914">
        <f t="shared" si="80"/>
        <v>1</v>
      </c>
      <c r="N421" s="3182"/>
      <c r="O421" s="2914">
        <f t="shared" si="81"/>
        <v>1</v>
      </c>
      <c r="P421" s="3182"/>
      <c r="Q421" s="2914">
        <f t="shared" si="82"/>
        <v>1</v>
      </c>
      <c r="R421" s="2665">
        <f t="shared" si="83"/>
        <v>0</v>
      </c>
      <c r="S421" s="2790">
        <f t="shared" si="74"/>
        <v>0</v>
      </c>
    </row>
    <row r="422" spans="1:19">
      <c r="A422" s="2916"/>
      <c r="B422" s="3180"/>
      <c r="C422" s="2914">
        <f t="shared" si="75"/>
        <v>1</v>
      </c>
      <c r="D422" s="3182"/>
      <c r="E422" s="2914">
        <f t="shared" si="76"/>
        <v>1</v>
      </c>
      <c r="F422" s="3182"/>
      <c r="G422" s="2914">
        <f t="shared" si="77"/>
        <v>1</v>
      </c>
      <c r="H422" s="3182"/>
      <c r="I422" s="2914">
        <f t="shared" si="78"/>
        <v>1</v>
      </c>
      <c r="J422" s="3182"/>
      <c r="K422" s="2914">
        <f t="shared" si="79"/>
        <v>1</v>
      </c>
      <c r="L422" s="3182"/>
      <c r="M422" s="2914">
        <f t="shared" si="80"/>
        <v>1</v>
      </c>
      <c r="N422" s="3182"/>
      <c r="O422" s="2914">
        <f t="shared" si="81"/>
        <v>1</v>
      </c>
      <c r="P422" s="3182"/>
      <c r="Q422" s="2914">
        <f t="shared" si="82"/>
        <v>1</v>
      </c>
      <c r="R422" s="2665">
        <f t="shared" si="83"/>
        <v>0</v>
      </c>
      <c r="S422" s="2790">
        <f t="shared" si="74"/>
        <v>0</v>
      </c>
    </row>
    <row r="423" spans="1:19">
      <c r="A423" s="2916"/>
      <c r="B423" s="3180"/>
      <c r="C423" s="2914">
        <f t="shared" si="75"/>
        <v>1</v>
      </c>
      <c r="D423" s="3182"/>
      <c r="E423" s="2914">
        <f t="shared" si="76"/>
        <v>1</v>
      </c>
      <c r="F423" s="3182"/>
      <c r="G423" s="2914">
        <f t="shared" si="77"/>
        <v>1</v>
      </c>
      <c r="H423" s="3182"/>
      <c r="I423" s="2914">
        <f t="shared" si="78"/>
        <v>1</v>
      </c>
      <c r="J423" s="3182"/>
      <c r="K423" s="2914">
        <f t="shared" si="79"/>
        <v>1</v>
      </c>
      <c r="L423" s="3182"/>
      <c r="M423" s="2914">
        <f t="shared" si="80"/>
        <v>1</v>
      </c>
      <c r="N423" s="3182"/>
      <c r="O423" s="2914">
        <f t="shared" si="81"/>
        <v>1</v>
      </c>
      <c r="P423" s="3182"/>
      <c r="Q423" s="2914">
        <f t="shared" si="82"/>
        <v>1</v>
      </c>
      <c r="R423" s="2665">
        <f t="shared" si="83"/>
        <v>0</v>
      </c>
      <c r="S423" s="2790">
        <f t="shared" ref="S423:S467" si="84">ROUND(R423*B423/10000,0)</f>
        <v>0</v>
      </c>
    </row>
    <row r="424" spans="1:19">
      <c r="A424" s="2916"/>
      <c r="B424" s="3180"/>
      <c r="C424" s="2914">
        <f t="shared" si="75"/>
        <v>1</v>
      </c>
      <c r="D424" s="3182"/>
      <c r="E424" s="2914">
        <f t="shared" si="76"/>
        <v>1</v>
      </c>
      <c r="F424" s="3182"/>
      <c r="G424" s="2914">
        <f t="shared" si="77"/>
        <v>1</v>
      </c>
      <c r="H424" s="3182"/>
      <c r="I424" s="2914">
        <f t="shared" si="78"/>
        <v>1</v>
      </c>
      <c r="J424" s="3182"/>
      <c r="K424" s="2914">
        <f t="shared" si="79"/>
        <v>1</v>
      </c>
      <c r="L424" s="3182"/>
      <c r="M424" s="2914">
        <f t="shared" si="80"/>
        <v>1</v>
      </c>
      <c r="N424" s="3182"/>
      <c r="O424" s="2914">
        <f t="shared" si="81"/>
        <v>1</v>
      </c>
      <c r="P424" s="3182"/>
      <c r="Q424" s="2914">
        <f t="shared" si="82"/>
        <v>1</v>
      </c>
      <c r="R424" s="2665">
        <f t="shared" si="83"/>
        <v>0</v>
      </c>
      <c r="S424" s="2790">
        <f t="shared" si="84"/>
        <v>0</v>
      </c>
    </row>
    <row r="425" spans="1:19">
      <c r="A425" s="2916"/>
      <c r="B425" s="3180"/>
      <c r="C425" s="2914">
        <f t="shared" si="75"/>
        <v>1</v>
      </c>
      <c r="D425" s="3182"/>
      <c r="E425" s="2914">
        <f t="shared" si="76"/>
        <v>1</v>
      </c>
      <c r="F425" s="3182"/>
      <c r="G425" s="2914">
        <f t="shared" si="77"/>
        <v>1</v>
      </c>
      <c r="H425" s="3182"/>
      <c r="I425" s="2914">
        <f t="shared" si="78"/>
        <v>1</v>
      </c>
      <c r="J425" s="3182"/>
      <c r="K425" s="2914">
        <f t="shared" si="79"/>
        <v>1</v>
      </c>
      <c r="L425" s="3182"/>
      <c r="M425" s="2914">
        <f t="shared" si="80"/>
        <v>1</v>
      </c>
      <c r="N425" s="3182"/>
      <c r="O425" s="2914">
        <f t="shared" si="81"/>
        <v>1</v>
      </c>
      <c r="P425" s="3182"/>
      <c r="Q425" s="2914">
        <f t="shared" si="82"/>
        <v>1</v>
      </c>
      <c r="R425" s="2665">
        <f t="shared" si="83"/>
        <v>0</v>
      </c>
      <c r="S425" s="2790">
        <f t="shared" si="84"/>
        <v>0</v>
      </c>
    </row>
    <row r="426" spans="1:19">
      <c r="A426" s="2916"/>
      <c r="B426" s="3180"/>
      <c r="C426" s="2914">
        <f t="shared" si="75"/>
        <v>1</v>
      </c>
      <c r="D426" s="3182"/>
      <c r="E426" s="2914">
        <f t="shared" si="76"/>
        <v>1</v>
      </c>
      <c r="F426" s="3182"/>
      <c r="G426" s="2914">
        <f t="shared" si="77"/>
        <v>1</v>
      </c>
      <c r="H426" s="3182"/>
      <c r="I426" s="2914">
        <f t="shared" si="78"/>
        <v>1</v>
      </c>
      <c r="J426" s="3182"/>
      <c r="K426" s="2914">
        <f t="shared" si="79"/>
        <v>1</v>
      </c>
      <c r="L426" s="3182"/>
      <c r="M426" s="2914">
        <f t="shared" si="80"/>
        <v>1</v>
      </c>
      <c r="N426" s="3182"/>
      <c r="O426" s="2914">
        <f t="shared" si="81"/>
        <v>1</v>
      </c>
      <c r="P426" s="3182"/>
      <c r="Q426" s="2914">
        <f t="shared" si="82"/>
        <v>1</v>
      </c>
      <c r="R426" s="2665">
        <f t="shared" si="83"/>
        <v>0</v>
      </c>
      <c r="S426" s="2790">
        <f t="shared" si="84"/>
        <v>0</v>
      </c>
    </row>
    <row r="427" spans="1:19">
      <c r="A427" s="2916"/>
      <c r="B427" s="3180"/>
      <c r="C427" s="2914">
        <f t="shared" si="75"/>
        <v>1</v>
      </c>
      <c r="D427" s="3182"/>
      <c r="E427" s="2914">
        <f t="shared" si="76"/>
        <v>1</v>
      </c>
      <c r="F427" s="3182"/>
      <c r="G427" s="2914">
        <f t="shared" si="77"/>
        <v>1</v>
      </c>
      <c r="H427" s="3182"/>
      <c r="I427" s="2914">
        <f t="shared" si="78"/>
        <v>1</v>
      </c>
      <c r="J427" s="3182"/>
      <c r="K427" s="2914">
        <f t="shared" si="79"/>
        <v>1</v>
      </c>
      <c r="L427" s="3182"/>
      <c r="M427" s="2914">
        <f t="shared" si="80"/>
        <v>1</v>
      </c>
      <c r="N427" s="3182"/>
      <c r="O427" s="2914">
        <f t="shared" si="81"/>
        <v>1</v>
      </c>
      <c r="P427" s="3182"/>
      <c r="Q427" s="2914">
        <f t="shared" si="82"/>
        <v>1</v>
      </c>
      <c r="R427" s="2665">
        <f t="shared" si="83"/>
        <v>0</v>
      </c>
      <c r="S427" s="2790">
        <f t="shared" si="84"/>
        <v>0</v>
      </c>
    </row>
    <row r="428" spans="1:19">
      <c r="A428" s="2916"/>
      <c r="B428" s="3180"/>
      <c r="C428" s="2914">
        <f t="shared" si="75"/>
        <v>1</v>
      </c>
      <c r="D428" s="3182"/>
      <c r="E428" s="2914">
        <f t="shared" si="76"/>
        <v>1</v>
      </c>
      <c r="F428" s="3182"/>
      <c r="G428" s="2914">
        <f t="shared" si="77"/>
        <v>1</v>
      </c>
      <c r="H428" s="3182"/>
      <c r="I428" s="2914">
        <f t="shared" si="78"/>
        <v>1</v>
      </c>
      <c r="J428" s="3182"/>
      <c r="K428" s="2914">
        <f t="shared" si="79"/>
        <v>1</v>
      </c>
      <c r="L428" s="3182"/>
      <c r="M428" s="2914">
        <f t="shared" si="80"/>
        <v>1</v>
      </c>
      <c r="N428" s="3182"/>
      <c r="O428" s="2914">
        <f t="shared" si="81"/>
        <v>1</v>
      </c>
      <c r="P428" s="3182"/>
      <c r="Q428" s="2914">
        <f t="shared" si="82"/>
        <v>1</v>
      </c>
      <c r="R428" s="2665">
        <f t="shared" si="83"/>
        <v>0</v>
      </c>
      <c r="S428" s="2790">
        <f t="shared" si="84"/>
        <v>0</v>
      </c>
    </row>
    <row r="429" spans="1:19">
      <c r="A429" s="2916"/>
      <c r="B429" s="3180"/>
      <c r="C429" s="2914">
        <f t="shared" si="75"/>
        <v>1</v>
      </c>
      <c r="D429" s="3182"/>
      <c r="E429" s="2914">
        <f t="shared" si="76"/>
        <v>1</v>
      </c>
      <c r="F429" s="3182"/>
      <c r="G429" s="2914">
        <f t="shared" si="77"/>
        <v>1</v>
      </c>
      <c r="H429" s="3182"/>
      <c r="I429" s="2914">
        <f t="shared" si="78"/>
        <v>1</v>
      </c>
      <c r="J429" s="3182"/>
      <c r="K429" s="2914">
        <f t="shared" si="79"/>
        <v>1</v>
      </c>
      <c r="L429" s="3182"/>
      <c r="M429" s="2914">
        <f t="shared" si="80"/>
        <v>1</v>
      </c>
      <c r="N429" s="3182"/>
      <c r="O429" s="2914">
        <f t="shared" si="81"/>
        <v>1</v>
      </c>
      <c r="P429" s="3182"/>
      <c r="Q429" s="2914">
        <f t="shared" si="82"/>
        <v>1</v>
      </c>
      <c r="R429" s="2665">
        <f t="shared" si="83"/>
        <v>0</v>
      </c>
      <c r="S429" s="2790">
        <f t="shared" si="84"/>
        <v>0</v>
      </c>
    </row>
    <row r="430" spans="1:19">
      <c r="A430" s="2916"/>
      <c r="B430" s="3180"/>
      <c r="C430" s="2914">
        <f t="shared" si="75"/>
        <v>1</v>
      </c>
      <c r="D430" s="3182"/>
      <c r="E430" s="2914">
        <f t="shared" si="76"/>
        <v>1</v>
      </c>
      <c r="F430" s="3182"/>
      <c r="G430" s="2914">
        <f t="shared" si="77"/>
        <v>1</v>
      </c>
      <c r="H430" s="3182"/>
      <c r="I430" s="2914">
        <f t="shared" si="78"/>
        <v>1</v>
      </c>
      <c r="J430" s="3182"/>
      <c r="K430" s="2914">
        <f t="shared" si="79"/>
        <v>1</v>
      </c>
      <c r="L430" s="3182"/>
      <c r="M430" s="2914">
        <f t="shared" si="80"/>
        <v>1</v>
      </c>
      <c r="N430" s="3182"/>
      <c r="O430" s="2914">
        <f t="shared" si="81"/>
        <v>1</v>
      </c>
      <c r="P430" s="3182"/>
      <c r="Q430" s="2914">
        <f t="shared" si="82"/>
        <v>1</v>
      </c>
      <c r="R430" s="2665">
        <f t="shared" si="83"/>
        <v>0</v>
      </c>
      <c r="S430" s="2790">
        <f t="shared" si="84"/>
        <v>0</v>
      </c>
    </row>
    <row r="431" spans="1:19">
      <c r="A431" s="2916"/>
      <c r="B431" s="3180"/>
      <c r="C431" s="2914">
        <f t="shared" si="75"/>
        <v>1</v>
      </c>
      <c r="D431" s="3182"/>
      <c r="E431" s="2914">
        <f t="shared" si="76"/>
        <v>1</v>
      </c>
      <c r="F431" s="3182"/>
      <c r="G431" s="2914">
        <f t="shared" si="77"/>
        <v>1</v>
      </c>
      <c r="H431" s="3182"/>
      <c r="I431" s="2914">
        <f t="shared" si="78"/>
        <v>1</v>
      </c>
      <c r="J431" s="3182"/>
      <c r="K431" s="2914">
        <f t="shared" si="79"/>
        <v>1</v>
      </c>
      <c r="L431" s="3182"/>
      <c r="M431" s="2914">
        <f t="shared" si="80"/>
        <v>1</v>
      </c>
      <c r="N431" s="3182"/>
      <c r="O431" s="2914">
        <f t="shared" si="81"/>
        <v>1</v>
      </c>
      <c r="P431" s="3182"/>
      <c r="Q431" s="2914">
        <f t="shared" si="82"/>
        <v>1</v>
      </c>
      <c r="R431" s="2665">
        <f t="shared" si="83"/>
        <v>0</v>
      </c>
      <c r="S431" s="2790">
        <f t="shared" si="84"/>
        <v>0</v>
      </c>
    </row>
    <row r="432" spans="1:19">
      <c r="A432" s="2916"/>
      <c r="B432" s="3180"/>
      <c r="C432" s="2914">
        <f t="shared" si="75"/>
        <v>1</v>
      </c>
      <c r="D432" s="3182"/>
      <c r="E432" s="2914">
        <f t="shared" si="76"/>
        <v>1</v>
      </c>
      <c r="F432" s="3182"/>
      <c r="G432" s="2914">
        <f t="shared" si="77"/>
        <v>1</v>
      </c>
      <c r="H432" s="3182"/>
      <c r="I432" s="2914">
        <f t="shared" si="78"/>
        <v>1</v>
      </c>
      <c r="J432" s="3182"/>
      <c r="K432" s="2914">
        <f t="shared" si="79"/>
        <v>1</v>
      </c>
      <c r="L432" s="3182"/>
      <c r="M432" s="2914">
        <f t="shared" si="80"/>
        <v>1</v>
      </c>
      <c r="N432" s="3182"/>
      <c r="O432" s="2914">
        <f t="shared" si="81"/>
        <v>1</v>
      </c>
      <c r="P432" s="3182"/>
      <c r="Q432" s="2914">
        <f t="shared" si="82"/>
        <v>1</v>
      </c>
      <c r="R432" s="2665">
        <f t="shared" si="83"/>
        <v>0</v>
      </c>
      <c r="S432" s="2790">
        <f t="shared" si="84"/>
        <v>0</v>
      </c>
    </row>
    <row r="433" spans="1:19">
      <c r="A433" s="2916"/>
      <c r="B433" s="3180"/>
      <c r="C433" s="2914">
        <f t="shared" si="75"/>
        <v>1</v>
      </c>
      <c r="D433" s="3182"/>
      <c r="E433" s="2914">
        <f t="shared" si="76"/>
        <v>1</v>
      </c>
      <c r="F433" s="3182"/>
      <c r="G433" s="2914">
        <f t="shared" si="77"/>
        <v>1</v>
      </c>
      <c r="H433" s="3182"/>
      <c r="I433" s="2914">
        <f t="shared" si="78"/>
        <v>1</v>
      </c>
      <c r="J433" s="3182"/>
      <c r="K433" s="2914">
        <f t="shared" si="79"/>
        <v>1</v>
      </c>
      <c r="L433" s="3182"/>
      <c r="M433" s="2914">
        <f t="shared" si="80"/>
        <v>1</v>
      </c>
      <c r="N433" s="3182"/>
      <c r="O433" s="2914">
        <f t="shared" si="81"/>
        <v>1</v>
      </c>
      <c r="P433" s="3182"/>
      <c r="Q433" s="2914">
        <f t="shared" si="82"/>
        <v>1</v>
      </c>
      <c r="R433" s="2665">
        <f t="shared" si="83"/>
        <v>0</v>
      </c>
      <c r="S433" s="2790">
        <f t="shared" si="84"/>
        <v>0</v>
      </c>
    </row>
    <row r="434" spans="1:19">
      <c r="A434" s="2916"/>
      <c r="B434" s="3180"/>
      <c r="C434" s="2914">
        <f t="shared" si="75"/>
        <v>1</v>
      </c>
      <c r="D434" s="3182"/>
      <c r="E434" s="2914">
        <f t="shared" si="76"/>
        <v>1</v>
      </c>
      <c r="F434" s="3182"/>
      <c r="G434" s="2914">
        <f t="shared" si="77"/>
        <v>1</v>
      </c>
      <c r="H434" s="3182"/>
      <c r="I434" s="2914">
        <f t="shared" si="78"/>
        <v>1</v>
      </c>
      <c r="J434" s="3182"/>
      <c r="K434" s="2914">
        <f t="shared" si="79"/>
        <v>1</v>
      </c>
      <c r="L434" s="3182"/>
      <c r="M434" s="2914">
        <f t="shared" si="80"/>
        <v>1</v>
      </c>
      <c r="N434" s="3182"/>
      <c r="O434" s="2914">
        <f t="shared" si="81"/>
        <v>1</v>
      </c>
      <c r="P434" s="3182"/>
      <c r="Q434" s="2914">
        <f t="shared" si="82"/>
        <v>1</v>
      </c>
      <c r="R434" s="2665">
        <f t="shared" si="83"/>
        <v>0</v>
      </c>
      <c r="S434" s="2790">
        <f t="shared" si="84"/>
        <v>0</v>
      </c>
    </row>
    <row r="435" spans="1:19">
      <c r="A435" s="2916"/>
      <c r="B435" s="3180"/>
      <c r="C435" s="2914">
        <f t="shared" si="75"/>
        <v>1</v>
      </c>
      <c r="D435" s="3182"/>
      <c r="E435" s="2914">
        <f t="shared" si="76"/>
        <v>1</v>
      </c>
      <c r="F435" s="3182"/>
      <c r="G435" s="2914">
        <f t="shared" si="77"/>
        <v>1</v>
      </c>
      <c r="H435" s="3182"/>
      <c r="I435" s="2914">
        <f t="shared" si="78"/>
        <v>1</v>
      </c>
      <c r="J435" s="3182"/>
      <c r="K435" s="2914">
        <f t="shared" si="79"/>
        <v>1</v>
      </c>
      <c r="L435" s="3182"/>
      <c r="M435" s="2914">
        <f t="shared" si="80"/>
        <v>1</v>
      </c>
      <c r="N435" s="3182"/>
      <c r="O435" s="2914">
        <f t="shared" si="81"/>
        <v>1</v>
      </c>
      <c r="P435" s="3182"/>
      <c r="Q435" s="2914">
        <f t="shared" si="82"/>
        <v>1</v>
      </c>
      <c r="R435" s="2665">
        <f t="shared" si="83"/>
        <v>0</v>
      </c>
      <c r="S435" s="2790">
        <f t="shared" si="84"/>
        <v>0</v>
      </c>
    </row>
    <row r="436" spans="1:19">
      <c r="A436" s="2916"/>
      <c r="B436" s="3180"/>
      <c r="C436" s="2914">
        <f t="shared" si="75"/>
        <v>1</v>
      </c>
      <c r="D436" s="3182"/>
      <c r="E436" s="2914">
        <f t="shared" si="76"/>
        <v>1</v>
      </c>
      <c r="F436" s="3182"/>
      <c r="G436" s="2914">
        <f t="shared" si="77"/>
        <v>1</v>
      </c>
      <c r="H436" s="3182"/>
      <c r="I436" s="2914">
        <f t="shared" si="78"/>
        <v>1</v>
      </c>
      <c r="J436" s="3182"/>
      <c r="K436" s="2914">
        <f t="shared" si="79"/>
        <v>1</v>
      </c>
      <c r="L436" s="3182"/>
      <c r="M436" s="2914">
        <f t="shared" si="80"/>
        <v>1</v>
      </c>
      <c r="N436" s="3182"/>
      <c r="O436" s="2914">
        <f t="shared" si="81"/>
        <v>1</v>
      </c>
      <c r="P436" s="3182"/>
      <c r="Q436" s="2914">
        <f t="shared" si="82"/>
        <v>1</v>
      </c>
      <c r="R436" s="2665">
        <f t="shared" si="83"/>
        <v>0</v>
      </c>
      <c r="S436" s="2790">
        <f t="shared" si="84"/>
        <v>0</v>
      </c>
    </row>
    <row r="437" spans="1:19">
      <c r="A437" s="2916"/>
      <c r="B437" s="3180"/>
      <c r="C437" s="2914">
        <f t="shared" si="75"/>
        <v>1</v>
      </c>
      <c r="D437" s="3182"/>
      <c r="E437" s="2914">
        <f t="shared" si="76"/>
        <v>1</v>
      </c>
      <c r="F437" s="3182"/>
      <c r="G437" s="2914">
        <f t="shared" si="77"/>
        <v>1</v>
      </c>
      <c r="H437" s="3182"/>
      <c r="I437" s="2914">
        <f t="shared" si="78"/>
        <v>1</v>
      </c>
      <c r="J437" s="3182"/>
      <c r="K437" s="2914">
        <f t="shared" si="79"/>
        <v>1</v>
      </c>
      <c r="L437" s="3182"/>
      <c r="M437" s="2914">
        <f t="shared" si="80"/>
        <v>1</v>
      </c>
      <c r="N437" s="3182"/>
      <c r="O437" s="2914">
        <f t="shared" si="81"/>
        <v>1</v>
      </c>
      <c r="P437" s="3182"/>
      <c r="Q437" s="2914">
        <f t="shared" si="82"/>
        <v>1</v>
      </c>
      <c r="R437" s="2665">
        <f t="shared" si="83"/>
        <v>0</v>
      </c>
      <c r="S437" s="2790">
        <f t="shared" si="84"/>
        <v>0</v>
      </c>
    </row>
    <row r="438" spans="1:19">
      <c r="A438" s="2916"/>
      <c r="B438" s="3180"/>
      <c r="C438" s="2914">
        <f t="shared" si="75"/>
        <v>1</v>
      </c>
      <c r="D438" s="3182"/>
      <c r="E438" s="2914">
        <f t="shared" si="76"/>
        <v>1</v>
      </c>
      <c r="F438" s="3182"/>
      <c r="G438" s="2914">
        <f t="shared" si="77"/>
        <v>1</v>
      </c>
      <c r="H438" s="3182"/>
      <c r="I438" s="2914">
        <f t="shared" si="78"/>
        <v>1</v>
      </c>
      <c r="J438" s="3182"/>
      <c r="K438" s="2914">
        <f t="shared" si="79"/>
        <v>1</v>
      </c>
      <c r="L438" s="3182"/>
      <c r="M438" s="2914">
        <f t="shared" si="80"/>
        <v>1</v>
      </c>
      <c r="N438" s="3182"/>
      <c r="O438" s="2914">
        <f t="shared" si="81"/>
        <v>1</v>
      </c>
      <c r="P438" s="3182"/>
      <c r="Q438" s="2914">
        <f t="shared" si="82"/>
        <v>1</v>
      </c>
      <c r="R438" s="2665">
        <f t="shared" si="83"/>
        <v>0</v>
      </c>
      <c r="S438" s="2790">
        <f t="shared" si="84"/>
        <v>0</v>
      </c>
    </row>
    <row r="439" spans="1:19">
      <c r="A439" s="2916"/>
      <c r="B439" s="3180"/>
      <c r="C439" s="2914">
        <f t="shared" si="75"/>
        <v>1</v>
      </c>
      <c r="D439" s="3182"/>
      <c r="E439" s="2914">
        <f t="shared" si="76"/>
        <v>1</v>
      </c>
      <c r="F439" s="3182"/>
      <c r="G439" s="2914">
        <f t="shared" si="77"/>
        <v>1</v>
      </c>
      <c r="H439" s="3182"/>
      <c r="I439" s="2914">
        <f t="shared" si="78"/>
        <v>1</v>
      </c>
      <c r="J439" s="3182"/>
      <c r="K439" s="2914">
        <f t="shared" si="79"/>
        <v>1</v>
      </c>
      <c r="L439" s="3182"/>
      <c r="M439" s="2914">
        <f t="shared" si="80"/>
        <v>1</v>
      </c>
      <c r="N439" s="3182"/>
      <c r="O439" s="2914">
        <f t="shared" si="81"/>
        <v>1</v>
      </c>
      <c r="P439" s="3182"/>
      <c r="Q439" s="2914">
        <f t="shared" si="82"/>
        <v>1</v>
      </c>
      <c r="R439" s="2665">
        <f t="shared" si="83"/>
        <v>0</v>
      </c>
      <c r="S439" s="2790">
        <f t="shared" si="84"/>
        <v>0</v>
      </c>
    </row>
    <row r="440" spans="1:19">
      <c r="A440" s="2916"/>
      <c r="B440" s="3180"/>
      <c r="C440" s="2914">
        <f t="shared" si="75"/>
        <v>1</v>
      </c>
      <c r="D440" s="3182"/>
      <c r="E440" s="2914">
        <f t="shared" si="76"/>
        <v>1</v>
      </c>
      <c r="F440" s="3182"/>
      <c r="G440" s="2914">
        <f t="shared" si="77"/>
        <v>1</v>
      </c>
      <c r="H440" s="3182"/>
      <c r="I440" s="2914">
        <f t="shared" si="78"/>
        <v>1</v>
      </c>
      <c r="J440" s="3182"/>
      <c r="K440" s="2914">
        <f t="shared" si="79"/>
        <v>1</v>
      </c>
      <c r="L440" s="3182"/>
      <c r="M440" s="2914">
        <f t="shared" si="80"/>
        <v>1</v>
      </c>
      <c r="N440" s="3182"/>
      <c r="O440" s="2914">
        <f t="shared" si="81"/>
        <v>1</v>
      </c>
      <c r="P440" s="3182"/>
      <c r="Q440" s="2914">
        <f t="shared" si="82"/>
        <v>1</v>
      </c>
      <c r="R440" s="2665">
        <f t="shared" si="83"/>
        <v>0</v>
      </c>
      <c r="S440" s="2790">
        <f t="shared" si="84"/>
        <v>0</v>
      </c>
    </row>
    <row r="441" spans="1:19">
      <c r="A441" s="2916"/>
      <c r="B441" s="3180"/>
      <c r="C441" s="2914">
        <f t="shared" si="75"/>
        <v>1</v>
      </c>
      <c r="D441" s="3182"/>
      <c r="E441" s="2914">
        <f t="shared" si="76"/>
        <v>1</v>
      </c>
      <c r="F441" s="3182"/>
      <c r="G441" s="2914">
        <f t="shared" si="77"/>
        <v>1</v>
      </c>
      <c r="H441" s="3182"/>
      <c r="I441" s="2914">
        <f t="shared" si="78"/>
        <v>1</v>
      </c>
      <c r="J441" s="3182"/>
      <c r="K441" s="2914">
        <f t="shared" si="79"/>
        <v>1</v>
      </c>
      <c r="L441" s="3182"/>
      <c r="M441" s="2914">
        <f t="shared" si="80"/>
        <v>1</v>
      </c>
      <c r="N441" s="3182"/>
      <c r="O441" s="2914">
        <f t="shared" si="81"/>
        <v>1</v>
      </c>
      <c r="P441" s="3182"/>
      <c r="Q441" s="2914">
        <f t="shared" si="82"/>
        <v>1</v>
      </c>
      <c r="R441" s="2665">
        <f t="shared" si="83"/>
        <v>0</v>
      </c>
      <c r="S441" s="2790">
        <f t="shared" si="84"/>
        <v>0</v>
      </c>
    </row>
    <row r="442" spans="1:19">
      <c r="A442" s="2916"/>
      <c r="B442" s="3180"/>
      <c r="C442" s="2914">
        <f t="shared" si="75"/>
        <v>1</v>
      </c>
      <c r="D442" s="3182"/>
      <c r="E442" s="2914">
        <f t="shared" si="76"/>
        <v>1</v>
      </c>
      <c r="F442" s="3182"/>
      <c r="G442" s="2914">
        <f t="shared" si="77"/>
        <v>1</v>
      </c>
      <c r="H442" s="3182"/>
      <c r="I442" s="2914">
        <f t="shared" si="78"/>
        <v>1</v>
      </c>
      <c r="J442" s="3182"/>
      <c r="K442" s="2914">
        <f t="shared" si="79"/>
        <v>1</v>
      </c>
      <c r="L442" s="3182"/>
      <c r="M442" s="2914">
        <f t="shared" si="80"/>
        <v>1</v>
      </c>
      <c r="N442" s="3182"/>
      <c r="O442" s="2914">
        <f t="shared" si="81"/>
        <v>1</v>
      </c>
      <c r="P442" s="3182"/>
      <c r="Q442" s="2914">
        <f t="shared" si="82"/>
        <v>1</v>
      </c>
      <c r="R442" s="2665">
        <f t="shared" si="83"/>
        <v>0</v>
      </c>
      <c r="S442" s="2790">
        <f t="shared" si="84"/>
        <v>0</v>
      </c>
    </row>
    <row r="443" spans="1:19">
      <c r="A443" s="2916"/>
      <c r="B443" s="3180"/>
      <c r="C443" s="2914">
        <f t="shared" si="75"/>
        <v>1</v>
      </c>
      <c r="D443" s="3182"/>
      <c r="E443" s="2914">
        <f t="shared" si="76"/>
        <v>1</v>
      </c>
      <c r="F443" s="3182"/>
      <c r="G443" s="2914">
        <f t="shared" si="77"/>
        <v>1</v>
      </c>
      <c r="H443" s="3182"/>
      <c r="I443" s="2914">
        <f t="shared" si="78"/>
        <v>1</v>
      </c>
      <c r="J443" s="3182"/>
      <c r="K443" s="2914">
        <f t="shared" si="79"/>
        <v>1</v>
      </c>
      <c r="L443" s="3182"/>
      <c r="M443" s="2914">
        <f t="shared" si="80"/>
        <v>1</v>
      </c>
      <c r="N443" s="3182"/>
      <c r="O443" s="2914">
        <f t="shared" si="81"/>
        <v>1</v>
      </c>
      <c r="P443" s="3182"/>
      <c r="Q443" s="2914">
        <f t="shared" si="82"/>
        <v>1</v>
      </c>
      <c r="R443" s="2665">
        <f t="shared" si="83"/>
        <v>0</v>
      </c>
      <c r="S443" s="2790">
        <f t="shared" si="84"/>
        <v>0</v>
      </c>
    </row>
    <row r="444" spans="1:19">
      <c r="A444" s="2916"/>
      <c r="B444" s="3180"/>
      <c r="C444" s="2914">
        <f t="shared" si="75"/>
        <v>1</v>
      </c>
      <c r="D444" s="3182"/>
      <c r="E444" s="2914">
        <f t="shared" si="76"/>
        <v>1</v>
      </c>
      <c r="F444" s="3182"/>
      <c r="G444" s="2914">
        <f t="shared" si="77"/>
        <v>1</v>
      </c>
      <c r="H444" s="3182"/>
      <c r="I444" s="2914">
        <f t="shared" si="78"/>
        <v>1</v>
      </c>
      <c r="J444" s="3182"/>
      <c r="K444" s="2914">
        <f t="shared" si="79"/>
        <v>1</v>
      </c>
      <c r="L444" s="3182"/>
      <c r="M444" s="2914">
        <f t="shared" si="80"/>
        <v>1</v>
      </c>
      <c r="N444" s="3182"/>
      <c r="O444" s="2914">
        <f t="shared" si="81"/>
        <v>1</v>
      </c>
      <c r="P444" s="3182"/>
      <c r="Q444" s="2914">
        <f t="shared" si="82"/>
        <v>1</v>
      </c>
      <c r="R444" s="2665">
        <f t="shared" si="83"/>
        <v>0</v>
      </c>
      <c r="S444" s="2790">
        <f t="shared" si="84"/>
        <v>0</v>
      </c>
    </row>
    <row r="445" spans="1:19">
      <c r="A445" s="2916"/>
      <c r="B445" s="3180"/>
      <c r="C445" s="2914">
        <f t="shared" si="75"/>
        <v>1</v>
      </c>
      <c r="D445" s="3182"/>
      <c r="E445" s="2914">
        <f t="shared" si="76"/>
        <v>1</v>
      </c>
      <c r="F445" s="3182"/>
      <c r="G445" s="2914">
        <f t="shared" si="77"/>
        <v>1</v>
      </c>
      <c r="H445" s="3182"/>
      <c r="I445" s="2914">
        <f t="shared" si="78"/>
        <v>1</v>
      </c>
      <c r="J445" s="3182"/>
      <c r="K445" s="2914">
        <f t="shared" si="79"/>
        <v>1</v>
      </c>
      <c r="L445" s="3182"/>
      <c r="M445" s="2914">
        <f t="shared" si="80"/>
        <v>1</v>
      </c>
      <c r="N445" s="3182"/>
      <c r="O445" s="2914">
        <f t="shared" si="81"/>
        <v>1</v>
      </c>
      <c r="P445" s="3182"/>
      <c r="Q445" s="2914">
        <f t="shared" si="82"/>
        <v>1</v>
      </c>
      <c r="R445" s="2665">
        <f t="shared" si="83"/>
        <v>0</v>
      </c>
      <c r="S445" s="2790">
        <f t="shared" si="84"/>
        <v>0</v>
      </c>
    </row>
    <row r="446" spans="1:19">
      <c r="A446" s="2916"/>
      <c r="B446" s="3180"/>
      <c r="C446" s="2914">
        <f t="shared" si="75"/>
        <v>1</v>
      </c>
      <c r="D446" s="3182"/>
      <c r="E446" s="2914">
        <f t="shared" si="76"/>
        <v>1</v>
      </c>
      <c r="F446" s="3182"/>
      <c r="G446" s="2914">
        <f t="shared" si="77"/>
        <v>1</v>
      </c>
      <c r="H446" s="3182"/>
      <c r="I446" s="2914">
        <f t="shared" si="78"/>
        <v>1</v>
      </c>
      <c r="J446" s="3182"/>
      <c r="K446" s="2914">
        <f t="shared" si="79"/>
        <v>1</v>
      </c>
      <c r="L446" s="3182"/>
      <c r="M446" s="2914">
        <f t="shared" si="80"/>
        <v>1</v>
      </c>
      <c r="N446" s="3182"/>
      <c r="O446" s="2914">
        <f t="shared" si="81"/>
        <v>1</v>
      </c>
      <c r="P446" s="3182"/>
      <c r="Q446" s="2914">
        <f t="shared" si="82"/>
        <v>1</v>
      </c>
      <c r="R446" s="2665">
        <f t="shared" si="83"/>
        <v>0</v>
      </c>
      <c r="S446" s="2790">
        <f t="shared" si="84"/>
        <v>0</v>
      </c>
    </row>
    <row r="447" spans="1:19">
      <c r="A447" s="2916"/>
      <c r="B447" s="3180"/>
      <c r="C447" s="2914">
        <f t="shared" si="75"/>
        <v>1</v>
      </c>
      <c r="D447" s="3182"/>
      <c r="E447" s="2914">
        <f t="shared" si="76"/>
        <v>1</v>
      </c>
      <c r="F447" s="3182"/>
      <c r="G447" s="2914">
        <f t="shared" si="77"/>
        <v>1</v>
      </c>
      <c r="H447" s="3182"/>
      <c r="I447" s="2914">
        <f t="shared" si="78"/>
        <v>1</v>
      </c>
      <c r="J447" s="3182"/>
      <c r="K447" s="2914">
        <f t="shared" si="79"/>
        <v>1</v>
      </c>
      <c r="L447" s="3182"/>
      <c r="M447" s="2914">
        <f t="shared" si="80"/>
        <v>1</v>
      </c>
      <c r="N447" s="3182"/>
      <c r="O447" s="2914">
        <f t="shared" si="81"/>
        <v>1</v>
      </c>
      <c r="P447" s="3182"/>
      <c r="Q447" s="2914">
        <f t="shared" si="82"/>
        <v>1</v>
      </c>
      <c r="R447" s="2665">
        <f t="shared" si="83"/>
        <v>0</v>
      </c>
      <c r="S447" s="2790">
        <f t="shared" si="84"/>
        <v>0</v>
      </c>
    </row>
    <row r="448" spans="1:19">
      <c r="A448" s="2916"/>
      <c r="B448" s="3180"/>
      <c r="C448" s="2914">
        <f t="shared" si="75"/>
        <v>1</v>
      </c>
      <c r="D448" s="3182"/>
      <c r="E448" s="2914">
        <f t="shared" si="76"/>
        <v>1</v>
      </c>
      <c r="F448" s="3182"/>
      <c r="G448" s="2914">
        <f t="shared" si="77"/>
        <v>1</v>
      </c>
      <c r="H448" s="3182"/>
      <c r="I448" s="2914">
        <f t="shared" si="78"/>
        <v>1</v>
      </c>
      <c r="J448" s="3182"/>
      <c r="K448" s="2914">
        <f t="shared" si="79"/>
        <v>1</v>
      </c>
      <c r="L448" s="3182"/>
      <c r="M448" s="2914">
        <f t="shared" si="80"/>
        <v>1</v>
      </c>
      <c r="N448" s="3182"/>
      <c r="O448" s="2914">
        <f t="shared" si="81"/>
        <v>1</v>
      </c>
      <c r="P448" s="3182"/>
      <c r="Q448" s="2914">
        <f t="shared" si="82"/>
        <v>1</v>
      </c>
      <c r="R448" s="2665">
        <f t="shared" si="83"/>
        <v>0</v>
      </c>
      <c r="S448" s="2790">
        <f t="shared" si="84"/>
        <v>0</v>
      </c>
    </row>
    <row r="449" spans="1:19">
      <c r="A449" s="2916"/>
      <c r="B449" s="3180"/>
      <c r="C449" s="2914">
        <f t="shared" si="75"/>
        <v>1</v>
      </c>
      <c r="D449" s="3182"/>
      <c r="E449" s="2914">
        <f t="shared" si="76"/>
        <v>1</v>
      </c>
      <c r="F449" s="3182"/>
      <c r="G449" s="2914">
        <f t="shared" si="77"/>
        <v>1</v>
      </c>
      <c r="H449" s="3182"/>
      <c r="I449" s="2914">
        <f t="shared" si="78"/>
        <v>1</v>
      </c>
      <c r="J449" s="3182"/>
      <c r="K449" s="2914">
        <f t="shared" si="79"/>
        <v>1</v>
      </c>
      <c r="L449" s="3182"/>
      <c r="M449" s="2914">
        <f t="shared" si="80"/>
        <v>1</v>
      </c>
      <c r="N449" s="3182"/>
      <c r="O449" s="2914">
        <f t="shared" si="81"/>
        <v>1</v>
      </c>
      <c r="P449" s="3182"/>
      <c r="Q449" s="2914">
        <f t="shared" si="82"/>
        <v>1</v>
      </c>
      <c r="R449" s="2665">
        <f t="shared" si="83"/>
        <v>0</v>
      </c>
      <c r="S449" s="2790">
        <f t="shared" si="84"/>
        <v>0</v>
      </c>
    </row>
    <row r="450" spans="1:19">
      <c r="A450" s="2916"/>
      <c r="B450" s="3180"/>
      <c r="C450" s="2914">
        <f t="shared" si="75"/>
        <v>1</v>
      </c>
      <c r="D450" s="3182"/>
      <c r="E450" s="2914">
        <f t="shared" si="76"/>
        <v>1</v>
      </c>
      <c r="F450" s="3182"/>
      <c r="G450" s="2914">
        <f t="shared" si="77"/>
        <v>1</v>
      </c>
      <c r="H450" s="3182"/>
      <c r="I450" s="2914">
        <f t="shared" si="78"/>
        <v>1</v>
      </c>
      <c r="J450" s="3182"/>
      <c r="K450" s="2914">
        <f t="shared" si="79"/>
        <v>1</v>
      </c>
      <c r="L450" s="3182"/>
      <c r="M450" s="2914">
        <f t="shared" si="80"/>
        <v>1</v>
      </c>
      <c r="N450" s="3182"/>
      <c r="O450" s="2914">
        <f t="shared" si="81"/>
        <v>1</v>
      </c>
      <c r="P450" s="3182"/>
      <c r="Q450" s="2914">
        <f t="shared" si="82"/>
        <v>1</v>
      </c>
      <c r="R450" s="2665">
        <f t="shared" si="83"/>
        <v>0</v>
      </c>
      <c r="S450" s="2790">
        <f t="shared" si="84"/>
        <v>0</v>
      </c>
    </row>
    <row r="451" spans="1:19">
      <c r="A451" s="2916"/>
      <c r="B451" s="3180"/>
      <c r="C451" s="2914">
        <f t="shared" si="75"/>
        <v>1</v>
      </c>
      <c r="D451" s="3182"/>
      <c r="E451" s="2914">
        <f t="shared" si="76"/>
        <v>1</v>
      </c>
      <c r="F451" s="3182"/>
      <c r="G451" s="2914">
        <f t="shared" si="77"/>
        <v>1</v>
      </c>
      <c r="H451" s="3182"/>
      <c r="I451" s="2914">
        <f t="shared" si="78"/>
        <v>1</v>
      </c>
      <c r="J451" s="3182"/>
      <c r="K451" s="2914">
        <f t="shared" si="79"/>
        <v>1</v>
      </c>
      <c r="L451" s="3182"/>
      <c r="M451" s="2914">
        <f t="shared" si="80"/>
        <v>1</v>
      </c>
      <c r="N451" s="3182"/>
      <c r="O451" s="2914">
        <f t="shared" si="81"/>
        <v>1</v>
      </c>
      <c r="P451" s="3182"/>
      <c r="Q451" s="2914">
        <f t="shared" si="82"/>
        <v>1</v>
      </c>
      <c r="R451" s="2665">
        <f t="shared" si="83"/>
        <v>0</v>
      </c>
      <c r="S451" s="2790">
        <f t="shared" si="84"/>
        <v>0</v>
      </c>
    </row>
    <row r="452" spans="1:19">
      <c r="A452" s="2916"/>
      <c r="B452" s="3180"/>
      <c r="C452" s="2914">
        <f t="shared" si="75"/>
        <v>1</v>
      </c>
      <c r="D452" s="3182"/>
      <c r="E452" s="2914">
        <f t="shared" si="76"/>
        <v>1</v>
      </c>
      <c r="F452" s="3182"/>
      <c r="G452" s="2914">
        <f t="shared" si="77"/>
        <v>1</v>
      </c>
      <c r="H452" s="3182"/>
      <c r="I452" s="2914">
        <f t="shared" si="78"/>
        <v>1</v>
      </c>
      <c r="J452" s="3182"/>
      <c r="K452" s="2914">
        <f t="shared" si="79"/>
        <v>1</v>
      </c>
      <c r="L452" s="3182"/>
      <c r="M452" s="2914">
        <f t="shared" si="80"/>
        <v>1</v>
      </c>
      <c r="N452" s="3182"/>
      <c r="O452" s="2914">
        <f t="shared" si="81"/>
        <v>1</v>
      </c>
      <c r="P452" s="3182"/>
      <c r="Q452" s="2914">
        <f t="shared" si="82"/>
        <v>1</v>
      </c>
      <c r="R452" s="2665">
        <f t="shared" si="83"/>
        <v>0</v>
      </c>
      <c r="S452" s="2790">
        <f t="shared" si="84"/>
        <v>0</v>
      </c>
    </row>
    <row r="453" spans="1:19">
      <c r="A453" s="2916"/>
      <c r="B453" s="3180"/>
      <c r="C453" s="2914">
        <f t="shared" si="75"/>
        <v>1</v>
      </c>
      <c r="D453" s="3182"/>
      <c r="E453" s="2914">
        <f t="shared" si="76"/>
        <v>1</v>
      </c>
      <c r="F453" s="3182"/>
      <c r="G453" s="2914">
        <f t="shared" si="77"/>
        <v>1</v>
      </c>
      <c r="H453" s="3182"/>
      <c r="I453" s="2914">
        <f t="shared" si="78"/>
        <v>1</v>
      </c>
      <c r="J453" s="3182"/>
      <c r="K453" s="2914">
        <f t="shared" si="79"/>
        <v>1</v>
      </c>
      <c r="L453" s="3182"/>
      <c r="M453" s="2914">
        <f t="shared" si="80"/>
        <v>1</v>
      </c>
      <c r="N453" s="3182"/>
      <c r="O453" s="2914">
        <f t="shared" si="81"/>
        <v>1</v>
      </c>
      <c r="P453" s="3182"/>
      <c r="Q453" s="2914">
        <f t="shared" si="82"/>
        <v>1</v>
      </c>
      <c r="R453" s="2665">
        <f t="shared" si="83"/>
        <v>0</v>
      </c>
      <c r="S453" s="2790">
        <f t="shared" si="84"/>
        <v>0</v>
      </c>
    </row>
    <row r="454" spans="1:19">
      <c r="A454" s="2916"/>
      <c r="B454" s="3180"/>
      <c r="C454" s="2914">
        <f t="shared" si="75"/>
        <v>1</v>
      </c>
      <c r="D454" s="3182"/>
      <c r="E454" s="2914">
        <f t="shared" si="76"/>
        <v>1</v>
      </c>
      <c r="F454" s="3182"/>
      <c r="G454" s="2914">
        <f t="shared" si="77"/>
        <v>1</v>
      </c>
      <c r="H454" s="3182"/>
      <c r="I454" s="2914">
        <f t="shared" si="78"/>
        <v>1</v>
      </c>
      <c r="J454" s="3182"/>
      <c r="K454" s="2914">
        <f t="shared" si="79"/>
        <v>1</v>
      </c>
      <c r="L454" s="3182"/>
      <c r="M454" s="2914">
        <f t="shared" si="80"/>
        <v>1</v>
      </c>
      <c r="N454" s="3182"/>
      <c r="O454" s="2914">
        <f t="shared" si="81"/>
        <v>1</v>
      </c>
      <c r="P454" s="3182"/>
      <c r="Q454" s="2914">
        <f t="shared" si="82"/>
        <v>1</v>
      </c>
      <c r="R454" s="2665">
        <f t="shared" si="83"/>
        <v>0</v>
      </c>
      <c r="S454" s="2790">
        <f t="shared" si="84"/>
        <v>0</v>
      </c>
    </row>
    <row r="455" spans="1:19">
      <c r="A455" s="2916"/>
      <c r="B455" s="3180"/>
      <c r="C455" s="2914">
        <f t="shared" si="75"/>
        <v>1</v>
      </c>
      <c r="D455" s="3182"/>
      <c r="E455" s="2914">
        <f t="shared" si="76"/>
        <v>1</v>
      </c>
      <c r="F455" s="3182"/>
      <c r="G455" s="2914">
        <f t="shared" si="77"/>
        <v>1</v>
      </c>
      <c r="H455" s="3182"/>
      <c r="I455" s="2914">
        <f t="shared" si="78"/>
        <v>1</v>
      </c>
      <c r="J455" s="3182"/>
      <c r="K455" s="2914">
        <f t="shared" si="79"/>
        <v>1</v>
      </c>
      <c r="L455" s="3182"/>
      <c r="M455" s="2914">
        <f t="shared" si="80"/>
        <v>1</v>
      </c>
      <c r="N455" s="3182"/>
      <c r="O455" s="2914">
        <f t="shared" si="81"/>
        <v>1</v>
      </c>
      <c r="P455" s="3182"/>
      <c r="Q455" s="2914">
        <f t="shared" si="82"/>
        <v>1</v>
      </c>
      <c r="R455" s="2665">
        <f t="shared" si="83"/>
        <v>0</v>
      </c>
      <c r="S455" s="2790">
        <f t="shared" si="84"/>
        <v>0</v>
      </c>
    </row>
    <row r="456" spans="1:19">
      <c r="A456" s="2916"/>
      <c r="B456" s="3180"/>
      <c r="C456" s="2914">
        <f t="shared" si="75"/>
        <v>1</v>
      </c>
      <c r="D456" s="3182"/>
      <c r="E456" s="2914">
        <f t="shared" si="76"/>
        <v>1</v>
      </c>
      <c r="F456" s="3182"/>
      <c r="G456" s="2914">
        <f t="shared" si="77"/>
        <v>1</v>
      </c>
      <c r="H456" s="3182"/>
      <c r="I456" s="2914">
        <f t="shared" si="78"/>
        <v>1</v>
      </c>
      <c r="J456" s="3182"/>
      <c r="K456" s="2914">
        <f t="shared" si="79"/>
        <v>1</v>
      </c>
      <c r="L456" s="3182"/>
      <c r="M456" s="2914">
        <f t="shared" si="80"/>
        <v>1</v>
      </c>
      <c r="N456" s="3182"/>
      <c r="O456" s="2914">
        <f t="shared" si="81"/>
        <v>1</v>
      </c>
      <c r="P456" s="3182"/>
      <c r="Q456" s="2914">
        <f t="shared" si="82"/>
        <v>1</v>
      </c>
      <c r="R456" s="2665">
        <f t="shared" si="83"/>
        <v>0</v>
      </c>
      <c r="S456" s="2790">
        <f t="shared" si="84"/>
        <v>0</v>
      </c>
    </row>
    <row r="457" spans="1:19">
      <c r="A457" s="2916"/>
      <c r="B457" s="3180"/>
      <c r="C457" s="2914">
        <f t="shared" si="75"/>
        <v>1</v>
      </c>
      <c r="D457" s="3182"/>
      <c r="E457" s="2914">
        <f t="shared" si="76"/>
        <v>1</v>
      </c>
      <c r="F457" s="3182"/>
      <c r="G457" s="2914">
        <f t="shared" si="77"/>
        <v>1</v>
      </c>
      <c r="H457" s="3182"/>
      <c r="I457" s="2914">
        <f t="shared" si="78"/>
        <v>1</v>
      </c>
      <c r="J457" s="3182"/>
      <c r="K457" s="2914">
        <f t="shared" si="79"/>
        <v>1</v>
      </c>
      <c r="L457" s="3182"/>
      <c r="M457" s="2914">
        <f t="shared" si="80"/>
        <v>1</v>
      </c>
      <c r="N457" s="3182"/>
      <c r="O457" s="2914">
        <f t="shared" si="81"/>
        <v>1</v>
      </c>
      <c r="P457" s="3182"/>
      <c r="Q457" s="2914">
        <f t="shared" si="82"/>
        <v>1</v>
      </c>
      <c r="R457" s="2665">
        <f t="shared" si="83"/>
        <v>0</v>
      </c>
      <c r="S457" s="2790">
        <f t="shared" si="84"/>
        <v>0</v>
      </c>
    </row>
    <row r="458" spans="1:19">
      <c r="A458" s="2916"/>
      <c r="B458" s="3180"/>
      <c r="C458" s="2914">
        <f t="shared" si="75"/>
        <v>1</v>
      </c>
      <c r="D458" s="3182"/>
      <c r="E458" s="2914">
        <f t="shared" si="76"/>
        <v>1</v>
      </c>
      <c r="F458" s="3182"/>
      <c r="G458" s="2914">
        <f t="shared" si="77"/>
        <v>1</v>
      </c>
      <c r="H458" s="3182"/>
      <c r="I458" s="2914">
        <f t="shared" si="78"/>
        <v>1</v>
      </c>
      <c r="J458" s="3182"/>
      <c r="K458" s="2914">
        <f t="shared" si="79"/>
        <v>1</v>
      </c>
      <c r="L458" s="3182"/>
      <c r="M458" s="2914">
        <f t="shared" si="80"/>
        <v>1</v>
      </c>
      <c r="N458" s="3182"/>
      <c r="O458" s="2914">
        <f t="shared" si="81"/>
        <v>1</v>
      </c>
      <c r="P458" s="3182"/>
      <c r="Q458" s="2914">
        <f t="shared" si="82"/>
        <v>1</v>
      </c>
      <c r="R458" s="2665">
        <f t="shared" si="83"/>
        <v>0</v>
      </c>
      <c r="S458" s="2790">
        <f t="shared" si="84"/>
        <v>0</v>
      </c>
    </row>
    <row r="459" spans="1:19">
      <c r="A459" s="2916"/>
      <c r="B459" s="3180"/>
      <c r="C459" s="2914">
        <f t="shared" si="75"/>
        <v>1</v>
      </c>
      <c r="D459" s="3182"/>
      <c r="E459" s="2914">
        <f t="shared" si="76"/>
        <v>1</v>
      </c>
      <c r="F459" s="3182"/>
      <c r="G459" s="2914">
        <f t="shared" si="77"/>
        <v>1</v>
      </c>
      <c r="H459" s="3182"/>
      <c r="I459" s="2914">
        <f t="shared" si="78"/>
        <v>1</v>
      </c>
      <c r="J459" s="3182"/>
      <c r="K459" s="2914">
        <f t="shared" si="79"/>
        <v>1</v>
      </c>
      <c r="L459" s="3182"/>
      <c r="M459" s="2914">
        <f t="shared" si="80"/>
        <v>1</v>
      </c>
      <c r="N459" s="3182"/>
      <c r="O459" s="2914">
        <f t="shared" si="81"/>
        <v>1</v>
      </c>
      <c r="P459" s="3182"/>
      <c r="Q459" s="2914">
        <f t="shared" si="82"/>
        <v>1</v>
      </c>
      <c r="R459" s="2665">
        <f t="shared" si="83"/>
        <v>0</v>
      </c>
      <c r="S459" s="2790">
        <f t="shared" si="84"/>
        <v>0</v>
      </c>
    </row>
    <row r="460" spans="1:19">
      <c r="A460" s="2916"/>
      <c r="B460" s="3180"/>
      <c r="C460" s="2914">
        <f t="shared" si="75"/>
        <v>1</v>
      </c>
      <c r="D460" s="3182"/>
      <c r="E460" s="2914">
        <f t="shared" si="76"/>
        <v>1</v>
      </c>
      <c r="F460" s="3182"/>
      <c r="G460" s="2914">
        <f t="shared" si="77"/>
        <v>1</v>
      </c>
      <c r="H460" s="3182"/>
      <c r="I460" s="2914">
        <f t="shared" si="78"/>
        <v>1</v>
      </c>
      <c r="J460" s="3182"/>
      <c r="K460" s="2914">
        <f t="shared" si="79"/>
        <v>1</v>
      </c>
      <c r="L460" s="3182"/>
      <c r="M460" s="2914">
        <f t="shared" si="80"/>
        <v>1</v>
      </c>
      <c r="N460" s="3182"/>
      <c r="O460" s="2914">
        <f t="shared" si="81"/>
        <v>1</v>
      </c>
      <c r="P460" s="3182"/>
      <c r="Q460" s="2914">
        <f t="shared" si="82"/>
        <v>1</v>
      </c>
      <c r="R460" s="2665">
        <f t="shared" si="83"/>
        <v>0</v>
      </c>
      <c r="S460" s="2790">
        <f t="shared" si="84"/>
        <v>0</v>
      </c>
    </row>
    <row r="461" spans="1:19">
      <c r="A461" s="2916"/>
      <c r="B461" s="3180"/>
      <c r="C461" s="2914">
        <f t="shared" si="75"/>
        <v>1</v>
      </c>
      <c r="D461" s="3182"/>
      <c r="E461" s="2914">
        <f t="shared" si="76"/>
        <v>1</v>
      </c>
      <c r="F461" s="3182"/>
      <c r="G461" s="2914">
        <f t="shared" si="77"/>
        <v>1</v>
      </c>
      <c r="H461" s="3182"/>
      <c r="I461" s="2914">
        <f t="shared" si="78"/>
        <v>1</v>
      </c>
      <c r="J461" s="3182"/>
      <c r="K461" s="2914">
        <f t="shared" si="79"/>
        <v>1</v>
      </c>
      <c r="L461" s="3182"/>
      <c r="M461" s="2914">
        <f t="shared" si="80"/>
        <v>1</v>
      </c>
      <c r="N461" s="3182"/>
      <c r="O461" s="2914">
        <f t="shared" si="81"/>
        <v>1</v>
      </c>
      <c r="P461" s="3182"/>
      <c r="Q461" s="2914">
        <f t="shared" si="82"/>
        <v>1</v>
      </c>
      <c r="R461" s="2665">
        <f t="shared" si="83"/>
        <v>0</v>
      </c>
      <c r="S461" s="2790">
        <f t="shared" si="84"/>
        <v>0</v>
      </c>
    </row>
    <row r="462" spans="1:19">
      <c r="A462" s="2916"/>
      <c r="B462" s="3180"/>
      <c r="C462" s="2914">
        <f t="shared" si="75"/>
        <v>1</v>
      </c>
      <c r="D462" s="3182"/>
      <c r="E462" s="2914">
        <f t="shared" si="76"/>
        <v>1</v>
      </c>
      <c r="F462" s="3182"/>
      <c r="G462" s="2914">
        <f t="shared" si="77"/>
        <v>1</v>
      </c>
      <c r="H462" s="3182"/>
      <c r="I462" s="2914">
        <f t="shared" si="78"/>
        <v>1</v>
      </c>
      <c r="J462" s="3182"/>
      <c r="K462" s="2914">
        <f t="shared" si="79"/>
        <v>1</v>
      </c>
      <c r="L462" s="3182"/>
      <c r="M462" s="2914">
        <f t="shared" si="80"/>
        <v>1</v>
      </c>
      <c r="N462" s="3182"/>
      <c r="O462" s="2914">
        <f t="shared" si="81"/>
        <v>1</v>
      </c>
      <c r="P462" s="3182"/>
      <c r="Q462" s="2914">
        <f t="shared" si="82"/>
        <v>1</v>
      </c>
      <c r="R462" s="2665">
        <f t="shared" si="83"/>
        <v>0</v>
      </c>
      <c r="S462" s="2790">
        <f t="shared" si="84"/>
        <v>0</v>
      </c>
    </row>
    <row r="463" spans="1:19">
      <c r="A463" s="2916"/>
      <c r="B463" s="3180"/>
      <c r="C463" s="2914">
        <f t="shared" si="75"/>
        <v>1</v>
      </c>
      <c r="D463" s="3182"/>
      <c r="E463" s="2914">
        <f t="shared" si="76"/>
        <v>1</v>
      </c>
      <c r="F463" s="3182"/>
      <c r="G463" s="2914">
        <f t="shared" si="77"/>
        <v>1</v>
      </c>
      <c r="H463" s="3182"/>
      <c r="I463" s="2914">
        <f t="shared" si="78"/>
        <v>1</v>
      </c>
      <c r="J463" s="3182"/>
      <c r="K463" s="2914">
        <f t="shared" si="79"/>
        <v>1</v>
      </c>
      <c r="L463" s="3182"/>
      <c r="M463" s="2914">
        <f t="shared" si="80"/>
        <v>1</v>
      </c>
      <c r="N463" s="3182"/>
      <c r="O463" s="2914">
        <f t="shared" si="81"/>
        <v>1</v>
      </c>
      <c r="P463" s="3182"/>
      <c r="Q463" s="2914">
        <f t="shared" si="82"/>
        <v>1</v>
      </c>
      <c r="R463" s="2665">
        <f t="shared" si="83"/>
        <v>0</v>
      </c>
      <c r="S463" s="2790">
        <f t="shared" si="84"/>
        <v>0</v>
      </c>
    </row>
    <row r="464" spans="1:19">
      <c r="A464" s="2916"/>
      <c r="B464" s="3180"/>
      <c r="C464" s="2914">
        <f t="shared" si="75"/>
        <v>1</v>
      </c>
      <c r="D464" s="3182"/>
      <c r="E464" s="2914">
        <f t="shared" si="76"/>
        <v>1</v>
      </c>
      <c r="F464" s="3182"/>
      <c r="G464" s="2914">
        <f t="shared" si="77"/>
        <v>1</v>
      </c>
      <c r="H464" s="3182"/>
      <c r="I464" s="2914">
        <f t="shared" si="78"/>
        <v>1</v>
      </c>
      <c r="J464" s="3182"/>
      <c r="K464" s="2914">
        <f t="shared" si="79"/>
        <v>1</v>
      </c>
      <c r="L464" s="3182"/>
      <c r="M464" s="2914">
        <f t="shared" si="80"/>
        <v>1</v>
      </c>
      <c r="N464" s="3182"/>
      <c r="O464" s="2914">
        <f t="shared" si="81"/>
        <v>1</v>
      </c>
      <c r="P464" s="3182"/>
      <c r="Q464" s="2914">
        <f t="shared" si="82"/>
        <v>1</v>
      </c>
      <c r="R464" s="2665">
        <f t="shared" si="83"/>
        <v>0</v>
      </c>
      <c r="S464" s="2790">
        <f t="shared" si="84"/>
        <v>0</v>
      </c>
    </row>
    <row r="465" spans="1:19">
      <c r="A465" s="2916"/>
      <c r="B465" s="3180"/>
      <c r="C465" s="2914">
        <f t="shared" si="75"/>
        <v>1</v>
      </c>
      <c r="D465" s="3182"/>
      <c r="E465" s="2914">
        <f t="shared" si="76"/>
        <v>1</v>
      </c>
      <c r="F465" s="3182"/>
      <c r="G465" s="2914">
        <f t="shared" si="77"/>
        <v>1</v>
      </c>
      <c r="H465" s="3182"/>
      <c r="I465" s="2914">
        <f t="shared" si="78"/>
        <v>1</v>
      </c>
      <c r="J465" s="3182"/>
      <c r="K465" s="2914">
        <f t="shared" si="79"/>
        <v>1</v>
      </c>
      <c r="L465" s="3182"/>
      <c r="M465" s="2914">
        <f t="shared" si="80"/>
        <v>1</v>
      </c>
      <c r="N465" s="3182"/>
      <c r="O465" s="2914">
        <f t="shared" si="81"/>
        <v>1</v>
      </c>
      <c r="P465" s="3182"/>
      <c r="Q465" s="2914">
        <f t="shared" si="82"/>
        <v>1</v>
      </c>
      <c r="R465" s="2665">
        <f t="shared" si="83"/>
        <v>0</v>
      </c>
      <c r="S465" s="2790">
        <f t="shared" si="84"/>
        <v>0</v>
      </c>
    </row>
    <row r="466" spans="1:19">
      <c r="A466" s="2916"/>
      <c r="B466" s="3180"/>
      <c r="C466" s="2914">
        <f t="shared" si="75"/>
        <v>1</v>
      </c>
      <c r="D466" s="3182"/>
      <c r="E466" s="2914">
        <f t="shared" si="76"/>
        <v>1</v>
      </c>
      <c r="F466" s="3182"/>
      <c r="G466" s="2914">
        <f t="shared" si="77"/>
        <v>1</v>
      </c>
      <c r="H466" s="3182"/>
      <c r="I466" s="2914">
        <f t="shared" si="78"/>
        <v>1</v>
      </c>
      <c r="J466" s="3182"/>
      <c r="K466" s="2914">
        <f t="shared" si="79"/>
        <v>1</v>
      </c>
      <c r="L466" s="3182"/>
      <c r="M466" s="2914">
        <f t="shared" si="80"/>
        <v>1</v>
      </c>
      <c r="N466" s="3182"/>
      <c r="O466" s="2914">
        <f t="shared" si="81"/>
        <v>1</v>
      </c>
      <c r="P466" s="3182"/>
      <c r="Q466" s="2914">
        <f t="shared" si="82"/>
        <v>1</v>
      </c>
      <c r="R466" s="2665">
        <f t="shared" si="83"/>
        <v>0</v>
      </c>
      <c r="S466" s="2790">
        <f t="shared" si="84"/>
        <v>0</v>
      </c>
    </row>
    <row r="467" spans="1:19">
      <c r="A467" s="2916"/>
      <c r="B467" s="3180"/>
      <c r="C467" s="2914">
        <f t="shared" si="75"/>
        <v>1</v>
      </c>
      <c r="D467" s="3182"/>
      <c r="E467" s="2914">
        <f t="shared" si="76"/>
        <v>1</v>
      </c>
      <c r="F467" s="3182"/>
      <c r="G467" s="2914">
        <f t="shared" si="77"/>
        <v>1</v>
      </c>
      <c r="H467" s="3182"/>
      <c r="I467" s="2914">
        <f t="shared" si="78"/>
        <v>1</v>
      </c>
      <c r="J467" s="3182"/>
      <c r="K467" s="2914">
        <f t="shared" si="79"/>
        <v>1</v>
      </c>
      <c r="L467" s="3182"/>
      <c r="M467" s="2914">
        <f t="shared" si="80"/>
        <v>1</v>
      </c>
      <c r="N467" s="3182"/>
      <c r="O467" s="2914">
        <f t="shared" si="81"/>
        <v>1</v>
      </c>
      <c r="P467" s="3182"/>
      <c r="Q467" s="2914">
        <f t="shared" si="82"/>
        <v>1</v>
      </c>
      <c r="R467" s="2665">
        <f t="shared" si="83"/>
        <v>0</v>
      </c>
      <c r="S467" s="2790">
        <f t="shared" si="84"/>
        <v>0</v>
      </c>
    </row>
    <row r="468" spans="1:19">
      <c r="A468" s="2916"/>
      <c r="B468" s="3180"/>
      <c r="C468" s="2914">
        <f t="shared" si="75"/>
        <v>1</v>
      </c>
      <c r="D468" s="3182"/>
      <c r="E468" s="2914">
        <f t="shared" si="76"/>
        <v>1</v>
      </c>
      <c r="F468" s="3182"/>
      <c r="G468" s="2914">
        <f t="shared" si="77"/>
        <v>1</v>
      </c>
      <c r="H468" s="3182"/>
      <c r="I468" s="2914">
        <f t="shared" si="78"/>
        <v>1</v>
      </c>
      <c r="J468" s="3182"/>
      <c r="K468" s="2914">
        <f t="shared" si="79"/>
        <v>1</v>
      </c>
      <c r="L468" s="3182"/>
      <c r="M468" s="2914">
        <f t="shared" si="80"/>
        <v>1</v>
      </c>
      <c r="N468" s="3182"/>
      <c r="O468" s="2914">
        <f t="shared" si="81"/>
        <v>1</v>
      </c>
      <c r="P468" s="3182"/>
      <c r="Q468" s="2914">
        <f t="shared" si="82"/>
        <v>1</v>
      </c>
      <c r="R468" s="2665">
        <f t="shared" si="83"/>
        <v>0</v>
      </c>
      <c r="S468" s="2790">
        <f t="shared" ref="S468:S497" si="85">ROUND(R468*B468/10000,0)</f>
        <v>0</v>
      </c>
    </row>
    <row r="469" spans="1:19">
      <c r="A469" s="2916"/>
      <c r="B469" s="3180"/>
      <c r="C469" s="2914">
        <f t="shared" si="75"/>
        <v>1</v>
      </c>
      <c r="D469" s="3182"/>
      <c r="E469" s="2914">
        <f t="shared" si="76"/>
        <v>1</v>
      </c>
      <c r="F469" s="3182"/>
      <c r="G469" s="2914">
        <f t="shared" si="77"/>
        <v>1</v>
      </c>
      <c r="H469" s="3182"/>
      <c r="I469" s="2914">
        <f t="shared" si="78"/>
        <v>1</v>
      </c>
      <c r="J469" s="3182"/>
      <c r="K469" s="2914">
        <f t="shared" si="79"/>
        <v>1</v>
      </c>
      <c r="L469" s="3182"/>
      <c r="M469" s="2914">
        <f t="shared" si="80"/>
        <v>1</v>
      </c>
      <c r="N469" s="3182"/>
      <c r="O469" s="2914">
        <f t="shared" si="81"/>
        <v>1</v>
      </c>
      <c r="P469" s="3182"/>
      <c r="Q469" s="2914">
        <f t="shared" si="82"/>
        <v>1</v>
      </c>
      <c r="R469" s="2665">
        <f t="shared" si="83"/>
        <v>0</v>
      </c>
      <c r="S469" s="2790">
        <f t="shared" si="85"/>
        <v>0</v>
      </c>
    </row>
    <row r="470" spans="1:19">
      <c r="A470" s="2916"/>
      <c r="B470" s="3180"/>
      <c r="C470" s="2914">
        <f t="shared" si="75"/>
        <v>1</v>
      </c>
      <c r="D470" s="3182"/>
      <c r="E470" s="2914">
        <f t="shared" si="76"/>
        <v>1</v>
      </c>
      <c r="F470" s="3182"/>
      <c r="G470" s="2914">
        <f t="shared" si="77"/>
        <v>1</v>
      </c>
      <c r="H470" s="3182"/>
      <c r="I470" s="2914">
        <f t="shared" si="78"/>
        <v>1</v>
      </c>
      <c r="J470" s="3182"/>
      <c r="K470" s="2914">
        <f t="shared" si="79"/>
        <v>1</v>
      </c>
      <c r="L470" s="3182"/>
      <c r="M470" s="2914">
        <f t="shared" si="80"/>
        <v>1</v>
      </c>
      <c r="N470" s="3182"/>
      <c r="O470" s="2914">
        <f t="shared" si="81"/>
        <v>1</v>
      </c>
      <c r="P470" s="3182"/>
      <c r="Q470" s="2914">
        <f t="shared" si="82"/>
        <v>1</v>
      </c>
      <c r="R470" s="2665">
        <f t="shared" si="83"/>
        <v>0</v>
      </c>
      <c r="S470" s="2790">
        <f t="shared" si="85"/>
        <v>0</v>
      </c>
    </row>
    <row r="471" spans="1:19">
      <c r="A471" s="2916"/>
      <c r="B471" s="3180"/>
      <c r="C471" s="2914">
        <f t="shared" si="75"/>
        <v>1</v>
      </c>
      <c r="D471" s="3182"/>
      <c r="E471" s="2914">
        <f t="shared" si="76"/>
        <v>1</v>
      </c>
      <c r="F471" s="3182"/>
      <c r="G471" s="2914">
        <f t="shared" si="77"/>
        <v>1</v>
      </c>
      <c r="H471" s="3182"/>
      <c r="I471" s="2914">
        <f t="shared" si="78"/>
        <v>1</v>
      </c>
      <c r="J471" s="3182"/>
      <c r="K471" s="2914">
        <f t="shared" si="79"/>
        <v>1</v>
      </c>
      <c r="L471" s="3182"/>
      <c r="M471" s="2914">
        <f t="shared" si="80"/>
        <v>1</v>
      </c>
      <c r="N471" s="3182"/>
      <c r="O471" s="2914">
        <f t="shared" si="81"/>
        <v>1</v>
      </c>
      <c r="P471" s="3182"/>
      <c r="Q471" s="2914">
        <f t="shared" si="82"/>
        <v>1</v>
      </c>
      <c r="R471" s="2665">
        <f t="shared" si="83"/>
        <v>0</v>
      </c>
      <c r="S471" s="2790">
        <f t="shared" si="85"/>
        <v>0</v>
      </c>
    </row>
    <row r="472" spans="1:19">
      <c r="A472" s="2916"/>
      <c r="B472" s="3180"/>
      <c r="C472" s="2914">
        <f t="shared" si="75"/>
        <v>1</v>
      </c>
      <c r="D472" s="3182"/>
      <c r="E472" s="2914">
        <f t="shared" si="76"/>
        <v>1</v>
      </c>
      <c r="F472" s="3182"/>
      <c r="G472" s="2914">
        <f t="shared" si="77"/>
        <v>1</v>
      </c>
      <c r="H472" s="3182"/>
      <c r="I472" s="2914">
        <f t="shared" si="78"/>
        <v>1</v>
      </c>
      <c r="J472" s="3182"/>
      <c r="K472" s="2914">
        <f t="shared" si="79"/>
        <v>1</v>
      </c>
      <c r="L472" s="3182"/>
      <c r="M472" s="2914">
        <f t="shared" si="80"/>
        <v>1</v>
      </c>
      <c r="N472" s="3182"/>
      <c r="O472" s="2914">
        <f t="shared" si="81"/>
        <v>1</v>
      </c>
      <c r="P472" s="3182"/>
      <c r="Q472" s="2914">
        <f t="shared" si="82"/>
        <v>1</v>
      </c>
      <c r="R472" s="2665">
        <f t="shared" si="83"/>
        <v>0</v>
      </c>
      <c r="S472" s="2790">
        <f t="shared" si="85"/>
        <v>0</v>
      </c>
    </row>
    <row r="473" spans="1:19">
      <c r="A473" s="2916"/>
      <c r="B473" s="3180"/>
      <c r="C473" s="2914">
        <f t="shared" si="75"/>
        <v>1</v>
      </c>
      <c r="D473" s="3182"/>
      <c r="E473" s="2914">
        <f t="shared" si="76"/>
        <v>1</v>
      </c>
      <c r="F473" s="3182"/>
      <c r="G473" s="2914">
        <f t="shared" si="77"/>
        <v>1</v>
      </c>
      <c r="H473" s="3182"/>
      <c r="I473" s="2914">
        <f t="shared" si="78"/>
        <v>1</v>
      </c>
      <c r="J473" s="3182"/>
      <c r="K473" s="2914">
        <f t="shared" si="79"/>
        <v>1</v>
      </c>
      <c r="L473" s="3182"/>
      <c r="M473" s="2914">
        <f t="shared" si="80"/>
        <v>1</v>
      </c>
      <c r="N473" s="3182"/>
      <c r="O473" s="2914">
        <f t="shared" si="81"/>
        <v>1</v>
      </c>
      <c r="P473" s="3182"/>
      <c r="Q473" s="2914">
        <f t="shared" si="82"/>
        <v>1</v>
      </c>
      <c r="R473" s="2665">
        <f t="shared" si="83"/>
        <v>0</v>
      </c>
      <c r="S473" s="2790">
        <f t="shared" si="85"/>
        <v>0</v>
      </c>
    </row>
    <row r="474" spans="1:19">
      <c r="A474" s="2916"/>
      <c r="B474" s="3180"/>
      <c r="C474" s="2914">
        <f t="shared" ref="C474:C524" si="86">IF(B474="",1,(LOOKUP(B474,$3:$3,$4:$4)-LOOKUP($B$24,$3:$3,$4:$4)+100)/100)</f>
        <v>1</v>
      </c>
      <c r="D474" s="3182"/>
      <c r="E474" s="2914">
        <f t="shared" ref="E474:E524" si="87">(SUMIF($5:$5,D474,$6:$6)-SUMIF($5:$5,$D$24,$6:$6)+100)/100</f>
        <v>1</v>
      </c>
      <c r="F474" s="3182"/>
      <c r="G474" s="2914">
        <f t="shared" ref="G474:G524" si="88">(SUMIF($7:$7,F474,$8:$8)-SUMIF($7:$7,$F$24,$8:$8)+100)/100</f>
        <v>1</v>
      </c>
      <c r="H474" s="3182"/>
      <c r="I474" s="2914">
        <f t="shared" ref="I474:I524" si="89">(SUMIF($9:$9,H474,$10:$10)-SUMIF($9:$9,$H$24,$10:$10)+100)/100</f>
        <v>1</v>
      </c>
      <c r="J474" s="3182"/>
      <c r="K474" s="2914">
        <f t="shared" ref="K474:K524" si="90">(SUMIF($11:$11,J474,$12:$12)-SUMIF($11:$11,$J$24,$12:$12)+100)/100</f>
        <v>1</v>
      </c>
      <c r="L474" s="3182"/>
      <c r="M474" s="2914">
        <f t="shared" ref="M474:M524" si="91">(SUMIF($13:$13,L474,$14:$14)-SUMIF($13:$13,$L$24,$14:$14)+100)/100</f>
        <v>1</v>
      </c>
      <c r="N474" s="3182"/>
      <c r="O474" s="2914">
        <f t="shared" ref="O474:O524" si="92">(SUMIF($15:$15,N474,$16:$16)-SUMIF($15:$15,$N$24,$16:$16)+100)/100</f>
        <v>1</v>
      </c>
      <c r="P474" s="3182"/>
      <c r="Q474" s="2914">
        <f t="shared" ref="Q474:Q524" si="93">(SUMIF($17:$17,P474,$18:$18)-SUMIF($17:$17,$P$24,$18:$18)+100)/100</f>
        <v>1</v>
      </c>
      <c r="R474" s="2665">
        <f t="shared" ref="R474:R524" si="94">IF(B474="",0,ROUND($R$24*C474*E474*G474*I474*K474*M474*O474*Q474,0))</f>
        <v>0</v>
      </c>
      <c r="S474" s="2790">
        <f t="shared" si="85"/>
        <v>0</v>
      </c>
    </row>
    <row r="475" spans="1:19">
      <c r="A475" s="2916"/>
      <c r="B475" s="3180"/>
      <c r="C475" s="2914">
        <f t="shared" si="86"/>
        <v>1</v>
      </c>
      <c r="D475" s="3182"/>
      <c r="E475" s="2914">
        <f t="shared" si="87"/>
        <v>1</v>
      </c>
      <c r="F475" s="3182"/>
      <c r="G475" s="2914">
        <f t="shared" si="88"/>
        <v>1</v>
      </c>
      <c r="H475" s="3182"/>
      <c r="I475" s="2914">
        <f t="shared" si="89"/>
        <v>1</v>
      </c>
      <c r="J475" s="3182"/>
      <c r="K475" s="2914">
        <f t="shared" si="90"/>
        <v>1</v>
      </c>
      <c r="L475" s="3182"/>
      <c r="M475" s="2914">
        <f t="shared" si="91"/>
        <v>1</v>
      </c>
      <c r="N475" s="3182"/>
      <c r="O475" s="2914">
        <f t="shared" si="92"/>
        <v>1</v>
      </c>
      <c r="P475" s="3182"/>
      <c r="Q475" s="2914">
        <f t="shared" si="93"/>
        <v>1</v>
      </c>
      <c r="R475" s="2665">
        <f t="shared" si="94"/>
        <v>0</v>
      </c>
      <c r="S475" s="2790">
        <f t="shared" si="85"/>
        <v>0</v>
      </c>
    </row>
    <row r="476" spans="1:19">
      <c r="A476" s="2916"/>
      <c r="B476" s="3180"/>
      <c r="C476" s="2914">
        <f t="shared" si="86"/>
        <v>1</v>
      </c>
      <c r="D476" s="3182"/>
      <c r="E476" s="2914">
        <f t="shared" si="87"/>
        <v>1</v>
      </c>
      <c r="F476" s="3182"/>
      <c r="G476" s="2914">
        <f t="shared" si="88"/>
        <v>1</v>
      </c>
      <c r="H476" s="3182"/>
      <c r="I476" s="2914">
        <f t="shared" si="89"/>
        <v>1</v>
      </c>
      <c r="J476" s="3182"/>
      <c r="K476" s="2914">
        <f t="shared" si="90"/>
        <v>1</v>
      </c>
      <c r="L476" s="3182"/>
      <c r="M476" s="2914">
        <f t="shared" si="91"/>
        <v>1</v>
      </c>
      <c r="N476" s="3182"/>
      <c r="O476" s="2914">
        <f t="shared" si="92"/>
        <v>1</v>
      </c>
      <c r="P476" s="3182"/>
      <c r="Q476" s="2914">
        <f t="shared" si="93"/>
        <v>1</v>
      </c>
      <c r="R476" s="2665">
        <f t="shared" si="94"/>
        <v>0</v>
      </c>
      <c r="S476" s="2790">
        <f t="shared" si="85"/>
        <v>0</v>
      </c>
    </row>
    <row r="477" spans="1:19">
      <c r="A477" s="2916"/>
      <c r="B477" s="3180"/>
      <c r="C477" s="2914">
        <f t="shared" si="86"/>
        <v>1</v>
      </c>
      <c r="D477" s="3182"/>
      <c r="E477" s="2914">
        <f t="shared" si="87"/>
        <v>1</v>
      </c>
      <c r="F477" s="3182"/>
      <c r="G477" s="2914">
        <f t="shared" si="88"/>
        <v>1</v>
      </c>
      <c r="H477" s="3182"/>
      <c r="I477" s="2914">
        <f t="shared" si="89"/>
        <v>1</v>
      </c>
      <c r="J477" s="3182"/>
      <c r="K477" s="2914">
        <f t="shared" si="90"/>
        <v>1</v>
      </c>
      <c r="L477" s="3182"/>
      <c r="M477" s="2914">
        <f t="shared" si="91"/>
        <v>1</v>
      </c>
      <c r="N477" s="3182"/>
      <c r="O477" s="2914">
        <f t="shared" si="92"/>
        <v>1</v>
      </c>
      <c r="P477" s="3182"/>
      <c r="Q477" s="2914">
        <f t="shared" si="93"/>
        <v>1</v>
      </c>
      <c r="R477" s="2665">
        <f t="shared" si="94"/>
        <v>0</v>
      </c>
      <c r="S477" s="2790">
        <f t="shared" si="85"/>
        <v>0</v>
      </c>
    </row>
    <row r="478" spans="1:19">
      <c r="A478" s="2916"/>
      <c r="B478" s="3180"/>
      <c r="C478" s="2914">
        <f t="shared" si="86"/>
        <v>1</v>
      </c>
      <c r="D478" s="3182"/>
      <c r="E478" s="2914">
        <f t="shared" si="87"/>
        <v>1</v>
      </c>
      <c r="F478" s="3182"/>
      <c r="G478" s="2914">
        <f t="shared" si="88"/>
        <v>1</v>
      </c>
      <c r="H478" s="3182"/>
      <c r="I478" s="2914">
        <f t="shared" si="89"/>
        <v>1</v>
      </c>
      <c r="J478" s="3182"/>
      <c r="K478" s="2914">
        <f t="shared" si="90"/>
        <v>1</v>
      </c>
      <c r="L478" s="3182"/>
      <c r="M478" s="2914">
        <f t="shared" si="91"/>
        <v>1</v>
      </c>
      <c r="N478" s="3182"/>
      <c r="O478" s="2914">
        <f t="shared" si="92"/>
        <v>1</v>
      </c>
      <c r="P478" s="3182"/>
      <c r="Q478" s="2914">
        <f t="shared" si="93"/>
        <v>1</v>
      </c>
      <c r="R478" s="2665">
        <f t="shared" si="94"/>
        <v>0</v>
      </c>
      <c r="S478" s="2790">
        <f t="shared" si="85"/>
        <v>0</v>
      </c>
    </row>
    <row r="479" spans="1:19">
      <c r="A479" s="2916"/>
      <c r="B479" s="3180"/>
      <c r="C479" s="2914">
        <f t="shared" si="86"/>
        <v>1</v>
      </c>
      <c r="D479" s="3182"/>
      <c r="E479" s="2914">
        <f t="shared" si="87"/>
        <v>1</v>
      </c>
      <c r="F479" s="3182"/>
      <c r="G479" s="2914">
        <f t="shared" si="88"/>
        <v>1</v>
      </c>
      <c r="H479" s="3182"/>
      <c r="I479" s="2914">
        <f t="shared" si="89"/>
        <v>1</v>
      </c>
      <c r="J479" s="3182"/>
      <c r="K479" s="2914">
        <f t="shared" si="90"/>
        <v>1</v>
      </c>
      <c r="L479" s="3182"/>
      <c r="M479" s="2914">
        <f t="shared" si="91"/>
        <v>1</v>
      </c>
      <c r="N479" s="3182"/>
      <c r="O479" s="2914">
        <f t="shared" si="92"/>
        <v>1</v>
      </c>
      <c r="P479" s="3182"/>
      <c r="Q479" s="2914">
        <f t="shared" si="93"/>
        <v>1</v>
      </c>
      <c r="R479" s="2665">
        <f t="shared" si="94"/>
        <v>0</v>
      </c>
      <c r="S479" s="2790">
        <f t="shared" si="85"/>
        <v>0</v>
      </c>
    </row>
    <row r="480" spans="1:19">
      <c r="A480" s="2916"/>
      <c r="B480" s="3180"/>
      <c r="C480" s="2914">
        <f t="shared" si="86"/>
        <v>1</v>
      </c>
      <c r="D480" s="3182"/>
      <c r="E480" s="2914">
        <f t="shared" si="87"/>
        <v>1</v>
      </c>
      <c r="F480" s="3182"/>
      <c r="G480" s="2914">
        <f t="shared" si="88"/>
        <v>1</v>
      </c>
      <c r="H480" s="3182"/>
      <c r="I480" s="2914">
        <f t="shared" si="89"/>
        <v>1</v>
      </c>
      <c r="J480" s="3182"/>
      <c r="K480" s="2914">
        <f t="shared" si="90"/>
        <v>1</v>
      </c>
      <c r="L480" s="3182"/>
      <c r="M480" s="2914">
        <f t="shared" si="91"/>
        <v>1</v>
      </c>
      <c r="N480" s="3182"/>
      <c r="O480" s="2914">
        <f t="shared" si="92"/>
        <v>1</v>
      </c>
      <c r="P480" s="3182"/>
      <c r="Q480" s="2914">
        <f t="shared" si="93"/>
        <v>1</v>
      </c>
      <c r="R480" s="2665">
        <f t="shared" si="94"/>
        <v>0</v>
      </c>
      <c r="S480" s="2790">
        <f t="shared" si="85"/>
        <v>0</v>
      </c>
    </row>
    <row r="481" spans="1:19">
      <c r="A481" s="2916"/>
      <c r="B481" s="3180"/>
      <c r="C481" s="2914">
        <f t="shared" si="86"/>
        <v>1</v>
      </c>
      <c r="D481" s="3182"/>
      <c r="E481" s="2914">
        <f t="shared" si="87"/>
        <v>1</v>
      </c>
      <c r="F481" s="3182"/>
      <c r="G481" s="2914">
        <f t="shared" si="88"/>
        <v>1</v>
      </c>
      <c r="H481" s="3182"/>
      <c r="I481" s="2914">
        <f t="shared" si="89"/>
        <v>1</v>
      </c>
      <c r="J481" s="3182"/>
      <c r="K481" s="2914">
        <f t="shared" si="90"/>
        <v>1</v>
      </c>
      <c r="L481" s="3182"/>
      <c r="M481" s="2914">
        <f t="shared" si="91"/>
        <v>1</v>
      </c>
      <c r="N481" s="3182"/>
      <c r="O481" s="2914">
        <f t="shared" si="92"/>
        <v>1</v>
      </c>
      <c r="P481" s="3182"/>
      <c r="Q481" s="2914">
        <f t="shared" si="93"/>
        <v>1</v>
      </c>
      <c r="R481" s="2665">
        <f t="shared" si="94"/>
        <v>0</v>
      </c>
      <c r="S481" s="2790">
        <f t="shared" si="85"/>
        <v>0</v>
      </c>
    </row>
    <row r="482" spans="1:19">
      <c r="A482" s="2916"/>
      <c r="B482" s="3180"/>
      <c r="C482" s="2914">
        <f t="shared" si="86"/>
        <v>1</v>
      </c>
      <c r="D482" s="3182"/>
      <c r="E482" s="2914">
        <f t="shared" si="87"/>
        <v>1</v>
      </c>
      <c r="F482" s="3182"/>
      <c r="G482" s="2914">
        <f t="shared" si="88"/>
        <v>1</v>
      </c>
      <c r="H482" s="3182"/>
      <c r="I482" s="2914">
        <f t="shared" si="89"/>
        <v>1</v>
      </c>
      <c r="J482" s="3182"/>
      <c r="K482" s="2914">
        <f t="shared" si="90"/>
        <v>1</v>
      </c>
      <c r="L482" s="3182"/>
      <c r="M482" s="2914">
        <f t="shared" si="91"/>
        <v>1</v>
      </c>
      <c r="N482" s="3182"/>
      <c r="O482" s="2914">
        <f t="shared" si="92"/>
        <v>1</v>
      </c>
      <c r="P482" s="3182"/>
      <c r="Q482" s="2914">
        <f t="shared" si="93"/>
        <v>1</v>
      </c>
      <c r="R482" s="2665">
        <f t="shared" si="94"/>
        <v>0</v>
      </c>
      <c r="S482" s="2790">
        <f t="shared" si="85"/>
        <v>0</v>
      </c>
    </row>
    <row r="483" spans="1:19">
      <c r="A483" s="2916"/>
      <c r="B483" s="3180"/>
      <c r="C483" s="2914">
        <f t="shared" si="86"/>
        <v>1</v>
      </c>
      <c r="D483" s="3182"/>
      <c r="E483" s="2914">
        <f t="shared" si="87"/>
        <v>1</v>
      </c>
      <c r="F483" s="3182"/>
      <c r="G483" s="2914">
        <f t="shared" si="88"/>
        <v>1</v>
      </c>
      <c r="H483" s="3182"/>
      <c r="I483" s="2914">
        <f t="shared" si="89"/>
        <v>1</v>
      </c>
      <c r="J483" s="3182"/>
      <c r="K483" s="2914">
        <f t="shared" si="90"/>
        <v>1</v>
      </c>
      <c r="L483" s="3182"/>
      <c r="M483" s="2914">
        <f t="shared" si="91"/>
        <v>1</v>
      </c>
      <c r="N483" s="3182"/>
      <c r="O483" s="2914">
        <f t="shared" si="92"/>
        <v>1</v>
      </c>
      <c r="P483" s="3182"/>
      <c r="Q483" s="2914">
        <f t="shared" si="93"/>
        <v>1</v>
      </c>
      <c r="R483" s="2665">
        <f t="shared" si="94"/>
        <v>0</v>
      </c>
      <c r="S483" s="2790">
        <f t="shared" si="85"/>
        <v>0</v>
      </c>
    </row>
    <row r="484" spans="1:19">
      <c r="A484" s="2916"/>
      <c r="B484" s="3180"/>
      <c r="C484" s="2914">
        <f t="shared" si="86"/>
        <v>1</v>
      </c>
      <c r="D484" s="3182"/>
      <c r="E484" s="2914">
        <f t="shared" si="87"/>
        <v>1</v>
      </c>
      <c r="F484" s="3182"/>
      <c r="G484" s="2914">
        <f t="shared" si="88"/>
        <v>1</v>
      </c>
      <c r="H484" s="3182"/>
      <c r="I484" s="2914">
        <f t="shared" si="89"/>
        <v>1</v>
      </c>
      <c r="J484" s="3182"/>
      <c r="K484" s="2914">
        <f t="shared" si="90"/>
        <v>1</v>
      </c>
      <c r="L484" s="3182"/>
      <c r="M484" s="2914">
        <f t="shared" si="91"/>
        <v>1</v>
      </c>
      <c r="N484" s="3182"/>
      <c r="O484" s="2914">
        <f t="shared" si="92"/>
        <v>1</v>
      </c>
      <c r="P484" s="3182"/>
      <c r="Q484" s="2914">
        <f t="shared" si="93"/>
        <v>1</v>
      </c>
      <c r="R484" s="2665">
        <f t="shared" si="94"/>
        <v>0</v>
      </c>
      <c r="S484" s="2790">
        <f t="shared" si="85"/>
        <v>0</v>
      </c>
    </row>
    <row r="485" spans="1:19">
      <c r="A485" s="2916"/>
      <c r="B485" s="3180"/>
      <c r="C485" s="2914">
        <f t="shared" si="86"/>
        <v>1</v>
      </c>
      <c r="D485" s="3182"/>
      <c r="E485" s="2914">
        <f t="shared" si="87"/>
        <v>1</v>
      </c>
      <c r="F485" s="3182"/>
      <c r="G485" s="2914">
        <f t="shared" si="88"/>
        <v>1</v>
      </c>
      <c r="H485" s="3182"/>
      <c r="I485" s="2914">
        <f t="shared" si="89"/>
        <v>1</v>
      </c>
      <c r="J485" s="3182"/>
      <c r="K485" s="2914">
        <f t="shared" si="90"/>
        <v>1</v>
      </c>
      <c r="L485" s="3182"/>
      <c r="M485" s="2914">
        <f t="shared" si="91"/>
        <v>1</v>
      </c>
      <c r="N485" s="3182"/>
      <c r="O485" s="2914">
        <f t="shared" si="92"/>
        <v>1</v>
      </c>
      <c r="P485" s="3182"/>
      <c r="Q485" s="2914">
        <f t="shared" si="93"/>
        <v>1</v>
      </c>
      <c r="R485" s="2665">
        <f t="shared" si="94"/>
        <v>0</v>
      </c>
      <c r="S485" s="2790">
        <f t="shared" si="85"/>
        <v>0</v>
      </c>
    </row>
    <row r="486" spans="1:19">
      <c r="A486" s="2916"/>
      <c r="B486" s="3180"/>
      <c r="C486" s="2914">
        <f t="shared" si="86"/>
        <v>1</v>
      </c>
      <c r="D486" s="3182"/>
      <c r="E486" s="2914">
        <f t="shared" si="87"/>
        <v>1</v>
      </c>
      <c r="F486" s="3182"/>
      <c r="G486" s="2914">
        <f t="shared" si="88"/>
        <v>1</v>
      </c>
      <c r="H486" s="3182"/>
      <c r="I486" s="2914">
        <f t="shared" si="89"/>
        <v>1</v>
      </c>
      <c r="J486" s="3182"/>
      <c r="K486" s="2914">
        <f t="shared" si="90"/>
        <v>1</v>
      </c>
      <c r="L486" s="3182"/>
      <c r="M486" s="2914">
        <f t="shared" si="91"/>
        <v>1</v>
      </c>
      <c r="N486" s="3182"/>
      <c r="O486" s="2914">
        <f t="shared" si="92"/>
        <v>1</v>
      </c>
      <c r="P486" s="3182"/>
      <c r="Q486" s="2914">
        <f t="shared" si="93"/>
        <v>1</v>
      </c>
      <c r="R486" s="2665">
        <f t="shared" si="94"/>
        <v>0</v>
      </c>
      <c r="S486" s="2790">
        <f t="shared" si="85"/>
        <v>0</v>
      </c>
    </row>
    <row r="487" spans="1:19">
      <c r="A487" s="2916"/>
      <c r="B487" s="3180"/>
      <c r="C487" s="2914">
        <f t="shared" si="86"/>
        <v>1</v>
      </c>
      <c r="D487" s="3182"/>
      <c r="E487" s="2914">
        <f t="shared" si="87"/>
        <v>1</v>
      </c>
      <c r="F487" s="3182"/>
      <c r="G487" s="2914">
        <f t="shared" si="88"/>
        <v>1</v>
      </c>
      <c r="H487" s="3182"/>
      <c r="I487" s="2914">
        <f t="shared" si="89"/>
        <v>1</v>
      </c>
      <c r="J487" s="3182"/>
      <c r="K487" s="2914">
        <f t="shared" si="90"/>
        <v>1</v>
      </c>
      <c r="L487" s="3182"/>
      <c r="M487" s="2914">
        <f t="shared" si="91"/>
        <v>1</v>
      </c>
      <c r="N487" s="3182"/>
      <c r="O487" s="2914">
        <f t="shared" si="92"/>
        <v>1</v>
      </c>
      <c r="P487" s="3182"/>
      <c r="Q487" s="2914">
        <f t="shared" si="93"/>
        <v>1</v>
      </c>
      <c r="R487" s="2665">
        <f t="shared" si="94"/>
        <v>0</v>
      </c>
      <c r="S487" s="2790">
        <f t="shared" si="85"/>
        <v>0</v>
      </c>
    </row>
    <row r="488" spans="1:19">
      <c r="A488" s="2916"/>
      <c r="B488" s="3180"/>
      <c r="C488" s="2914">
        <f t="shared" si="86"/>
        <v>1</v>
      </c>
      <c r="D488" s="3182"/>
      <c r="E488" s="2914">
        <f t="shared" si="87"/>
        <v>1</v>
      </c>
      <c r="F488" s="3182"/>
      <c r="G488" s="2914">
        <f t="shared" si="88"/>
        <v>1</v>
      </c>
      <c r="H488" s="3182"/>
      <c r="I488" s="2914">
        <f t="shared" si="89"/>
        <v>1</v>
      </c>
      <c r="J488" s="3182"/>
      <c r="K488" s="2914">
        <f t="shared" si="90"/>
        <v>1</v>
      </c>
      <c r="L488" s="3182"/>
      <c r="M488" s="2914">
        <f t="shared" si="91"/>
        <v>1</v>
      </c>
      <c r="N488" s="3182"/>
      <c r="O488" s="2914">
        <f t="shared" si="92"/>
        <v>1</v>
      </c>
      <c r="P488" s="3182"/>
      <c r="Q488" s="2914">
        <f t="shared" si="93"/>
        <v>1</v>
      </c>
      <c r="R488" s="2665">
        <f t="shared" si="94"/>
        <v>0</v>
      </c>
      <c r="S488" s="2790">
        <f t="shared" si="85"/>
        <v>0</v>
      </c>
    </row>
    <row r="489" spans="1:19">
      <c r="A489" s="2916"/>
      <c r="B489" s="3180"/>
      <c r="C489" s="2914">
        <f t="shared" si="86"/>
        <v>1</v>
      </c>
      <c r="D489" s="3182"/>
      <c r="E489" s="2914">
        <f t="shared" si="87"/>
        <v>1</v>
      </c>
      <c r="F489" s="3182"/>
      <c r="G489" s="2914">
        <f t="shared" si="88"/>
        <v>1</v>
      </c>
      <c r="H489" s="3182"/>
      <c r="I489" s="2914">
        <f t="shared" si="89"/>
        <v>1</v>
      </c>
      <c r="J489" s="3182"/>
      <c r="K489" s="2914">
        <f t="shared" si="90"/>
        <v>1</v>
      </c>
      <c r="L489" s="3182"/>
      <c r="M489" s="2914">
        <f t="shared" si="91"/>
        <v>1</v>
      </c>
      <c r="N489" s="3182"/>
      <c r="O489" s="2914">
        <f t="shared" si="92"/>
        <v>1</v>
      </c>
      <c r="P489" s="3182"/>
      <c r="Q489" s="2914">
        <f t="shared" si="93"/>
        <v>1</v>
      </c>
      <c r="R489" s="2665">
        <f t="shared" si="94"/>
        <v>0</v>
      </c>
      <c r="S489" s="2790">
        <f t="shared" si="85"/>
        <v>0</v>
      </c>
    </row>
    <row r="490" spans="1:19">
      <c r="A490" s="2916"/>
      <c r="B490" s="3180"/>
      <c r="C490" s="2914">
        <f t="shared" si="86"/>
        <v>1</v>
      </c>
      <c r="D490" s="3182"/>
      <c r="E490" s="2914">
        <f t="shared" si="87"/>
        <v>1</v>
      </c>
      <c r="F490" s="3182"/>
      <c r="G490" s="2914">
        <f t="shared" si="88"/>
        <v>1</v>
      </c>
      <c r="H490" s="3182"/>
      <c r="I490" s="2914">
        <f t="shared" si="89"/>
        <v>1</v>
      </c>
      <c r="J490" s="3182"/>
      <c r="K490" s="2914">
        <f t="shared" si="90"/>
        <v>1</v>
      </c>
      <c r="L490" s="3182"/>
      <c r="M490" s="2914">
        <f t="shared" si="91"/>
        <v>1</v>
      </c>
      <c r="N490" s="3182"/>
      <c r="O490" s="2914">
        <f t="shared" si="92"/>
        <v>1</v>
      </c>
      <c r="P490" s="3182"/>
      <c r="Q490" s="2914">
        <f t="shared" si="93"/>
        <v>1</v>
      </c>
      <c r="R490" s="2665">
        <f t="shared" si="94"/>
        <v>0</v>
      </c>
      <c r="S490" s="2790">
        <f t="shared" si="85"/>
        <v>0</v>
      </c>
    </row>
    <row r="491" spans="1:19">
      <c r="A491" s="2916"/>
      <c r="B491" s="3180"/>
      <c r="C491" s="2914">
        <f t="shared" si="86"/>
        <v>1</v>
      </c>
      <c r="D491" s="3182"/>
      <c r="E491" s="2914">
        <f t="shared" si="87"/>
        <v>1</v>
      </c>
      <c r="F491" s="3182"/>
      <c r="G491" s="2914">
        <f t="shared" si="88"/>
        <v>1</v>
      </c>
      <c r="H491" s="3182"/>
      <c r="I491" s="2914">
        <f t="shared" si="89"/>
        <v>1</v>
      </c>
      <c r="J491" s="3182"/>
      <c r="K491" s="2914">
        <f t="shared" si="90"/>
        <v>1</v>
      </c>
      <c r="L491" s="3182"/>
      <c r="M491" s="2914">
        <f t="shared" si="91"/>
        <v>1</v>
      </c>
      <c r="N491" s="3182"/>
      <c r="O491" s="2914">
        <f t="shared" si="92"/>
        <v>1</v>
      </c>
      <c r="P491" s="3182"/>
      <c r="Q491" s="2914">
        <f t="shared" si="93"/>
        <v>1</v>
      </c>
      <c r="R491" s="2665">
        <f t="shared" si="94"/>
        <v>0</v>
      </c>
      <c r="S491" s="2790">
        <f t="shared" si="85"/>
        <v>0</v>
      </c>
    </row>
    <row r="492" spans="1:19">
      <c r="A492" s="2916"/>
      <c r="B492" s="3180"/>
      <c r="C492" s="2914">
        <f t="shared" si="86"/>
        <v>1</v>
      </c>
      <c r="D492" s="3182"/>
      <c r="E492" s="2914">
        <f t="shared" si="87"/>
        <v>1</v>
      </c>
      <c r="F492" s="3182"/>
      <c r="G492" s="2914">
        <f t="shared" si="88"/>
        <v>1</v>
      </c>
      <c r="H492" s="3182"/>
      <c r="I492" s="2914">
        <f t="shared" si="89"/>
        <v>1</v>
      </c>
      <c r="J492" s="3182"/>
      <c r="K492" s="2914">
        <f t="shared" si="90"/>
        <v>1</v>
      </c>
      <c r="L492" s="3182"/>
      <c r="M492" s="2914">
        <f t="shared" si="91"/>
        <v>1</v>
      </c>
      <c r="N492" s="3182"/>
      <c r="O492" s="2914">
        <f t="shared" si="92"/>
        <v>1</v>
      </c>
      <c r="P492" s="3182"/>
      <c r="Q492" s="2914">
        <f t="shared" si="93"/>
        <v>1</v>
      </c>
      <c r="R492" s="2665">
        <f t="shared" si="94"/>
        <v>0</v>
      </c>
      <c r="S492" s="2790">
        <f t="shared" si="85"/>
        <v>0</v>
      </c>
    </row>
    <row r="493" spans="1:19">
      <c r="A493" s="2916"/>
      <c r="B493" s="3180"/>
      <c r="C493" s="2914">
        <f t="shared" si="86"/>
        <v>1</v>
      </c>
      <c r="D493" s="3182"/>
      <c r="E493" s="2914">
        <f t="shared" si="87"/>
        <v>1</v>
      </c>
      <c r="F493" s="3182"/>
      <c r="G493" s="2914">
        <f t="shared" si="88"/>
        <v>1</v>
      </c>
      <c r="H493" s="3182"/>
      <c r="I493" s="2914">
        <f t="shared" si="89"/>
        <v>1</v>
      </c>
      <c r="J493" s="3182"/>
      <c r="K493" s="2914">
        <f t="shared" si="90"/>
        <v>1</v>
      </c>
      <c r="L493" s="3182"/>
      <c r="M493" s="2914">
        <f t="shared" si="91"/>
        <v>1</v>
      </c>
      <c r="N493" s="3182"/>
      <c r="O493" s="2914">
        <f t="shared" si="92"/>
        <v>1</v>
      </c>
      <c r="P493" s="3182"/>
      <c r="Q493" s="2914">
        <f t="shared" si="93"/>
        <v>1</v>
      </c>
      <c r="R493" s="2665">
        <f t="shared" si="94"/>
        <v>0</v>
      </c>
      <c r="S493" s="2790">
        <f t="shared" si="85"/>
        <v>0</v>
      </c>
    </row>
    <row r="494" spans="1:19">
      <c r="A494" s="2916"/>
      <c r="B494" s="3180"/>
      <c r="C494" s="2914">
        <f t="shared" si="86"/>
        <v>1</v>
      </c>
      <c r="D494" s="3182"/>
      <c r="E494" s="2914">
        <f t="shared" si="87"/>
        <v>1</v>
      </c>
      <c r="F494" s="3182"/>
      <c r="G494" s="2914">
        <f t="shared" si="88"/>
        <v>1</v>
      </c>
      <c r="H494" s="3182"/>
      <c r="I494" s="2914">
        <f t="shared" si="89"/>
        <v>1</v>
      </c>
      <c r="J494" s="3182"/>
      <c r="K494" s="2914">
        <f t="shared" si="90"/>
        <v>1</v>
      </c>
      <c r="L494" s="3182"/>
      <c r="M494" s="2914">
        <f t="shared" si="91"/>
        <v>1</v>
      </c>
      <c r="N494" s="3182"/>
      <c r="O494" s="2914">
        <f t="shared" si="92"/>
        <v>1</v>
      </c>
      <c r="P494" s="3182"/>
      <c r="Q494" s="2914">
        <f t="shared" si="93"/>
        <v>1</v>
      </c>
      <c r="R494" s="2665">
        <f t="shared" si="94"/>
        <v>0</v>
      </c>
      <c r="S494" s="2790">
        <f t="shared" si="85"/>
        <v>0</v>
      </c>
    </row>
    <row r="495" spans="1:19">
      <c r="A495" s="2916"/>
      <c r="B495" s="3180"/>
      <c r="C495" s="2914">
        <f t="shared" si="86"/>
        <v>1</v>
      </c>
      <c r="D495" s="3182"/>
      <c r="E495" s="2914">
        <f t="shared" si="87"/>
        <v>1</v>
      </c>
      <c r="F495" s="3182"/>
      <c r="G495" s="2914">
        <f t="shared" si="88"/>
        <v>1</v>
      </c>
      <c r="H495" s="3182"/>
      <c r="I495" s="2914">
        <f t="shared" si="89"/>
        <v>1</v>
      </c>
      <c r="J495" s="3182"/>
      <c r="K495" s="2914">
        <f t="shared" si="90"/>
        <v>1</v>
      </c>
      <c r="L495" s="3182"/>
      <c r="M495" s="2914">
        <f t="shared" si="91"/>
        <v>1</v>
      </c>
      <c r="N495" s="3182"/>
      <c r="O495" s="2914">
        <f t="shared" si="92"/>
        <v>1</v>
      </c>
      <c r="P495" s="3182"/>
      <c r="Q495" s="2914">
        <f t="shared" si="93"/>
        <v>1</v>
      </c>
      <c r="R495" s="2665">
        <f t="shared" si="94"/>
        <v>0</v>
      </c>
      <c r="S495" s="2790">
        <f t="shared" si="85"/>
        <v>0</v>
      </c>
    </row>
    <row r="496" spans="1:19">
      <c r="A496" s="2916"/>
      <c r="B496" s="3180"/>
      <c r="C496" s="2914">
        <f t="shared" si="86"/>
        <v>1</v>
      </c>
      <c r="D496" s="3182"/>
      <c r="E496" s="2914">
        <f t="shared" si="87"/>
        <v>1</v>
      </c>
      <c r="F496" s="3182"/>
      <c r="G496" s="2914">
        <f t="shared" si="88"/>
        <v>1</v>
      </c>
      <c r="H496" s="3182"/>
      <c r="I496" s="2914">
        <f t="shared" si="89"/>
        <v>1</v>
      </c>
      <c r="J496" s="3182"/>
      <c r="K496" s="2914">
        <f t="shared" si="90"/>
        <v>1</v>
      </c>
      <c r="L496" s="3182"/>
      <c r="M496" s="2914">
        <f t="shared" si="91"/>
        <v>1</v>
      </c>
      <c r="N496" s="3182"/>
      <c r="O496" s="2914">
        <f t="shared" si="92"/>
        <v>1</v>
      </c>
      <c r="P496" s="3182"/>
      <c r="Q496" s="2914">
        <f t="shared" si="93"/>
        <v>1</v>
      </c>
      <c r="R496" s="2665">
        <f t="shared" si="94"/>
        <v>0</v>
      </c>
      <c r="S496" s="2790">
        <f t="shared" si="85"/>
        <v>0</v>
      </c>
    </row>
    <row r="497" spans="1:19">
      <c r="A497" s="2916"/>
      <c r="B497" s="3180"/>
      <c r="C497" s="2914">
        <f t="shared" si="86"/>
        <v>1</v>
      </c>
      <c r="D497" s="3182"/>
      <c r="E497" s="2914">
        <f t="shared" si="87"/>
        <v>1</v>
      </c>
      <c r="F497" s="3182"/>
      <c r="G497" s="2914">
        <f t="shared" si="88"/>
        <v>1</v>
      </c>
      <c r="H497" s="3182"/>
      <c r="I497" s="2914">
        <f t="shared" si="89"/>
        <v>1</v>
      </c>
      <c r="J497" s="3182"/>
      <c r="K497" s="2914">
        <f t="shared" si="90"/>
        <v>1</v>
      </c>
      <c r="L497" s="3182"/>
      <c r="M497" s="2914">
        <f t="shared" si="91"/>
        <v>1</v>
      </c>
      <c r="N497" s="3182"/>
      <c r="O497" s="2914">
        <f t="shared" si="92"/>
        <v>1</v>
      </c>
      <c r="P497" s="3182"/>
      <c r="Q497" s="2914">
        <f t="shared" si="93"/>
        <v>1</v>
      </c>
      <c r="R497" s="2665">
        <f t="shared" si="94"/>
        <v>0</v>
      </c>
      <c r="S497" s="2790">
        <f t="shared" si="85"/>
        <v>0</v>
      </c>
    </row>
    <row r="498" spans="1:19">
      <c r="A498" s="2916"/>
      <c r="B498" s="3180"/>
      <c r="C498" s="2914">
        <f t="shared" si="86"/>
        <v>1</v>
      </c>
      <c r="D498" s="3182"/>
      <c r="E498" s="2914">
        <f t="shared" si="87"/>
        <v>1</v>
      </c>
      <c r="F498" s="3182"/>
      <c r="G498" s="2914">
        <f t="shared" si="88"/>
        <v>1</v>
      </c>
      <c r="H498" s="3182"/>
      <c r="I498" s="2914">
        <f t="shared" si="89"/>
        <v>1</v>
      </c>
      <c r="J498" s="3182"/>
      <c r="K498" s="2914">
        <f t="shared" si="90"/>
        <v>1</v>
      </c>
      <c r="L498" s="3182"/>
      <c r="M498" s="2914">
        <f t="shared" si="91"/>
        <v>1</v>
      </c>
      <c r="N498" s="3182"/>
      <c r="O498" s="2914">
        <f t="shared" si="92"/>
        <v>1</v>
      </c>
      <c r="P498" s="3182"/>
      <c r="Q498" s="2914">
        <f t="shared" si="93"/>
        <v>1</v>
      </c>
      <c r="R498" s="2665">
        <f t="shared" si="94"/>
        <v>0</v>
      </c>
      <c r="S498" s="2790">
        <f t="shared" ref="S498:S524" si="95">ROUND(R498*B498/10000,0)</f>
        <v>0</v>
      </c>
    </row>
    <row r="499" spans="1:19">
      <c r="A499" s="2916"/>
      <c r="B499" s="3180"/>
      <c r="C499" s="2914">
        <f t="shared" si="86"/>
        <v>1</v>
      </c>
      <c r="D499" s="3182"/>
      <c r="E499" s="2914">
        <f t="shared" si="87"/>
        <v>1</v>
      </c>
      <c r="F499" s="3182"/>
      <c r="G499" s="2914">
        <f t="shared" si="88"/>
        <v>1</v>
      </c>
      <c r="H499" s="3182"/>
      <c r="I499" s="2914">
        <f t="shared" si="89"/>
        <v>1</v>
      </c>
      <c r="J499" s="3182"/>
      <c r="K499" s="2914">
        <f t="shared" si="90"/>
        <v>1</v>
      </c>
      <c r="L499" s="3182"/>
      <c r="M499" s="2914">
        <f t="shared" si="91"/>
        <v>1</v>
      </c>
      <c r="N499" s="3182"/>
      <c r="O499" s="2914">
        <f t="shared" si="92"/>
        <v>1</v>
      </c>
      <c r="P499" s="3182"/>
      <c r="Q499" s="2914">
        <f t="shared" si="93"/>
        <v>1</v>
      </c>
      <c r="R499" s="2665">
        <f t="shared" si="94"/>
        <v>0</v>
      </c>
      <c r="S499" s="2790">
        <f t="shared" si="95"/>
        <v>0</v>
      </c>
    </row>
    <row r="500" spans="1:19">
      <c r="A500" s="2916"/>
      <c r="B500" s="3180"/>
      <c r="C500" s="2914">
        <f t="shared" si="86"/>
        <v>1</v>
      </c>
      <c r="D500" s="3182"/>
      <c r="E500" s="2914">
        <f t="shared" si="87"/>
        <v>1</v>
      </c>
      <c r="F500" s="3182"/>
      <c r="G500" s="2914">
        <f t="shared" si="88"/>
        <v>1</v>
      </c>
      <c r="H500" s="3182"/>
      <c r="I500" s="2914">
        <f t="shared" si="89"/>
        <v>1</v>
      </c>
      <c r="J500" s="3182"/>
      <c r="K500" s="2914">
        <f t="shared" si="90"/>
        <v>1</v>
      </c>
      <c r="L500" s="3182"/>
      <c r="M500" s="2914">
        <f t="shared" si="91"/>
        <v>1</v>
      </c>
      <c r="N500" s="3182"/>
      <c r="O500" s="2914">
        <f t="shared" si="92"/>
        <v>1</v>
      </c>
      <c r="P500" s="3182"/>
      <c r="Q500" s="2914">
        <f t="shared" si="93"/>
        <v>1</v>
      </c>
      <c r="R500" s="2665">
        <f t="shared" si="94"/>
        <v>0</v>
      </c>
      <c r="S500" s="2790">
        <f t="shared" si="95"/>
        <v>0</v>
      </c>
    </row>
    <row r="501" spans="1:19">
      <c r="A501" s="2916"/>
      <c r="B501" s="3180"/>
      <c r="C501" s="2914">
        <f t="shared" si="86"/>
        <v>1</v>
      </c>
      <c r="D501" s="3182"/>
      <c r="E501" s="2914">
        <f t="shared" si="87"/>
        <v>1</v>
      </c>
      <c r="F501" s="3182"/>
      <c r="G501" s="2914">
        <f t="shared" si="88"/>
        <v>1</v>
      </c>
      <c r="H501" s="3182"/>
      <c r="I501" s="2914">
        <f t="shared" si="89"/>
        <v>1</v>
      </c>
      <c r="J501" s="3182"/>
      <c r="K501" s="2914">
        <f t="shared" si="90"/>
        <v>1</v>
      </c>
      <c r="L501" s="3182"/>
      <c r="M501" s="2914">
        <f t="shared" si="91"/>
        <v>1</v>
      </c>
      <c r="N501" s="3182"/>
      <c r="O501" s="2914">
        <f t="shared" si="92"/>
        <v>1</v>
      </c>
      <c r="P501" s="3182"/>
      <c r="Q501" s="2914">
        <f t="shared" si="93"/>
        <v>1</v>
      </c>
      <c r="R501" s="2665">
        <f t="shared" si="94"/>
        <v>0</v>
      </c>
      <c r="S501" s="2790">
        <f t="shared" si="95"/>
        <v>0</v>
      </c>
    </row>
    <row r="502" spans="1:19">
      <c r="A502" s="2916"/>
      <c r="B502" s="3180"/>
      <c r="C502" s="2914">
        <f t="shared" si="86"/>
        <v>1</v>
      </c>
      <c r="D502" s="3182"/>
      <c r="E502" s="2914">
        <f t="shared" si="87"/>
        <v>1</v>
      </c>
      <c r="F502" s="3182"/>
      <c r="G502" s="2914">
        <f t="shared" si="88"/>
        <v>1</v>
      </c>
      <c r="H502" s="3182"/>
      <c r="I502" s="2914">
        <f t="shared" si="89"/>
        <v>1</v>
      </c>
      <c r="J502" s="3182"/>
      <c r="K502" s="2914">
        <f t="shared" si="90"/>
        <v>1</v>
      </c>
      <c r="L502" s="3182"/>
      <c r="M502" s="2914">
        <f t="shared" si="91"/>
        <v>1</v>
      </c>
      <c r="N502" s="3182"/>
      <c r="O502" s="2914">
        <f t="shared" si="92"/>
        <v>1</v>
      </c>
      <c r="P502" s="3182"/>
      <c r="Q502" s="2914">
        <f t="shared" si="93"/>
        <v>1</v>
      </c>
      <c r="R502" s="2665">
        <f t="shared" si="94"/>
        <v>0</v>
      </c>
      <c r="S502" s="2790">
        <f t="shared" si="95"/>
        <v>0</v>
      </c>
    </row>
    <row r="503" spans="1:19">
      <c r="A503" s="2916"/>
      <c r="B503" s="3180"/>
      <c r="C503" s="2914">
        <f t="shared" si="86"/>
        <v>1</v>
      </c>
      <c r="D503" s="3182"/>
      <c r="E503" s="2914">
        <f t="shared" si="87"/>
        <v>1</v>
      </c>
      <c r="F503" s="3182"/>
      <c r="G503" s="2914">
        <f t="shared" si="88"/>
        <v>1</v>
      </c>
      <c r="H503" s="3182"/>
      <c r="I503" s="2914">
        <f t="shared" si="89"/>
        <v>1</v>
      </c>
      <c r="J503" s="3182"/>
      <c r="K503" s="2914">
        <f t="shared" si="90"/>
        <v>1</v>
      </c>
      <c r="L503" s="3182"/>
      <c r="M503" s="2914">
        <f t="shared" si="91"/>
        <v>1</v>
      </c>
      <c r="N503" s="3182"/>
      <c r="O503" s="2914">
        <f t="shared" si="92"/>
        <v>1</v>
      </c>
      <c r="P503" s="3182"/>
      <c r="Q503" s="2914">
        <f t="shared" si="93"/>
        <v>1</v>
      </c>
      <c r="R503" s="2665">
        <f t="shared" si="94"/>
        <v>0</v>
      </c>
      <c r="S503" s="2790">
        <f t="shared" si="95"/>
        <v>0</v>
      </c>
    </row>
    <row r="504" spans="1:19">
      <c r="A504" s="2916"/>
      <c r="B504" s="3180"/>
      <c r="C504" s="2914">
        <f t="shared" si="86"/>
        <v>1</v>
      </c>
      <c r="D504" s="3182"/>
      <c r="E504" s="2914">
        <f t="shared" si="87"/>
        <v>1</v>
      </c>
      <c r="F504" s="3182"/>
      <c r="G504" s="2914">
        <f t="shared" si="88"/>
        <v>1</v>
      </c>
      <c r="H504" s="3182"/>
      <c r="I504" s="2914">
        <f t="shared" si="89"/>
        <v>1</v>
      </c>
      <c r="J504" s="3182"/>
      <c r="K504" s="2914">
        <f t="shared" si="90"/>
        <v>1</v>
      </c>
      <c r="L504" s="3182"/>
      <c r="M504" s="2914">
        <f t="shared" si="91"/>
        <v>1</v>
      </c>
      <c r="N504" s="3182"/>
      <c r="O504" s="2914">
        <f t="shared" si="92"/>
        <v>1</v>
      </c>
      <c r="P504" s="3182"/>
      <c r="Q504" s="2914">
        <f t="shared" si="93"/>
        <v>1</v>
      </c>
      <c r="R504" s="2665">
        <f t="shared" si="94"/>
        <v>0</v>
      </c>
      <c r="S504" s="2790">
        <f t="shared" si="95"/>
        <v>0</v>
      </c>
    </row>
    <row r="505" spans="1:19">
      <c r="A505" s="2916"/>
      <c r="B505" s="3180"/>
      <c r="C505" s="2914">
        <f t="shared" si="86"/>
        <v>1</v>
      </c>
      <c r="D505" s="3182"/>
      <c r="E505" s="2914">
        <f t="shared" si="87"/>
        <v>1</v>
      </c>
      <c r="F505" s="3182"/>
      <c r="G505" s="2914">
        <f t="shared" si="88"/>
        <v>1</v>
      </c>
      <c r="H505" s="3182"/>
      <c r="I505" s="2914">
        <f t="shared" si="89"/>
        <v>1</v>
      </c>
      <c r="J505" s="3182"/>
      <c r="K505" s="2914">
        <f t="shared" si="90"/>
        <v>1</v>
      </c>
      <c r="L505" s="3182"/>
      <c r="M505" s="2914">
        <f t="shared" si="91"/>
        <v>1</v>
      </c>
      <c r="N505" s="3182"/>
      <c r="O505" s="2914">
        <f t="shared" si="92"/>
        <v>1</v>
      </c>
      <c r="P505" s="3182"/>
      <c r="Q505" s="2914">
        <f t="shared" si="93"/>
        <v>1</v>
      </c>
      <c r="R505" s="2665">
        <f t="shared" si="94"/>
        <v>0</v>
      </c>
      <c r="S505" s="2790">
        <f t="shared" si="95"/>
        <v>0</v>
      </c>
    </row>
    <row r="506" spans="1:19">
      <c r="A506" s="2916"/>
      <c r="B506" s="3180"/>
      <c r="C506" s="2914">
        <f t="shared" si="86"/>
        <v>1</v>
      </c>
      <c r="D506" s="3182"/>
      <c r="E506" s="2914">
        <f t="shared" si="87"/>
        <v>1</v>
      </c>
      <c r="F506" s="3182"/>
      <c r="G506" s="2914">
        <f t="shared" si="88"/>
        <v>1</v>
      </c>
      <c r="H506" s="3182"/>
      <c r="I506" s="2914">
        <f t="shared" si="89"/>
        <v>1</v>
      </c>
      <c r="J506" s="3182"/>
      <c r="K506" s="2914">
        <f t="shared" si="90"/>
        <v>1</v>
      </c>
      <c r="L506" s="3182"/>
      <c r="M506" s="2914">
        <f t="shared" si="91"/>
        <v>1</v>
      </c>
      <c r="N506" s="3182"/>
      <c r="O506" s="2914">
        <f t="shared" si="92"/>
        <v>1</v>
      </c>
      <c r="P506" s="3182"/>
      <c r="Q506" s="2914">
        <f t="shared" si="93"/>
        <v>1</v>
      </c>
      <c r="R506" s="2665">
        <f t="shared" si="94"/>
        <v>0</v>
      </c>
      <c r="S506" s="2790">
        <f t="shared" si="95"/>
        <v>0</v>
      </c>
    </row>
    <row r="507" spans="1:19">
      <c r="A507" s="2916"/>
      <c r="B507" s="3180"/>
      <c r="C507" s="2914">
        <f t="shared" si="86"/>
        <v>1</v>
      </c>
      <c r="D507" s="3182"/>
      <c r="E507" s="2914">
        <f t="shared" si="87"/>
        <v>1</v>
      </c>
      <c r="F507" s="3182"/>
      <c r="G507" s="2914">
        <f t="shared" si="88"/>
        <v>1</v>
      </c>
      <c r="H507" s="3182"/>
      <c r="I507" s="2914">
        <f t="shared" si="89"/>
        <v>1</v>
      </c>
      <c r="J507" s="3182"/>
      <c r="K507" s="2914">
        <f t="shared" si="90"/>
        <v>1</v>
      </c>
      <c r="L507" s="3182"/>
      <c r="M507" s="2914">
        <f t="shared" si="91"/>
        <v>1</v>
      </c>
      <c r="N507" s="3182"/>
      <c r="O507" s="2914">
        <f t="shared" si="92"/>
        <v>1</v>
      </c>
      <c r="P507" s="3182"/>
      <c r="Q507" s="2914">
        <f t="shared" si="93"/>
        <v>1</v>
      </c>
      <c r="R507" s="2665">
        <f t="shared" si="94"/>
        <v>0</v>
      </c>
      <c r="S507" s="2790">
        <f t="shared" si="95"/>
        <v>0</v>
      </c>
    </row>
    <row r="508" spans="1:19">
      <c r="A508" s="2916"/>
      <c r="B508" s="3180"/>
      <c r="C508" s="2914">
        <f t="shared" si="86"/>
        <v>1</v>
      </c>
      <c r="D508" s="3182"/>
      <c r="E508" s="2914">
        <f t="shared" si="87"/>
        <v>1</v>
      </c>
      <c r="F508" s="3182"/>
      <c r="G508" s="2914">
        <f t="shared" si="88"/>
        <v>1</v>
      </c>
      <c r="H508" s="3182"/>
      <c r="I508" s="2914">
        <f t="shared" si="89"/>
        <v>1</v>
      </c>
      <c r="J508" s="3182"/>
      <c r="K508" s="2914">
        <f t="shared" si="90"/>
        <v>1</v>
      </c>
      <c r="L508" s="3182"/>
      <c r="M508" s="2914">
        <f t="shared" si="91"/>
        <v>1</v>
      </c>
      <c r="N508" s="3182"/>
      <c r="O508" s="2914">
        <f t="shared" si="92"/>
        <v>1</v>
      </c>
      <c r="P508" s="3182"/>
      <c r="Q508" s="2914">
        <f t="shared" si="93"/>
        <v>1</v>
      </c>
      <c r="R508" s="2665">
        <f t="shared" si="94"/>
        <v>0</v>
      </c>
      <c r="S508" s="2790">
        <f t="shared" si="95"/>
        <v>0</v>
      </c>
    </row>
    <row r="509" spans="1:19">
      <c r="A509" s="2916"/>
      <c r="B509" s="3180"/>
      <c r="C509" s="2914">
        <f t="shared" si="86"/>
        <v>1</v>
      </c>
      <c r="D509" s="3182"/>
      <c r="E509" s="2914">
        <f t="shared" si="87"/>
        <v>1</v>
      </c>
      <c r="F509" s="3182"/>
      <c r="G509" s="2914">
        <f t="shared" si="88"/>
        <v>1</v>
      </c>
      <c r="H509" s="3182"/>
      <c r="I509" s="2914">
        <f t="shared" si="89"/>
        <v>1</v>
      </c>
      <c r="J509" s="3182"/>
      <c r="K509" s="2914">
        <f t="shared" si="90"/>
        <v>1</v>
      </c>
      <c r="L509" s="3182"/>
      <c r="M509" s="2914">
        <f t="shared" si="91"/>
        <v>1</v>
      </c>
      <c r="N509" s="3182"/>
      <c r="O509" s="2914">
        <f t="shared" si="92"/>
        <v>1</v>
      </c>
      <c r="P509" s="3182"/>
      <c r="Q509" s="2914">
        <f t="shared" si="93"/>
        <v>1</v>
      </c>
      <c r="R509" s="2665">
        <f t="shared" si="94"/>
        <v>0</v>
      </c>
      <c r="S509" s="2790">
        <f t="shared" si="95"/>
        <v>0</v>
      </c>
    </row>
    <row r="510" spans="1:19">
      <c r="A510" s="2916"/>
      <c r="B510" s="3180"/>
      <c r="C510" s="2914">
        <f t="shared" si="86"/>
        <v>1</v>
      </c>
      <c r="D510" s="3182"/>
      <c r="E510" s="2914">
        <f t="shared" si="87"/>
        <v>1</v>
      </c>
      <c r="F510" s="3182"/>
      <c r="G510" s="2914">
        <f t="shared" si="88"/>
        <v>1</v>
      </c>
      <c r="H510" s="3182"/>
      <c r="I510" s="2914">
        <f t="shared" si="89"/>
        <v>1</v>
      </c>
      <c r="J510" s="3182"/>
      <c r="K510" s="2914">
        <f t="shared" si="90"/>
        <v>1</v>
      </c>
      <c r="L510" s="3182"/>
      <c r="M510" s="2914">
        <f t="shared" si="91"/>
        <v>1</v>
      </c>
      <c r="N510" s="3182"/>
      <c r="O510" s="2914">
        <f t="shared" si="92"/>
        <v>1</v>
      </c>
      <c r="P510" s="3182"/>
      <c r="Q510" s="2914">
        <f t="shared" si="93"/>
        <v>1</v>
      </c>
      <c r="R510" s="2665">
        <f t="shared" si="94"/>
        <v>0</v>
      </c>
      <c r="S510" s="2790">
        <f t="shared" si="95"/>
        <v>0</v>
      </c>
    </row>
    <row r="511" spans="1:19">
      <c r="A511" s="2916"/>
      <c r="B511" s="3180"/>
      <c r="C511" s="2914">
        <f t="shared" si="86"/>
        <v>1</v>
      </c>
      <c r="D511" s="3182"/>
      <c r="E511" s="2914">
        <f t="shared" si="87"/>
        <v>1</v>
      </c>
      <c r="F511" s="3182"/>
      <c r="G511" s="2914">
        <f t="shared" si="88"/>
        <v>1</v>
      </c>
      <c r="H511" s="3182"/>
      <c r="I511" s="2914">
        <f t="shared" si="89"/>
        <v>1</v>
      </c>
      <c r="J511" s="3182"/>
      <c r="K511" s="2914">
        <f t="shared" si="90"/>
        <v>1</v>
      </c>
      <c r="L511" s="3182"/>
      <c r="M511" s="2914">
        <f t="shared" si="91"/>
        <v>1</v>
      </c>
      <c r="N511" s="3182"/>
      <c r="O511" s="2914">
        <f t="shared" si="92"/>
        <v>1</v>
      </c>
      <c r="P511" s="3182"/>
      <c r="Q511" s="2914">
        <f t="shared" si="93"/>
        <v>1</v>
      </c>
      <c r="R511" s="2665">
        <f t="shared" si="94"/>
        <v>0</v>
      </c>
      <c r="S511" s="2790">
        <f t="shared" si="95"/>
        <v>0</v>
      </c>
    </row>
    <row r="512" spans="1:19">
      <c r="A512" s="2916"/>
      <c r="B512" s="3180"/>
      <c r="C512" s="2914">
        <f t="shared" si="86"/>
        <v>1</v>
      </c>
      <c r="D512" s="3182"/>
      <c r="E512" s="2914">
        <f t="shared" si="87"/>
        <v>1</v>
      </c>
      <c r="F512" s="3182"/>
      <c r="G512" s="2914">
        <f t="shared" si="88"/>
        <v>1</v>
      </c>
      <c r="H512" s="3182"/>
      <c r="I512" s="2914">
        <f t="shared" si="89"/>
        <v>1</v>
      </c>
      <c r="J512" s="3182"/>
      <c r="K512" s="2914">
        <f t="shared" si="90"/>
        <v>1</v>
      </c>
      <c r="L512" s="3182"/>
      <c r="M512" s="2914">
        <f t="shared" si="91"/>
        <v>1</v>
      </c>
      <c r="N512" s="3182"/>
      <c r="O512" s="2914">
        <f t="shared" si="92"/>
        <v>1</v>
      </c>
      <c r="P512" s="3182"/>
      <c r="Q512" s="2914">
        <f t="shared" si="93"/>
        <v>1</v>
      </c>
      <c r="R512" s="2665">
        <f t="shared" si="94"/>
        <v>0</v>
      </c>
      <c r="S512" s="2790">
        <f t="shared" si="95"/>
        <v>0</v>
      </c>
    </row>
    <row r="513" spans="1:19">
      <c r="A513" s="2916"/>
      <c r="B513" s="3180"/>
      <c r="C513" s="2914">
        <f t="shared" si="86"/>
        <v>1</v>
      </c>
      <c r="D513" s="3182"/>
      <c r="E513" s="2914">
        <f t="shared" si="87"/>
        <v>1</v>
      </c>
      <c r="F513" s="3182"/>
      <c r="G513" s="2914">
        <f t="shared" si="88"/>
        <v>1</v>
      </c>
      <c r="H513" s="3182"/>
      <c r="I513" s="2914">
        <f t="shared" si="89"/>
        <v>1</v>
      </c>
      <c r="J513" s="3182"/>
      <c r="K513" s="2914">
        <f t="shared" si="90"/>
        <v>1</v>
      </c>
      <c r="L513" s="3182"/>
      <c r="M513" s="2914">
        <f t="shared" si="91"/>
        <v>1</v>
      </c>
      <c r="N513" s="3182"/>
      <c r="O513" s="2914">
        <f t="shared" si="92"/>
        <v>1</v>
      </c>
      <c r="P513" s="3182"/>
      <c r="Q513" s="2914">
        <f t="shared" si="93"/>
        <v>1</v>
      </c>
      <c r="R513" s="2665">
        <f t="shared" si="94"/>
        <v>0</v>
      </c>
      <c r="S513" s="2790">
        <f t="shared" si="95"/>
        <v>0</v>
      </c>
    </row>
    <row r="514" spans="1:19">
      <c r="A514" s="2916"/>
      <c r="B514" s="3180"/>
      <c r="C514" s="2914">
        <f t="shared" si="86"/>
        <v>1</v>
      </c>
      <c r="D514" s="3182"/>
      <c r="E514" s="2914">
        <f t="shared" si="87"/>
        <v>1</v>
      </c>
      <c r="F514" s="3182"/>
      <c r="G514" s="2914">
        <f t="shared" si="88"/>
        <v>1</v>
      </c>
      <c r="H514" s="3182"/>
      <c r="I514" s="2914">
        <f t="shared" si="89"/>
        <v>1</v>
      </c>
      <c r="J514" s="3182"/>
      <c r="K514" s="2914">
        <f t="shared" si="90"/>
        <v>1</v>
      </c>
      <c r="L514" s="3182"/>
      <c r="M514" s="2914">
        <f t="shared" si="91"/>
        <v>1</v>
      </c>
      <c r="N514" s="3182"/>
      <c r="O514" s="2914">
        <f t="shared" si="92"/>
        <v>1</v>
      </c>
      <c r="P514" s="3182"/>
      <c r="Q514" s="2914">
        <f t="shared" si="93"/>
        <v>1</v>
      </c>
      <c r="R514" s="2665">
        <f t="shared" si="94"/>
        <v>0</v>
      </c>
      <c r="S514" s="2790">
        <f t="shared" si="95"/>
        <v>0</v>
      </c>
    </row>
    <row r="515" spans="1:19">
      <c r="A515" s="2916"/>
      <c r="B515" s="3180"/>
      <c r="C515" s="2914">
        <f t="shared" si="86"/>
        <v>1</v>
      </c>
      <c r="D515" s="3182"/>
      <c r="E515" s="2914">
        <f t="shared" si="87"/>
        <v>1</v>
      </c>
      <c r="F515" s="3182"/>
      <c r="G515" s="2914">
        <f t="shared" si="88"/>
        <v>1</v>
      </c>
      <c r="H515" s="3182"/>
      <c r="I515" s="2914">
        <f t="shared" si="89"/>
        <v>1</v>
      </c>
      <c r="J515" s="3182"/>
      <c r="K515" s="2914">
        <f t="shared" si="90"/>
        <v>1</v>
      </c>
      <c r="L515" s="3182"/>
      <c r="M515" s="2914">
        <f t="shared" si="91"/>
        <v>1</v>
      </c>
      <c r="N515" s="3182"/>
      <c r="O515" s="2914">
        <f t="shared" si="92"/>
        <v>1</v>
      </c>
      <c r="P515" s="3182"/>
      <c r="Q515" s="2914">
        <f t="shared" si="93"/>
        <v>1</v>
      </c>
      <c r="R515" s="2665">
        <f t="shared" si="94"/>
        <v>0</v>
      </c>
      <c r="S515" s="2790">
        <f t="shared" si="95"/>
        <v>0</v>
      </c>
    </row>
    <row r="516" spans="1:19">
      <c r="A516" s="2916"/>
      <c r="B516" s="3180"/>
      <c r="C516" s="2914">
        <f t="shared" si="86"/>
        <v>1</v>
      </c>
      <c r="D516" s="3182"/>
      <c r="E516" s="2914">
        <f t="shared" si="87"/>
        <v>1</v>
      </c>
      <c r="F516" s="3182"/>
      <c r="G516" s="2914">
        <f t="shared" si="88"/>
        <v>1</v>
      </c>
      <c r="H516" s="3182"/>
      <c r="I516" s="2914">
        <f t="shared" si="89"/>
        <v>1</v>
      </c>
      <c r="J516" s="3182"/>
      <c r="K516" s="2914">
        <f t="shared" si="90"/>
        <v>1</v>
      </c>
      <c r="L516" s="3182"/>
      <c r="M516" s="2914">
        <f t="shared" si="91"/>
        <v>1</v>
      </c>
      <c r="N516" s="3182"/>
      <c r="O516" s="2914">
        <f t="shared" si="92"/>
        <v>1</v>
      </c>
      <c r="P516" s="3182"/>
      <c r="Q516" s="2914">
        <f t="shared" si="93"/>
        <v>1</v>
      </c>
      <c r="R516" s="2665">
        <f t="shared" si="94"/>
        <v>0</v>
      </c>
      <c r="S516" s="2790">
        <f t="shared" si="95"/>
        <v>0</v>
      </c>
    </row>
    <row r="517" spans="1:19">
      <c r="A517" s="2916"/>
      <c r="B517" s="3180"/>
      <c r="C517" s="2914">
        <f t="shared" si="86"/>
        <v>1</v>
      </c>
      <c r="D517" s="3182"/>
      <c r="E517" s="2914">
        <f t="shared" si="87"/>
        <v>1</v>
      </c>
      <c r="F517" s="3182"/>
      <c r="G517" s="2914">
        <f t="shared" si="88"/>
        <v>1</v>
      </c>
      <c r="H517" s="3182"/>
      <c r="I517" s="2914">
        <f t="shared" si="89"/>
        <v>1</v>
      </c>
      <c r="J517" s="3182"/>
      <c r="K517" s="2914">
        <f t="shared" si="90"/>
        <v>1</v>
      </c>
      <c r="L517" s="3182"/>
      <c r="M517" s="2914">
        <f t="shared" si="91"/>
        <v>1</v>
      </c>
      <c r="N517" s="3182"/>
      <c r="O517" s="2914">
        <f t="shared" si="92"/>
        <v>1</v>
      </c>
      <c r="P517" s="3182"/>
      <c r="Q517" s="2914">
        <f t="shared" si="93"/>
        <v>1</v>
      </c>
      <c r="R517" s="2665">
        <f t="shared" si="94"/>
        <v>0</v>
      </c>
      <c r="S517" s="2790">
        <f t="shared" si="95"/>
        <v>0</v>
      </c>
    </row>
    <row r="518" spans="1:19">
      <c r="A518" s="2916"/>
      <c r="B518" s="3180"/>
      <c r="C518" s="2914">
        <f t="shared" si="86"/>
        <v>1</v>
      </c>
      <c r="D518" s="3182"/>
      <c r="E518" s="2914">
        <f t="shared" si="87"/>
        <v>1</v>
      </c>
      <c r="F518" s="3182"/>
      <c r="G518" s="2914">
        <f t="shared" si="88"/>
        <v>1</v>
      </c>
      <c r="H518" s="3182"/>
      <c r="I518" s="2914">
        <f t="shared" si="89"/>
        <v>1</v>
      </c>
      <c r="J518" s="3182"/>
      <c r="K518" s="2914">
        <f t="shared" si="90"/>
        <v>1</v>
      </c>
      <c r="L518" s="3182"/>
      <c r="M518" s="2914">
        <f t="shared" si="91"/>
        <v>1</v>
      </c>
      <c r="N518" s="3182"/>
      <c r="O518" s="2914">
        <f t="shared" si="92"/>
        <v>1</v>
      </c>
      <c r="P518" s="3182"/>
      <c r="Q518" s="2914">
        <f t="shared" si="93"/>
        <v>1</v>
      </c>
      <c r="R518" s="2665">
        <f t="shared" si="94"/>
        <v>0</v>
      </c>
      <c r="S518" s="2790">
        <f t="shared" si="95"/>
        <v>0</v>
      </c>
    </row>
    <row r="519" spans="1:19">
      <c r="A519" s="2916"/>
      <c r="B519" s="3180"/>
      <c r="C519" s="2914">
        <f t="shared" si="86"/>
        <v>1</v>
      </c>
      <c r="D519" s="3182"/>
      <c r="E519" s="2914">
        <f t="shared" si="87"/>
        <v>1</v>
      </c>
      <c r="F519" s="3182"/>
      <c r="G519" s="2914">
        <f t="shared" si="88"/>
        <v>1</v>
      </c>
      <c r="H519" s="3182"/>
      <c r="I519" s="2914">
        <f t="shared" si="89"/>
        <v>1</v>
      </c>
      <c r="J519" s="3182"/>
      <c r="K519" s="2914">
        <f t="shared" si="90"/>
        <v>1</v>
      </c>
      <c r="L519" s="3182"/>
      <c r="M519" s="2914">
        <f t="shared" si="91"/>
        <v>1</v>
      </c>
      <c r="N519" s="3182"/>
      <c r="O519" s="2914">
        <f t="shared" si="92"/>
        <v>1</v>
      </c>
      <c r="P519" s="3182"/>
      <c r="Q519" s="2914">
        <f t="shared" si="93"/>
        <v>1</v>
      </c>
      <c r="R519" s="2665">
        <f t="shared" si="94"/>
        <v>0</v>
      </c>
      <c r="S519" s="2790">
        <f t="shared" si="95"/>
        <v>0</v>
      </c>
    </row>
    <row r="520" spans="1:19">
      <c r="A520" s="2916"/>
      <c r="B520" s="3180"/>
      <c r="C520" s="2914">
        <f t="shared" si="86"/>
        <v>1</v>
      </c>
      <c r="D520" s="3182"/>
      <c r="E520" s="2914">
        <f t="shared" si="87"/>
        <v>1</v>
      </c>
      <c r="F520" s="3182"/>
      <c r="G520" s="2914">
        <f t="shared" si="88"/>
        <v>1</v>
      </c>
      <c r="H520" s="3182"/>
      <c r="I520" s="2914">
        <f t="shared" si="89"/>
        <v>1</v>
      </c>
      <c r="J520" s="3182"/>
      <c r="K520" s="2914">
        <f t="shared" si="90"/>
        <v>1</v>
      </c>
      <c r="L520" s="3182"/>
      <c r="M520" s="2914">
        <f t="shared" si="91"/>
        <v>1</v>
      </c>
      <c r="N520" s="3182"/>
      <c r="O520" s="2914">
        <f t="shared" si="92"/>
        <v>1</v>
      </c>
      <c r="P520" s="3182"/>
      <c r="Q520" s="2914">
        <f t="shared" si="93"/>
        <v>1</v>
      </c>
      <c r="R520" s="2665">
        <f t="shared" si="94"/>
        <v>0</v>
      </c>
      <c r="S520" s="2790">
        <f t="shared" si="95"/>
        <v>0</v>
      </c>
    </row>
    <row r="521" spans="1:19">
      <c r="A521" s="2916"/>
      <c r="B521" s="3180"/>
      <c r="C521" s="2914">
        <f t="shared" si="86"/>
        <v>1</v>
      </c>
      <c r="D521" s="3182"/>
      <c r="E521" s="2914">
        <f t="shared" si="87"/>
        <v>1</v>
      </c>
      <c r="F521" s="3182"/>
      <c r="G521" s="2914">
        <f t="shared" si="88"/>
        <v>1</v>
      </c>
      <c r="H521" s="3182"/>
      <c r="I521" s="2914">
        <f t="shared" si="89"/>
        <v>1</v>
      </c>
      <c r="J521" s="3182"/>
      <c r="K521" s="2914">
        <f t="shared" si="90"/>
        <v>1</v>
      </c>
      <c r="L521" s="3182"/>
      <c r="M521" s="2914">
        <f t="shared" si="91"/>
        <v>1</v>
      </c>
      <c r="N521" s="3182"/>
      <c r="O521" s="2914">
        <f t="shared" si="92"/>
        <v>1</v>
      </c>
      <c r="P521" s="3182"/>
      <c r="Q521" s="2914">
        <f t="shared" si="93"/>
        <v>1</v>
      </c>
      <c r="R521" s="2665">
        <f t="shared" si="94"/>
        <v>0</v>
      </c>
      <c r="S521" s="2790">
        <f t="shared" si="95"/>
        <v>0</v>
      </c>
    </row>
    <row r="522" spans="1:19">
      <c r="A522" s="2916"/>
      <c r="B522" s="3180"/>
      <c r="C522" s="2914">
        <f t="shared" si="86"/>
        <v>1</v>
      </c>
      <c r="D522" s="3182"/>
      <c r="E522" s="2914">
        <f t="shared" si="87"/>
        <v>1</v>
      </c>
      <c r="F522" s="3182"/>
      <c r="G522" s="2914">
        <f t="shared" si="88"/>
        <v>1</v>
      </c>
      <c r="H522" s="3182"/>
      <c r="I522" s="2914">
        <f t="shared" si="89"/>
        <v>1</v>
      </c>
      <c r="J522" s="3182"/>
      <c r="K522" s="2914">
        <f t="shared" si="90"/>
        <v>1</v>
      </c>
      <c r="L522" s="3182"/>
      <c r="M522" s="2914">
        <f t="shared" si="91"/>
        <v>1</v>
      </c>
      <c r="N522" s="3182"/>
      <c r="O522" s="2914">
        <f t="shared" si="92"/>
        <v>1</v>
      </c>
      <c r="P522" s="3182"/>
      <c r="Q522" s="2914">
        <f t="shared" si="93"/>
        <v>1</v>
      </c>
      <c r="R522" s="2665">
        <f t="shared" si="94"/>
        <v>0</v>
      </c>
      <c r="S522" s="2790">
        <f t="shared" si="95"/>
        <v>0</v>
      </c>
    </row>
    <row r="523" spans="1:19">
      <c r="A523" s="2916"/>
      <c r="B523" s="3180"/>
      <c r="C523" s="2914">
        <f t="shared" si="86"/>
        <v>1</v>
      </c>
      <c r="D523" s="3182"/>
      <c r="E523" s="2914">
        <f t="shared" si="87"/>
        <v>1</v>
      </c>
      <c r="F523" s="3182"/>
      <c r="G523" s="2914">
        <f t="shared" si="88"/>
        <v>1</v>
      </c>
      <c r="H523" s="3182"/>
      <c r="I523" s="2914">
        <f t="shared" si="89"/>
        <v>1</v>
      </c>
      <c r="J523" s="3182"/>
      <c r="K523" s="2914">
        <f t="shared" si="90"/>
        <v>1</v>
      </c>
      <c r="L523" s="3182"/>
      <c r="M523" s="2914">
        <f t="shared" si="91"/>
        <v>1</v>
      </c>
      <c r="N523" s="3182"/>
      <c r="O523" s="2914">
        <f t="shared" si="92"/>
        <v>1</v>
      </c>
      <c r="P523" s="3182"/>
      <c r="Q523" s="2914">
        <f t="shared" si="93"/>
        <v>1</v>
      </c>
      <c r="R523" s="2665">
        <f t="shared" si="94"/>
        <v>0</v>
      </c>
      <c r="S523" s="2790">
        <f t="shared" si="95"/>
        <v>0</v>
      </c>
    </row>
    <row r="524" spans="1:19">
      <c r="A524" s="2916"/>
      <c r="B524" s="3180"/>
      <c r="C524" s="2914">
        <f t="shared" si="86"/>
        <v>1</v>
      </c>
      <c r="D524" s="3182"/>
      <c r="E524" s="2914">
        <f t="shared" si="87"/>
        <v>1</v>
      </c>
      <c r="F524" s="3182"/>
      <c r="G524" s="2914">
        <f t="shared" si="88"/>
        <v>1</v>
      </c>
      <c r="H524" s="3182"/>
      <c r="I524" s="2914">
        <f t="shared" si="89"/>
        <v>1</v>
      </c>
      <c r="J524" s="3182"/>
      <c r="K524" s="2914">
        <f t="shared" si="90"/>
        <v>1</v>
      </c>
      <c r="L524" s="3182"/>
      <c r="M524" s="2914">
        <f t="shared" si="91"/>
        <v>1</v>
      </c>
      <c r="N524" s="3182"/>
      <c r="O524" s="2914">
        <f t="shared" si="92"/>
        <v>1</v>
      </c>
      <c r="P524" s="3182"/>
      <c r="Q524" s="2914">
        <f t="shared" si="93"/>
        <v>1</v>
      </c>
      <c r="R524" s="2665">
        <f t="shared" si="94"/>
        <v>0</v>
      </c>
      <c r="S524" s="2790">
        <f t="shared" si="95"/>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disablePrompts="1"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925D9-DA88-4D01-BCF6-410982CE7913}">
  <sheetPr>
    <tabColor rgb="FF92D050"/>
    <pageSetUpPr fitToPage="1"/>
  </sheetPr>
  <dimension ref="A1:AC131"/>
  <sheetViews>
    <sheetView view="pageBreakPreview" topLeftCell="A22" zoomScale="85" zoomScaleNormal="70" zoomScaleSheetLayoutView="85" workbookViewId="0">
      <selection activeCell="E36" sqref="E36"/>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4" t="s">
        <v>1673</v>
      </c>
      <c r="C1" s="826" t="s">
        <v>1569</v>
      </c>
      <c r="D1" s="813" t="s">
        <v>4067</v>
      </c>
      <c r="E1" s="2472" t="s">
        <v>4118</v>
      </c>
      <c r="F1" s="1353" t="s">
        <v>4147</v>
      </c>
      <c r="G1" s="823" t="s">
        <v>1570</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671</v>
      </c>
      <c r="B2" s="3714">
        <f>IF(C2="含税",D2,ROUND(D2/(1+F3),0))</f>
        <v>0.13880000000000001</v>
      </c>
      <c r="C2" s="2784" t="s">
        <v>4120</v>
      </c>
      <c r="D2" s="3737">
        <f>IF(E1="项目模式",IF(E2="——",ROUND(C49*D3/10000,0),ROUND(C49*D3/10000,0)-F2),IF(E1="单套模式",IF(E2="——",ROUND(C49*D3/10000,4),ROUND(C49*D3/10000,4)-F2)))</f>
        <v>0.13880000000000001</v>
      </c>
      <c r="E2" s="1355" t="s">
        <v>41</v>
      </c>
      <c r="F2" s="3738"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672</v>
      </c>
      <c r="B3" s="2880">
        <f>IF(E2="——",C49,ROUND(B2*10000/D3,0))</f>
        <v>10</v>
      </c>
      <c r="C3" s="234" t="s">
        <v>1572</v>
      </c>
      <c r="D3" s="2880">
        <f>IF(D1="",'数据-汇总表'!E3,SUMIF('数据-汇总表'!$C19:$C33,D1,'数据-汇总表'!$E19:$E33))</f>
        <v>138.79</v>
      </c>
      <c r="E3" s="3847" t="s">
        <v>3466</v>
      </c>
      <c r="F3" s="3848">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1573</v>
      </c>
      <c r="B4" s="236"/>
      <c r="C4" s="4518" t="s">
        <v>1574</v>
      </c>
      <c r="D4" s="4519"/>
      <c r="E4" s="4520" t="s">
        <v>1575</v>
      </c>
      <c r="F4" s="4521"/>
      <c r="G4" s="4518" t="s">
        <v>1576</v>
      </c>
      <c r="H4" s="4519"/>
      <c r="I4" s="4518" t="s">
        <v>1577</v>
      </c>
      <c r="J4" s="4519"/>
      <c r="K4" s="2863" t="s">
        <v>1578</v>
      </c>
      <c r="L4" s="1974"/>
      <c r="M4" s="1975"/>
      <c r="N4" s="1975"/>
      <c r="O4" s="1975"/>
      <c r="P4" s="4522" t="s">
        <v>1579</v>
      </c>
      <c r="Q4" s="4523"/>
      <c r="R4" s="4504" t="s">
        <v>1575</v>
      </c>
      <c r="S4" s="4505"/>
      <c r="T4" s="4504" t="s">
        <v>1576</v>
      </c>
      <c r="U4" s="4505"/>
      <c r="V4" s="4530" t="s">
        <v>1577</v>
      </c>
      <c r="W4" s="4530"/>
      <c r="X4" s="909"/>
      <c r="Y4" s="4533" t="s">
        <v>1579</v>
      </c>
      <c r="Z4" s="4534"/>
      <c r="AA4" s="4498" t="s">
        <v>1575</v>
      </c>
      <c r="AB4" s="4501" t="s">
        <v>1576</v>
      </c>
      <c r="AC4" s="4498" t="s">
        <v>1577</v>
      </c>
    </row>
    <row r="5" spans="1:29" ht="15">
      <c r="A5" s="238"/>
      <c r="B5" s="239"/>
      <c r="C5" s="4510" t="s">
        <v>1580</v>
      </c>
      <c r="D5" s="4511"/>
      <c r="E5" s="4587" t="s">
        <v>4143</v>
      </c>
      <c r="F5" s="4509"/>
      <c r="G5" s="4588" t="s">
        <v>4144</v>
      </c>
      <c r="H5" s="4511"/>
      <c r="I5" s="4588" t="s">
        <v>4123</v>
      </c>
      <c r="J5" s="4511"/>
      <c r="K5" s="2863"/>
      <c r="L5" s="1974"/>
      <c r="M5" s="1975"/>
      <c r="N5" s="1975"/>
      <c r="O5" s="1975"/>
      <c r="P5" s="4524"/>
      <c r="Q5" s="4525"/>
      <c r="R5" s="4506"/>
      <c r="S5" s="4507"/>
      <c r="T5" s="4506"/>
      <c r="U5" s="4507"/>
      <c r="V5" s="4530"/>
      <c r="W5" s="4530"/>
      <c r="X5" s="909"/>
      <c r="Y5" s="4535"/>
      <c r="Z5" s="4536"/>
      <c r="AA5" s="4499"/>
      <c r="AB5" s="4501"/>
      <c r="AC5" s="4499"/>
    </row>
    <row r="6" spans="1:29" ht="15.75" thickBot="1">
      <c r="A6" s="240"/>
      <c r="B6" s="241"/>
      <c r="C6" s="4512" t="s">
        <v>1584</v>
      </c>
      <c r="D6" s="4513"/>
      <c r="E6" s="4514" t="s">
        <v>1584</v>
      </c>
      <c r="F6" s="4515"/>
      <c r="G6" s="4512" t="s">
        <v>1584</v>
      </c>
      <c r="H6" s="4513"/>
      <c r="I6" s="4512" t="s">
        <v>1584</v>
      </c>
      <c r="J6" s="4513"/>
      <c r="K6" s="2863" t="s">
        <v>1585</v>
      </c>
      <c r="L6" s="1974"/>
      <c r="M6" s="1975"/>
      <c r="N6" s="1975"/>
      <c r="O6" s="1975"/>
      <c r="P6" s="4526"/>
      <c r="Q6" s="4527"/>
      <c r="R6" s="4506"/>
      <c r="S6" s="4507"/>
      <c r="T6" s="4528"/>
      <c r="U6" s="4529"/>
      <c r="V6" s="4530"/>
      <c r="W6" s="4530"/>
      <c r="X6" s="909"/>
      <c r="Y6" s="4537"/>
      <c r="Z6" s="4538"/>
      <c r="AA6" s="4500"/>
      <c r="AB6" s="4501"/>
      <c r="AC6" s="4500"/>
    </row>
    <row r="7" spans="1:29" s="46" customFormat="1" ht="15.75" thickBot="1">
      <c r="A7" s="242" t="s">
        <v>1586</v>
      </c>
      <c r="B7" s="243"/>
      <c r="C7" s="244">
        <f>'数据-取费表'!B2</f>
        <v>46050</v>
      </c>
      <c r="D7" s="2886">
        <v>100</v>
      </c>
      <c r="E7" s="2840">
        <f>C7</f>
        <v>46050</v>
      </c>
      <c r="F7" s="3717">
        <f>SUMIF(58:58,YEAR(E7)&amp;"-"&amp;MONTH(E7),59:59)</f>
        <v>100</v>
      </c>
      <c r="G7" s="2840">
        <f>C7</f>
        <v>46050</v>
      </c>
      <c r="H7" s="3729">
        <f>SUMIF(58:58,YEAR(G7)&amp;"-"&amp;MONTH(G7),59:59)</f>
        <v>100</v>
      </c>
      <c r="I7" s="2840">
        <f>C7</f>
        <v>46050</v>
      </c>
      <c r="J7" s="3729">
        <f>SUMIF(58:58,YEAR(I7)&amp;"-"&amp;MONTH(I7),59:59)</f>
        <v>100</v>
      </c>
      <c r="K7" s="2856"/>
      <c r="L7" s="1976"/>
      <c r="M7" s="1929"/>
      <c r="N7" s="1929"/>
      <c r="O7" s="1929"/>
      <c r="P7" s="4531" t="s">
        <v>1587</v>
      </c>
      <c r="Q7" s="4539"/>
      <c r="R7" s="3633" t="s">
        <v>13</v>
      </c>
      <c r="S7" s="3156">
        <f t="shared" ref="S7:S15" si="0">F7</f>
        <v>100</v>
      </c>
      <c r="T7" s="3633" t="s">
        <v>13</v>
      </c>
      <c r="U7" s="3156">
        <f t="shared" ref="U7:U15" si="1">H7</f>
        <v>100</v>
      </c>
      <c r="V7" s="3633" t="s">
        <v>13</v>
      </c>
      <c r="W7" s="3156">
        <f t="shared" ref="W7:W15" si="2">J7</f>
        <v>100</v>
      </c>
      <c r="X7" s="482"/>
      <c r="Y7" s="4502" t="s">
        <v>1587</v>
      </c>
      <c r="Z7" s="4503"/>
      <c r="AA7" s="28">
        <f>D7/F7</f>
        <v>1</v>
      </c>
      <c r="AB7" s="28">
        <f>D7/H7</f>
        <v>1</v>
      </c>
      <c r="AC7" s="28">
        <f>D7/J7</f>
        <v>1</v>
      </c>
    </row>
    <row r="8" spans="1:29" s="46" customFormat="1" ht="15.75" thickBot="1">
      <c r="A8" s="242" t="s">
        <v>1588</v>
      </c>
      <c r="B8" s="243"/>
      <c r="C8" s="246" t="s">
        <v>4124</v>
      </c>
      <c r="D8" s="2886">
        <v>100</v>
      </c>
      <c r="E8" s="2812" t="s">
        <v>4125</v>
      </c>
      <c r="F8" s="3717">
        <f>SUMIF(61:61,E8,62:62)-SUMIF(61:61,C8,62:62)+100</f>
        <v>105</v>
      </c>
      <c r="G8" s="2812" t="s">
        <v>4125</v>
      </c>
      <c r="H8" s="3729">
        <f>SUMIF(61:61,G8,62:62)-SUMIF(61:61,C8,62:62)+100</f>
        <v>105</v>
      </c>
      <c r="I8" s="2812" t="s">
        <v>4125</v>
      </c>
      <c r="J8" s="3729">
        <f>SUMIF(61:61,I8,62:62)-SUMIF(61:61,C8,62:62)+100</f>
        <v>105</v>
      </c>
      <c r="K8" s="2856"/>
      <c r="L8" s="1976"/>
      <c r="M8" s="1929"/>
      <c r="N8" s="1929"/>
      <c r="O8" s="1929"/>
      <c r="P8" s="4531" t="s">
        <v>1590</v>
      </c>
      <c r="Q8" s="4532"/>
      <c r="R8" s="3633" t="s">
        <v>13</v>
      </c>
      <c r="S8" s="3156">
        <f t="shared" si="0"/>
        <v>105</v>
      </c>
      <c r="T8" s="3633" t="s">
        <v>13</v>
      </c>
      <c r="U8" s="3156">
        <f t="shared" si="1"/>
        <v>105</v>
      </c>
      <c r="V8" s="3633" t="s">
        <v>13</v>
      </c>
      <c r="W8" s="3156">
        <f t="shared" si="2"/>
        <v>105</v>
      </c>
      <c r="X8" s="482"/>
      <c r="Y8" s="4502" t="s">
        <v>1590</v>
      </c>
      <c r="Z8" s="4503"/>
      <c r="AA8" s="28">
        <f t="shared" ref="AA8:AA46" si="3">D8/F8</f>
        <v>0.95238095238095233</v>
      </c>
      <c r="AB8" s="28">
        <f t="shared" ref="AB8:AB46" si="4">D8/H8</f>
        <v>0.95238095238095233</v>
      </c>
      <c r="AC8" s="28">
        <f t="shared" ref="AC8:AC46" si="5">D8/J8</f>
        <v>0.95238095238095233</v>
      </c>
    </row>
    <row r="9" spans="1:29" s="46" customFormat="1">
      <c r="A9" s="247" t="s">
        <v>1591</v>
      </c>
      <c r="B9" s="2792" t="s">
        <v>1592</v>
      </c>
      <c r="C9" s="4259" t="s">
        <v>4126</v>
      </c>
      <c r="D9" s="2887">
        <v>100</v>
      </c>
      <c r="E9" s="2841" t="s">
        <v>660</v>
      </c>
      <c r="F9" s="3718">
        <f>SUMIF(63:63,E9,64:64)-SUMIF(63:63,C9,64:64)+100</f>
        <v>100</v>
      </c>
      <c r="G9" s="2841" t="s">
        <v>660</v>
      </c>
      <c r="H9" s="3730">
        <f>SUMIF(63:63,G9,64:64)-SUMIF(63:63,C9,64:64)+100</f>
        <v>100</v>
      </c>
      <c r="I9" s="2841" t="s">
        <v>660</v>
      </c>
      <c r="J9" s="3730">
        <f>SUMIF(63:63,I9,64:64)-SUMIF(63:63,C9,64:64)+100</f>
        <v>100</v>
      </c>
      <c r="K9" s="2856"/>
      <c r="L9" s="1976"/>
      <c r="M9" s="1929"/>
      <c r="N9" s="1929"/>
      <c r="O9" s="1929"/>
      <c r="P9" s="4516" t="s">
        <v>1593</v>
      </c>
      <c r="Q9" s="1698" t="str">
        <f t="shared" ref="Q9:Q15" si="6">B9</f>
        <v>用途</v>
      </c>
      <c r="R9" s="3633" t="s">
        <v>13</v>
      </c>
      <c r="S9" s="3156">
        <f t="shared" si="0"/>
        <v>100</v>
      </c>
      <c r="T9" s="3633" t="s">
        <v>13</v>
      </c>
      <c r="U9" s="3156">
        <f t="shared" si="1"/>
        <v>100</v>
      </c>
      <c r="V9" s="3633" t="s">
        <v>13</v>
      </c>
      <c r="W9" s="3156">
        <f t="shared" si="2"/>
        <v>100</v>
      </c>
      <c r="X9" s="482"/>
      <c r="Y9" s="4517"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56"/>
      <c r="L10" s="1977"/>
      <c r="M10" s="1978"/>
      <c r="N10" s="1978"/>
      <c r="O10" s="1978"/>
      <c r="P10" s="4516"/>
      <c r="Q10" s="1698" t="str">
        <f t="shared" si="6"/>
        <v>土地使用年限（年）</v>
      </c>
      <c r="R10" s="3633" t="s">
        <v>13</v>
      </c>
      <c r="S10" s="3156">
        <f t="shared" si="0"/>
        <v>100</v>
      </c>
      <c r="T10" s="3633" t="s">
        <v>13</v>
      </c>
      <c r="U10" s="3156">
        <f t="shared" si="1"/>
        <v>100</v>
      </c>
      <c r="V10" s="3633" t="s">
        <v>13</v>
      </c>
      <c r="W10" s="3156">
        <f t="shared" si="2"/>
        <v>100</v>
      </c>
      <c r="X10" s="482"/>
      <c r="Y10" s="4517"/>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57"/>
      <c r="L11" s="1979"/>
      <c r="M11" s="1975"/>
      <c r="N11" s="1975"/>
      <c r="O11" s="1975"/>
      <c r="P11" s="4516"/>
      <c r="Q11" s="1698" t="str">
        <f t="shared" si="6"/>
        <v>容积率</v>
      </c>
      <c r="R11" s="3633" t="s">
        <v>13</v>
      </c>
      <c r="S11" s="3156">
        <f t="shared" si="0"/>
        <v>100</v>
      </c>
      <c r="T11" s="3633" t="s">
        <v>13</v>
      </c>
      <c r="U11" s="3156">
        <f t="shared" si="1"/>
        <v>100</v>
      </c>
      <c r="V11" s="3633" t="s">
        <v>13</v>
      </c>
      <c r="W11" s="3156">
        <f t="shared" si="2"/>
        <v>100</v>
      </c>
      <c r="X11" s="482"/>
      <c r="Y11" s="4517"/>
      <c r="Z11" s="28" t="str">
        <f t="shared" si="7"/>
        <v>容积率</v>
      </c>
      <c r="AA11" s="28">
        <f t="shared" si="3"/>
        <v>1</v>
      </c>
      <c r="AB11" s="28">
        <f t="shared" si="4"/>
        <v>1</v>
      </c>
      <c r="AC11" s="28">
        <f t="shared" si="5"/>
        <v>1</v>
      </c>
    </row>
    <row r="12" spans="1:29" s="46" customFormat="1" ht="15">
      <c r="A12" s="257"/>
      <c r="B12" s="4260" t="s">
        <v>4130</v>
      </c>
      <c r="C12" s="2816"/>
      <c r="D12" s="2889">
        <v>100</v>
      </c>
      <c r="E12" s="2817"/>
      <c r="F12" s="3719">
        <f>SUMIF(70:70,E12,71:71)-SUMIF(70:70,C12,71:71)+100</f>
        <v>100</v>
      </c>
      <c r="G12" s="2817"/>
      <c r="H12" s="3731">
        <f>SUMIF(70:70,G12,71:71)-SUMIF(70:70,C12,71:71)+100</f>
        <v>100</v>
      </c>
      <c r="I12" s="2817"/>
      <c r="J12" s="3731">
        <f>SUMIF(70:70,I12,71:71)-SUMIF(70:70,C12,71:71)+100</f>
        <v>100</v>
      </c>
      <c r="K12" s="2858"/>
      <c r="L12" s="1976"/>
      <c r="M12" s="1929"/>
      <c r="N12" s="1929"/>
      <c r="O12" s="1929"/>
      <c r="P12" s="4516"/>
      <c r="Q12" s="1698" t="str">
        <f t="shared" si="6"/>
        <v>土地剩余年期</v>
      </c>
      <c r="R12" s="3633" t="s">
        <v>13</v>
      </c>
      <c r="S12" s="3156">
        <f t="shared" si="0"/>
        <v>100</v>
      </c>
      <c r="T12" s="3633" t="s">
        <v>13</v>
      </c>
      <c r="U12" s="3156">
        <f t="shared" si="1"/>
        <v>100</v>
      </c>
      <c r="V12" s="3633" t="s">
        <v>13</v>
      </c>
      <c r="W12" s="3156">
        <f t="shared" si="2"/>
        <v>100</v>
      </c>
      <c r="X12" s="482"/>
      <c r="Y12" s="4517"/>
      <c r="Z12" s="28" t="str">
        <f t="shared" si="7"/>
        <v>土地剩余年期</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58"/>
      <c r="L13" s="1980"/>
      <c r="M13" s="1975"/>
      <c r="N13" s="1975"/>
      <c r="O13" s="1975"/>
      <c r="P13" s="4516"/>
      <c r="Q13" s="1698">
        <f t="shared" si="6"/>
        <v>111</v>
      </c>
      <c r="R13" s="3633" t="s">
        <v>13</v>
      </c>
      <c r="S13" s="3156">
        <f t="shared" si="0"/>
        <v>100</v>
      </c>
      <c r="T13" s="3633" t="s">
        <v>13</v>
      </c>
      <c r="U13" s="3156">
        <f t="shared" si="1"/>
        <v>100</v>
      </c>
      <c r="V13" s="3633" t="s">
        <v>13</v>
      </c>
      <c r="W13" s="3156">
        <f t="shared" si="2"/>
        <v>100</v>
      </c>
      <c r="X13" s="482"/>
      <c r="Y13" s="4517"/>
      <c r="Z13" s="28">
        <f t="shared" si="7"/>
        <v>111</v>
      </c>
      <c r="AA13" s="28">
        <f t="shared" si="3"/>
        <v>1</v>
      </c>
      <c r="AB13" s="28">
        <f t="shared" si="4"/>
        <v>1</v>
      </c>
      <c r="AC13" s="28">
        <f t="shared" si="5"/>
        <v>1</v>
      </c>
    </row>
    <row r="14" spans="1:29" ht="15.75" thickBot="1">
      <c r="A14" s="260"/>
      <c r="B14" s="2794">
        <v>111</v>
      </c>
      <c r="C14" s="2818"/>
      <c r="D14" s="2891">
        <v>100</v>
      </c>
      <c r="E14" s="2817"/>
      <c r="F14" s="3720">
        <f>SUMIF(74:74,E14,75:75)-SUMIF(74:74,C14,75:75)+100</f>
        <v>100</v>
      </c>
      <c r="G14" s="2817"/>
      <c r="H14" s="3727">
        <f>SUMIF(74:74,G14,75:75)-SUMIF(74:74,C14,75:75)+100</f>
        <v>100</v>
      </c>
      <c r="I14" s="2817"/>
      <c r="J14" s="3727">
        <f>SUMIF(74:74,I14,75:75)-SUMIF(74:74,C14,75:75)+100</f>
        <v>100</v>
      </c>
      <c r="K14" s="2858"/>
      <c r="L14" s="1980"/>
      <c r="M14" s="1975"/>
      <c r="N14" s="1975"/>
      <c r="O14" s="1975"/>
      <c r="P14" s="4516"/>
      <c r="Q14" s="1698">
        <f t="shared" si="6"/>
        <v>111</v>
      </c>
      <c r="R14" s="3633" t="s">
        <v>13</v>
      </c>
      <c r="S14" s="3156">
        <f t="shared" si="0"/>
        <v>100</v>
      </c>
      <c r="T14" s="3633" t="s">
        <v>13</v>
      </c>
      <c r="U14" s="3156">
        <f t="shared" si="1"/>
        <v>100</v>
      </c>
      <c r="V14" s="3633" t="s">
        <v>13</v>
      </c>
      <c r="W14" s="3156">
        <f t="shared" si="2"/>
        <v>100</v>
      </c>
      <c r="X14" s="482"/>
      <c r="Y14" s="4517"/>
      <c r="Z14" s="28">
        <f t="shared" si="7"/>
        <v>111</v>
      </c>
      <c r="AA14" s="28">
        <f t="shared" si="3"/>
        <v>1</v>
      </c>
      <c r="AB14" s="28">
        <f t="shared" si="4"/>
        <v>1</v>
      </c>
      <c r="AC14" s="28">
        <f t="shared" si="5"/>
        <v>1</v>
      </c>
    </row>
    <row r="15" spans="1:29" ht="15">
      <c r="A15" s="262" t="s">
        <v>1597</v>
      </c>
      <c r="B15" s="2795" t="s">
        <v>1684</v>
      </c>
      <c r="C15" s="2819">
        <f>估价对象房地状况!C4</f>
        <v>0</v>
      </c>
      <c r="D15" s="2892">
        <v>100</v>
      </c>
      <c r="E15" s="2844"/>
      <c r="F15" s="3739">
        <f>SUMIF(76:76,E16,77:77)-SUMIF(76:76,C16,77:77)+100</f>
        <v>100</v>
      </c>
      <c r="G15" s="2850"/>
      <c r="H15" s="3721">
        <f>SUMIF(76:76,G16,77:77)-SUMIF(76:76,C16,77:77)+100</f>
        <v>100</v>
      </c>
      <c r="I15" s="2844"/>
      <c r="J15" s="3721">
        <f>SUMIF(76:76,I16,77:77)-SUMIF(76:76,C16,77:77)+100</f>
        <v>100</v>
      </c>
      <c r="K15" s="2859">
        <v>5</v>
      </c>
      <c r="L15" s="1980"/>
      <c r="M15" s="1975"/>
      <c r="N15" s="1975"/>
      <c r="O15" s="1975"/>
      <c r="P15" s="4540" t="s">
        <v>1598</v>
      </c>
      <c r="Q15" s="1507" t="str">
        <f t="shared" si="6"/>
        <v>商业繁华度</v>
      </c>
      <c r="R15" s="3735" t="s">
        <v>13</v>
      </c>
      <c r="S15" s="3157">
        <f t="shared" si="0"/>
        <v>100</v>
      </c>
      <c r="T15" s="3735" t="s">
        <v>13</v>
      </c>
      <c r="U15" s="3157">
        <f t="shared" si="1"/>
        <v>100</v>
      </c>
      <c r="V15" s="3735" t="s">
        <v>13</v>
      </c>
      <c r="W15" s="3157">
        <f t="shared" si="2"/>
        <v>100</v>
      </c>
      <c r="X15" s="909"/>
      <c r="Y15" s="4542" t="s">
        <v>1598</v>
      </c>
      <c r="Z15" s="907" t="str">
        <f t="shared" si="7"/>
        <v>商业繁华度</v>
      </c>
      <c r="AA15" s="907">
        <f t="shared" si="3"/>
        <v>1</v>
      </c>
      <c r="AB15" s="907">
        <f t="shared" si="4"/>
        <v>1</v>
      </c>
      <c r="AC15" s="907">
        <f t="shared" si="5"/>
        <v>1</v>
      </c>
    </row>
    <row r="16" spans="1:29" ht="15">
      <c r="A16" s="254"/>
      <c r="B16" s="2796"/>
      <c r="C16" s="2820" t="s">
        <v>3602</v>
      </c>
      <c r="D16" s="2893"/>
      <c r="E16" s="2820" t="s">
        <v>3602</v>
      </c>
      <c r="F16" s="3740"/>
      <c r="G16" s="2820" t="s">
        <v>3602</v>
      </c>
      <c r="H16" s="3723"/>
      <c r="I16" s="2820" t="s">
        <v>3602</v>
      </c>
      <c r="J16" s="3722"/>
      <c r="K16" s="2860"/>
      <c r="L16" s="1980"/>
      <c r="M16" s="1975"/>
      <c r="N16" s="1975"/>
      <c r="O16" s="1975"/>
      <c r="P16" s="4541"/>
      <c r="Q16" s="1507"/>
      <c r="R16" s="3735"/>
      <c r="S16" s="3157"/>
      <c r="T16" s="3735"/>
      <c r="U16" s="3157"/>
      <c r="V16" s="3735"/>
      <c r="W16" s="3157"/>
      <c r="X16" s="909"/>
      <c r="Y16" s="4543"/>
      <c r="Z16" s="907"/>
      <c r="AA16" s="907">
        <v>1</v>
      </c>
      <c r="AB16" s="907">
        <v>1</v>
      </c>
      <c r="AC16" s="907">
        <v>1</v>
      </c>
    </row>
    <row r="17" spans="1:29" ht="15">
      <c r="A17" s="254"/>
      <c r="B17" s="2797" t="s">
        <v>1237</v>
      </c>
      <c r="C17" s="2821">
        <f>估价对象房地状况!C6</f>
        <v>0</v>
      </c>
      <c r="D17" s="2894">
        <v>100</v>
      </c>
      <c r="E17" s="2845"/>
      <c r="F17" s="3741">
        <f>SUMIF(78:78,E18,79:79)-SUMIF(78:78,C18,79:79)+100</f>
        <v>100</v>
      </c>
      <c r="G17" s="2851"/>
      <c r="H17" s="3724">
        <f>SUMIF(78:78,G18,79:79)-SUMIF(78:78,C18,79:79)+100</f>
        <v>100</v>
      </c>
      <c r="I17" s="2845"/>
      <c r="J17" s="3724">
        <f>SUMIF(78:78,I18,79:79)-SUMIF(78:78,C18,79:79)+100</f>
        <v>100</v>
      </c>
      <c r="K17" s="2859">
        <v>2</v>
      </c>
      <c r="L17" s="1980"/>
      <c r="M17" s="1975"/>
      <c r="N17" s="1975"/>
      <c r="O17" s="1975"/>
      <c r="P17" s="4541"/>
      <c r="Q17" s="1507" t="str">
        <f>B17</f>
        <v>交通便捷度</v>
      </c>
      <c r="R17" s="3735" t="s">
        <v>13</v>
      </c>
      <c r="S17" s="3157">
        <f>F17</f>
        <v>100</v>
      </c>
      <c r="T17" s="3735" t="s">
        <v>13</v>
      </c>
      <c r="U17" s="3157">
        <f>H17</f>
        <v>100</v>
      </c>
      <c r="V17" s="3735" t="s">
        <v>13</v>
      </c>
      <c r="W17" s="3157">
        <f>J17</f>
        <v>100</v>
      </c>
      <c r="X17" s="909"/>
      <c r="Y17" s="4543"/>
      <c r="Z17" s="907" t="str">
        <f>Q17</f>
        <v>交通便捷度</v>
      </c>
      <c r="AA17" s="907">
        <f t="shared" si="3"/>
        <v>1</v>
      </c>
      <c r="AB17" s="907">
        <f t="shared" si="4"/>
        <v>1</v>
      </c>
      <c r="AC17" s="907">
        <f t="shared" si="5"/>
        <v>1</v>
      </c>
    </row>
    <row r="18" spans="1:29" ht="15">
      <c r="A18" s="254"/>
      <c r="B18" s="2798"/>
      <c r="C18" s="2822" t="s">
        <v>3602</v>
      </c>
      <c r="D18" s="2894"/>
      <c r="E18" s="2846" t="s">
        <v>3602</v>
      </c>
      <c r="F18" s="3741"/>
      <c r="G18" s="2852" t="s">
        <v>3602</v>
      </c>
      <c r="H18" s="3722"/>
      <c r="I18" s="2846" t="s">
        <v>3602</v>
      </c>
      <c r="J18" s="3722"/>
      <c r="K18" s="2860"/>
      <c r="L18" s="1980"/>
      <c r="M18" s="1975"/>
      <c r="N18" s="1975"/>
      <c r="O18" s="1975"/>
      <c r="P18" s="4541"/>
      <c r="Q18" s="1507"/>
      <c r="R18" s="3735"/>
      <c r="S18" s="3157"/>
      <c r="T18" s="3735"/>
      <c r="U18" s="3157"/>
      <c r="V18" s="3735"/>
      <c r="W18" s="3157"/>
      <c r="X18" s="909"/>
      <c r="Y18" s="4543"/>
      <c r="Z18" s="907"/>
      <c r="AA18" s="907">
        <v>1</v>
      </c>
      <c r="AB18" s="907">
        <v>1</v>
      </c>
      <c r="AC18" s="907">
        <v>1</v>
      </c>
    </row>
    <row r="19" spans="1:29" ht="15">
      <c r="A19" s="254"/>
      <c r="B19" s="2797" t="s">
        <v>1685</v>
      </c>
      <c r="C19" s="2821">
        <f>估价对象房地状况!C7</f>
        <v>0</v>
      </c>
      <c r="D19" s="2895">
        <v>100</v>
      </c>
      <c r="E19" s="2847"/>
      <c r="F19" s="3742">
        <f>SUMIF(80:80,E20,81:81)-SUMIF(80:80,C20,81:81)+100</f>
        <v>100</v>
      </c>
      <c r="G19" s="2853"/>
      <c r="H19" s="3723">
        <f>SUMIF(80:80,G20,81:81)-SUMIF(80:80,C20,81:81)+100</f>
        <v>100</v>
      </c>
      <c r="I19" s="2847"/>
      <c r="J19" s="3723">
        <f>SUMIF(80:80,I20,81:81)-SUMIF(80:80,C20,81:81)+100</f>
        <v>100</v>
      </c>
      <c r="K19" s="2859">
        <v>2</v>
      </c>
      <c r="L19" s="1980"/>
      <c r="M19" s="1975"/>
      <c r="N19" s="1975"/>
      <c r="O19" s="1975"/>
      <c r="P19" s="4541"/>
      <c r="Q19" s="1507" t="str">
        <f>B19</f>
        <v>公共配套设施</v>
      </c>
      <c r="R19" s="3735" t="s">
        <v>13</v>
      </c>
      <c r="S19" s="3157">
        <f>F19</f>
        <v>100</v>
      </c>
      <c r="T19" s="3735" t="s">
        <v>13</v>
      </c>
      <c r="U19" s="3157">
        <f>H19</f>
        <v>100</v>
      </c>
      <c r="V19" s="3735" t="s">
        <v>13</v>
      </c>
      <c r="W19" s="3157">
        <f>J19</f>
        <v>100</v>
      </c>
      <c r="X19" s="909"/>
      <c r="Y19" s="4543"/>
      <c r="Z19" s="907" t="str">
        <f>Q19</f>
        <v>公共配套设施</v>
      </c>
      <c r="AA19" s="907">
        <f t="shared" si="3"/>
        <v>1</v>
      </c>
      <c r="AB19" s="907">
        <f t="shared" si="4"/>
        <v>1</v>
      </c>
      <c r="AC19" s="907">
        <f t="shared" si="5"/>
        <v>1</v>
      </c>
    </row>
    <row r="20" spans="1:29" ht="15">
      <c r="A20" s="254"/>
      <c r="B20" s="2798"/>
      <c r="C20" s="2820" t="s">
        <v>3602</v>
      </c>
      <c r="D20" s="2893"/>
      <c r="E20" s="2848" t="s">
        <v>3602</v>
      </c>
      <c r="F20" s="3740"/>
      <c r="G20" s="2854" t="s">
        <v>3602</v>
      </c>
      <c r="H20" s="3722"/>
      <c r="I20" s="2848" t="s">
        <v>3602</v>
      </c>
      <c r="J20" s="3722"/>
      <c r="K20" s="2860"/>
      <c r="L20" s="1980"/>
      <c r="M20" s="1975"/>
      <c r="N20" s="1975"/>
      <c r="O20" s="1975"/>
      <c r="P20" s="4541"/>
      <c r="Q20" s="1507"/>
      <c r="R20" s="3735"/>
      <c r="S20" s="3157"/>
      <c r="T20" s="3735"/>
      <c r="U20" s="3157"/>
      <c r="V20" s="3735"/>
      <c r="W20" s="3157"/>
      <c r="X20" s="909"/>
      <c r="Y20" s="4543"/>
      <c r="Z20" s="907"/>
      <c r="AA20" s="907">
        <v>1</v>
      </c>
      <c r="AB20" s="907">
        <v>1</v>
      </c>
      <c r="AC20" s="907">
        <v>1</v>
      </c>
    </row>
    <row r="21" spans="1:29" ht="15">
      <c r="A21" s="254"/>
      <c r="B21" s="2799" t="s">
        <v>1686</v>
      </c>
      <c r="C21" s="2821">
        <f>估价对象房地状况!C8</f>
        <v>0</v>
      </c>
      <c r="D21" s="2895">
        <v>100</v>
      </c>
      <c r="E21" s="2847"/>
      <c r="F21" s="3742">
        <f>SUMIF(82:82,E22,83:83)-SUMIF(82:82,C22,83:83)+100</f>
        <v>100</v>
      </c>
      <c r="G21" s="2853"/>
      <c r="H21" s="3723">
        <f>SUMIF(82:82,G22,83:83)-SUMIF(82:82,C22,83:83)+100</f>
        <v>100</v>
      </c>
      <c r="I21" s="2847"/>
      <c r="J21" s="3723">
        <f>SUMIF(82:82,I22,83:83)-SUMIF(82:82,C22,83:83)+100</f>
        <v>100</v>
      </c>
      <c r="K21" s="2859">
        <v>2</v>
      </c>
      <c r="L21" s="1980"/>
      <c r="M21" s="1975"/>
      <c r="N21" s="1975"/>
      <c r="O21" s="1975"/>
      <c r="P21" s="4541"/>
      <c r="Q21" s="1507" t="str">
        <f>B21</f>
        <v>基础设施水平</v>
      </c>
      <c r="R21" s="3735" t="s">
        <v>13</v>
      </c>
      <c r="S21" s="3157">
        <f>F21</f>
        <v>100</v>
      </c>
      <c r="T21" s="3735" t="s">
        <v>13</v>
      </c>
      <c r="U21" s="3157">
        <f>H21</f>
        <v>100</v>
      </c>
      <c r="V21" s="3735" t="s">
        <v>13</v>
      </c>
      <c r="W21" s="3157">
        <f>J21</f>
        <v>100</v>
      </c>
      <c r="X21" s="909"/>
      <c r="Y21" s="4543"/>
      <c r="Z21" s="907" t="str">
        <f>Q21</f>
        <v>基础设施水平</v>
      </c>
      <c r="AA21" s="907">
        <f t="shared" ref="AA21" si="8">D21/F21</f>
        <v>1</v>
      </c>
      <c r="AB21" s="907">
        <f t="shared" ref="AB21" si="9">D21/H21</f>
        <v>1</v>
      </c>
      <c r="AC21" s="907">
        <f t="shared" ref="AC21" si="10">D21/J21</f>
        <v>1</v>
      </c>
    </row>
    <row r="22" spans="1:29" ht="15">
      <c r="A22" s="254"/>
      <c r="B22" s="2799"/>
      <c r="C22" s="2822" t="s">
        <v>3603</v>
      </c>
      <c r="D22" s="2893"/>
      <c r="E22" s="2820" t="s">
        <v>3603</v>
      </c>
      <c r="F22" s="3740"/>
      <c r="G22" s="2820" t="s">
        <v>3603</v>
      </c>
      <c r="H22" s="3722"/>
      <c r="I22" s="2820" t="s">
        <v>3603</v>
      </c>
      <c r="J22" s="3722"/>
      <c r="K22" s="2861"/>
      <c r="L22" s="1980"/>
      <c r="M22" s="1975"/>
      <c r="N22" s="1975"/>
      <c r="O22" s="1975"/>
      <c r="P22" s="4541"/>
      <c r="Q22" s="1507"/>
      <c r="R22" s="3735"/>
      <c r="S22" s="3157"/>
      <c r="T22" s="3735"/>
      <c r="U22" s="3157"/>
      <c r="V22" s="3735"/>
      <c r="W22" s="3157"/>
      <c r="X22" s="909"/>
      <c r="Y22" s="4543"/>
      <c r="Z22" s="907"/>
      <c r="AA22" s="907">
        <v>1</v>
      </c>
      <c r="AB22" s="907">
        <v>1</v>
      </c>
      <c r="AC22" s="907">
        <v>1</v>
      </c>
    </row>
    <row r="23" spans="1:29" ht="15">
      <c r="A23" s="254"/>
      <c r="B23" s="2797" t="s">
        <v>1239</v>
      </c>
      <c r="C23" s="2835">
        <f>估价对象房地状况!C9</f>
        <v>0</v>
      </c>
      <c r="D23" s="2894">
        <v>100</v>
      </c>
      <c r="E23" s="2845"/>
      <c r="F23" s="3741">
        <f>SUMIF(84:84,E24,85:85)-SUMIF(84:84,C24,85:85)+100</f>
        <v>100</v>
      </c>
      <c r="G23" s="2851"/>
      <c r="H23" s="3723">
        <f>SUMIF(84:84,G24,85:85)-SUMIF(84:84,C24,85:85)+100</f>
        <v>100</v>
      </c>
      <c r="I23" s="2845"/>
      <c r="J23" s="3723">
        <f>SUMIF(84:84,I24,85:85)-SUMIF(84:84,C24,85:85)+100</f>
        <v>100</v>
      </c>
      <c r="K23" s="2859">
        <v>2</v>
      </c>
      <c r="L23" s="1980"/>
      <c r="M23" s="1975"/>
      <c r="N23" s="1975"/>
      <c r="O23" s="1975"/>
      <c r="P23" s="4541"/>
      <c r="Q23" s="1507" t="str">
        <f>B23</f>
        <v>自然及人文环境</v>
      </c>
      <c r="R23" s="3735" t="s">
        <v>13</v>
      </c>
      <c r="S23" s="3157">
        <f>F23</f>
        <v>100</v>
      </c>
      <c r="T23" s="3735" t="s">
        <v>13</v>
      </c>
      <c r="U23" s="3157">
        <f>H23</f>
        <v>100</v>
      </c>
      <c r="V23" s="3735" t="s">
        <v>13</v>
      </c>
      <c r="W23" s="3157">
        <f>J23</f>
        <v>100</v>
      </c>
      <c r="X23" s="909"/>
      <c r="Y23" s="4543"/>
      <c r="Z23" s="907" t="str">
        <f>Q23</f>
        <v>自然及人文环境</v>
      </c>
      <c r="AA23" s="907">
        <f t="shared" si="3"/>
        <v>1</v>
      </c>
      <c r="AB23" s="907">
        <f t="shared" si="4"/>
        <v>1</v>
      </c>
      <c r="AC23" s="907">
        <f t="shared" si="5"/>
        <v>1</v>
      </c>
    </row>
    <row r="24" spans="1:29" ht="15">
      <c r="A24" s="254"/>
      <c r="B24" s="2798"/>
      <c r="C24" s="2820" t="s">
        <v>3602</v>
      </c>
      <c r="D24" s="2893"/>
      <c r="E24" s="2848" t="s">
        <v>3602</v>
      </c>
      <c r="F24" s="3740"/>
      <c r="G24" s="2854" t="s">
        <v>3602</v>
      </c>
      <c r="H24" s="3722"/>
      <c r="I24" s="2848" t="s">
        <v>3602</v>
      </c>
      <c r="J24" s="3722"/>
      <c r="K24" s="2860"/>
      <c r="L24" s="1980"/>
      <c r="M24" s="1975"/>
      <c r="N24" s="1975"/>
      <c r="O24" s="1975"/>
      <c r="P24" s="4541"/>
      <c r="Q24" s="1507"/>
      <c r="R24" s="3735"/>
      <c r="S24" s="3157"/>
      <c r="T24" s="3735"/>
      <c r="U24" s="3157"/>
      <c r="V24" s="3735"/>
      <c r="W24" s="3157"/>
      <c r="X24" s="909"/>
      <c r="Y24" s="4543"/>
      <c r="Z24" s="907"/>
      <c r="AA24" s="907">
        <v>1</v>
      </c>
      <c r="AB24" s="907">
        <v>1</v>
      </c>
      <c r="AC24" s="907">
        <v>1</v>
      </c>
    </row>
    <row r="25" spans="1:29" ht="15">
      <c r="A25" s="254"/>
      <c r="B25" s="2789" t="s">
        <v>1687</v>
      </c>
      <c r="C25" s="2836" t="s">
        <v>4093</v>
      </c>
      <c r="D25" s="2890">
        <v>100</v>
      </c>
      <c r="E25" s="2836" t="s">
        <v>4092</v>
      </c>
      <c r="F25" s="3728">
        <f>SUMIF(86:86,E25,87:87)-SUMIF(86:86,C25,87:87)+100</f>
        <v>105</v>
      </c>
      <c r="G25" s="2836" t="s">
        <v>4092</v>
      </c>
      <c r="H25" s="3725">
        <f>SUMIF(86:86,G25,87:87)-SUMIF(86:86,C25,87:87)+100</f>
        <v>105</v>
      </c>
      <c r="I25" s="2836" t="s">
        <v>4093</v>
      </c>
      <c r="J25" s="3725">
        <f>SUMIF(86:86,I25,87:87)-SUMIF(86:86,C25,87:87)+100</f>
        <v>100</v>
      </c>
      <c r="K25" s="2857">
        <v>5</v>
      </c>
      <c r="L25" s="1980"/>
      <c r="M25" s="1975"/>
      <c r="N25" s="1975"/>
      <c r="O25" s="1975"/>
      <c r="P25" s="4541"/>
      <c r="Q25" s="1507" t="str">
        <f t="shared" ref="Q25:Q46" si="11">B25</f>
        <v>临街状况</v>
      </c>
      <c r="R25" s="3735" t="s">
        <v>13</v>
      </c>
      <c r="S25" s="3157">
        <f>F25</f>
        <v>105</v>
      </c>
      <c r="T25" s="3735" t="s">
        <v>13</v>
      </c>
      <c r="U25" s="3157">
        <f>H25</f>
        <v>105</v>
      </c>
      <c r="V25" s="3735" t="s">
        <v>13</v>
      </c>
      <c r="W25" s="3157">
        <f>J25</f>
        <v>100</v>
      </c>
      <c r="X25" s="909"/>
      <c r="Y25" s="4543"/>
      <c r="Z25" s="907" t="str">
        <f>Q25</f>
        <v>临街状况</v>
      </c>
      <c r="AA25" s="907">
        <f t="shared" si="3"/>
        <v>0.95238095238095233</v>
      </c>
      <c r="AB25" s="907">
        <f t="shared" si="4"/>
        <v>0.95238095238095233</v>
      </c>
      <c r="AC25" s="907">
        <f t="shared" si="5"/>
        <v>1</v>
      </c>
    </row>
    <row r="26" spans="1:29" ht="15">
      <c r="A26" s="254"/>
      <c r="B26" s="2800" t="s">
        <v>1688</v>
      </c>
      <c r="C26" s="4266" t="s">
        <v>4148</v>
      </c>
      <c r="D26" s="2890">
        <v>100</v>
      </c>
      <c r="E26" s="4266" t="s">
        <v>4149</v>
      </c>
      <c r="F26" s="3728">
        <f>SUMIF(88:88,E26,89:89)-SUMIF(88:88,C26,89:89)+100</f>
        <v>100</v>
      </c>
      <c r="G26" s="4266" t="s">
        <v>4149</v>
      </c>
      <c r="H26" s="3725">
        <f>SUMIF(88:88,G26,89:89)-SUMIF(88:88,C26,89:89)+100</f>
        <v>100</v>
      </c>
      <c r="I26" s="4266" t="s">
        <v>4149</v>
      </c>
      <c r="J26" s="3725">
        <f>SUMIF(88:88,I26,89:89)-SUMIF(88:88,C26,89:89)+100</f>
        <v>100</v>
      </c>
      <c r="K26" s="2858"/>
      <c r="L26" s="1980"/>
      <c r="M26" s="1975"/>
      <c r="N26" s="1975"/>
      <c r="O26" s="1975"/>
      <c r="P26" s="4541"/>
      <c r="Q26" s="1507" t="str">
        <f t="shared" si="11"/>
        <v>平面位置/可视性</v>
      </c>
      <c r="R26" s="3735" t="s">
        <v>13</v>
      </c>
      <c r="S26" s="3157">
        <f>F26</f>
        <v>100</v>
      </c>
      <c r="T26" s="3735" t="s">
        <v>13</v>
      </c>
      <c r="U26" s="3157">
        <f>H26</f>
        <v>100</v>
      </c>
      <c r="V26" s="3735" t="s">
        <v>13</v>
      </c>
      <c r="W26" s="3157">
        <f>J26</f>
        <v>100</v>
      </c>
      <c r="X26" s="909"/>
      <c r="Y26" s="4543"/>
      <c r="Z26" s="907" t="str">
        <f>Q26</f>
        <v>平面位置/可视性</v>
      </c>
      <c r="AA26" s="907">
        <f t="shared" si="3"/>
        <v>1</v>
      </c>
      <c r="AB26" s="907">
        <f t="shared" si="4"/>
        <v>1</v>
      </c>
      <c r="AC26" s="907">
        <f t="shared" si="5"/>
        <v>1</v>
      </c>
    </row>
    <row r="27" spans="1:29" s="46" customFormat="1" ht="15">
      <c r="A27" s="257"/>
      <c r="B27" s="2797" t="s">
        <v>1689</v>
      </c>
      <c r="C27" s="2837" t="s">
        <v>4097</v>
      </c>
      <c r="D27" s="2896">
        <v>100</v>
      </c>
      <c r="E27" s="2837" t="s">
        <v>4097</v>
      </c>
      <c r="F27" s="3743">
        <f>SUMIF(90:90,E27,91:91)-SUMIF(90:90,C27,91:91)+100</f>
        <v>100</v>
      </c>
      <c r="G27" s="2837" t="s">
        <v>4097</v>
      </c>
      <c r="H27" s="3726">
        <f>SUMIF(90:90,G27,91:91)-SUMIF(90:90,C27,91:91)+100</f>
        <v>100</v>
      </c>
      <c r="I27" s="2837" t="s">
        <v>3601</v>
      </c>
      <c r="J27" s="3726">
        <f>SUMIF(90:90,I27,91:91)-SUMIF(90:90,C27,91:91)+100</f>
        <v>98</v>
      </c>
      <c r="K27" s="2857">
        <v>2</v>
      </c>
      <c r="L27" s="1976"/>
      <c r="M27" s="1929"/>
      <c r="N27" s="1929"/>
      <c r="O27" s="1929"/>
      <c r="P27" s="4541"/>
      <c r="Q27" s="1698" t="str">
        <f t="shared" si="11"/>
        <v>人流量</v>
      </c>
      <c r="R27" s="3633" t="s">
        <v>13</v>
      </c>
      <c r="S27" s="3156">
        <f>F27</f>
        <v>100</v>
      </c>
      <c r="T27" s="3633" t="s">
        <v>13</v>
      </c>
      <c r="U27" s="3156">
        <f>H27</f>
        <v>100</v>
      </c>
      <c r="V27" s="3633" t="s">
        <v>13</v>
      </c>
      <c r="W27" s="3156">
        <f>J27</f>
        <v>98</v>
      </c>
      <c r="X27" s="482"/>
      <c r="Y27" s="4543"/>
      <c r="Z27" s="28" t="str">
        <f>Q27</f>
        <v>人流量</v>
      </c>
      <c r="AA27" s="907">
        <f>D27/F27</f>
        <v>1</v>
      </c>
      <c r="AB27" s="907">
        <f>D27/H27</f>
        <v>1</v>
      </c>
      <c r="AC27" s="907">
        <f>D27/J27</f>
        <v>1.0204081632653061</v>
      </c>
    </row>
    <row r="28" spans="1:29" ht="15">
      <c r="A28" s="254"/>
      <c r="B28" s="2789" t="s">
        <v>1690</v>
      </c>
      <c r="C28" s="2836" t="s">
        <v>4100</v>
      </c>
      <c r="D28" s="2890">
        <v>100</v>
      </c>
      <c r="E28" s="2836" t="s">
        <v>4100</v>
      </c>
      <c r="F28" s="3728">
        <f>SUMIF(92:92,E28,93:93)-SUMIF(92:92,C28,93:93)+100</f>
        <v>100</v>
      </c>
      <c r="G28" s="2836" t="s">
        <v>4100</v>
      </c>
      <c r="H28" s="3725">
        <f>SUMIF(92:92,G28,93:93)-SUMIF(92:92,C28,93:93)+100</f>
        <v>100</v>
      </c>
      <c r="I28" s="2836" t="s">
        <v>4100</v>
      </c>
      <c r="J28" s="3725">
        <f>SUMIF(92:92,I28,93:93)-SUMIF(92:92,C28,93:93)+100</f>
        <v>100</v>
      </c>
      <c r="K28" s="2858"/>
      <c r="L28" s="1980"/>
      <c r="M28" s="1975"/>
      <c r="N28" s="1975"/>
      <c r="O28" s="1975"/>
      <c r="P28" s="4541"/>
      <c r="Q28" s="1507" t="str">
        <f t="shared" si="11"/>
        <v>楼层</v>
      </c>
      <c r="R28" s="3735" t="s">
        <v>13</v>
      </c>
      <c r="S28" s="3157">
        <f t="shared" ref="S28:S46" si="12">F28</f>
        <v>100</v>
      </c>
      <c r="T28" s="3735" t="s">
        <v>13</v>
      </c>
      <c r="U28" s="3157">
        <f t="shared" ref="U28:U46" si="13">H28</f>
        <v>100</v>
      </c>
      <c r="V28" s="3735" t="s">
        <v>13</v>
      </c>
      <c r="W28" s="3157">
        <f t="shared" ref="W28:W46" si="14">J28</f>
        <v>100</v>
      </c>
      <c r="X28" s="909"/>
      <c r="Y28" s="4543"/>
      <c r="Z28" s="907" t="str">
        <f t="shared" ref="Z28:Z46" si="15">Q28</f>
        <v>楼层</v>
      </c>
      <c r="AA28" s="907">
        <f t="shared" si="3"/>
        <v>1</v>
      </c>
      <c r="AB28" s="907">
        <f t="shared" si="4"/>
        <v>1</v>
      </c>
      <c r="AC28" s="907">
        <f t="shared" si="5"/>
        <v>1</v>
      </c>
    </row>
    <row r="29" spans="1:29" ht="15">
      <c r="A29" s="254"/>
      <c r="B29" s="2800">
        <v>111</v>
      </c>
      <c r="C29" s="2817"/>
      <c r="D29" s="2890">
        <v>100</v>
      </c>
      <c r="E29" s="2817"/>
      <c r="F29" s="3728">
        <f>SUMIF(94:94,E29,95:95)-SUMIF(94:94,C29,95:95)+100</f>
        <v>100</v>
      </c>
      <c r="G29" s="2817"/>
      <c r="H29" s="3725">
        <f>SUMIF(94:94,G29,95:95)-SUMIF(94:94,C29,95:95)+100</f>
        <v>100</v>
      </c>
      <c r="I29" s="2817"/>
      <c r="J29" s="3725">
        <f>SUMIF(94:94,I29,95:95)-SUMIF(94:94,C29,95:95)+100</f>
        <v>100</v>
      </c>
      <c r="K29" s="2858"/>
      <c r="L29" s="1980"/>
      <c r="M29" s="1975"/>
      <c r="N29" s="1975"/>
      <c r="O29" s="1975"/>
      <c r="P29" s="4541"/>
      <c r="Q29" s="1507">
        <f t="shared" si="11"/>
        <v>111</v>
      </c>
      <c r="R29" s="3735" t="s">
        <v>13</v>
      </c>
      <c r="S29" s="3157">
        <f t="shared" si="12"/>
        <v>100</v>
      </c>
      <c r="T29" s="3735" t="s">
        <v>13</v>
      </c>
      <c r="U29" s="3157">
        <f t="shared" si="13"/>
        <v>100</v>
      </c>
      <c r="V29" s="3735" t="s">
        <v>13</v>
      </c>
      <c r="W29" s="3157">
        <f t="shared" si="14"/>
        <v>100</v>
      </c>
      <c r="X29" s="909"/>
      <c r="Y29" s="4543"/>
      <c r="Z29" s="907">
        <f t="shared" si="15"/>
        <v>111</v>
      </c>
      <c r="AA29" s="907">
        <f t="shared" si="3"/>
        <v>1</v>
      </c>
      <c r="AB29" s="907">
        <f t="shared" si="4"/>
        <v>1</v>
      </c>
      <c r="AC29" s="907">
        <f t="shared" si="5"/>
        <v>1</v>
      </c>
    </row>
    <row r="30" spans="1:29" ht="15">
      <c r="A30" s="254"/>
      <c r="B30" s="2800">
        <v>111</v>
      </c>
      <c r="C30" s="2817"/>
      <c r="D30" s="2890">
        <v>100</v>
      </c>
      <c r="E30" s="2817"/>
      <c r="F30" s="3728">
        <f>SUMIF(96:96,E30,97:97)-SUMIF(96:96,C30,97:97)+100</f>
        <v>100</v>
      </c>
      <c r="G30" s="2817"/>
      <c r="H30" s="3725">
        <f>SUMIF(96:96,G30,97:97)-SUMIF(96:96,C30,97:97)+100</f>
        <v>100</v>
      </c>
      <c r="I30" s="2817"/>
      <c r="J30" s="3725">
        <f>SUMIF(96:96,I30,97:97)-SUMIF(96:96,C30,97:97)+100</f>
        <v>100</v>
      </c>
      <c r="K30" s="2858"/>
      <c r="L30" s="1980"/>
      <c r="M30" s="1975"/>
      <c r="N30" s="1975"/>
      <c r="O30" s="1975"/>
      <c r="P30" s="4541"/>
      <c r="Q30" s="1507">
        <f t="shared" si="11"/>
        <v>111</v>
      </c>
      <c r="R30" s="3735" t="s">
        <v>13</v>
      </c>
      <c r="S30" s="3157">
        <f t="shared" si="12"/>
        <v>100</v>
      </c>
      <c r="T30" s="3735" t="s">
        <v>13</v>
      </c>
      <c r="U30" s="3157">
        <f t="shared" si="13"/>
        <v>100</v>
      </c>
      <c r="V30" s="3735" t="s">
        <v>13</v>
      </c>
      <c r="W30" s="3157">
        <f t="shared" si="14"/>
        <v>100</v>
      </c>
      <c r="X30" s="909"/>
      <c r="Y30" s="4543"/>
      <c r="Z30" s="907">
        <f t="shared" si="15"/>
        <v>111</v>
      </c>
      <c r="AA30" s="907">
        <f t="shared" si="3"/>
        <v>1</v>
      </c>
      <c r="AB30" s="907">
        <f t="shared" si="4"/>
        <v>1</v>
      </c>
      <c r="AC30" s="907">
        <f t="shared" si="5"/>
        <v>1</v>
      </c>
    </row>
    <row r="31" spans="1:29" ht="15.75" thickBot="1">
      <c r="A31" s="260"/>
      <c r="B31" s="2800">
        <v>111</v>
      </c>
      <c r="C31" s="2818"/>
      <c r="D31" s="2891">
        <v>100</v>
      </c>
      <c r="E31" s="2817"/>
      <c r="F31" s="3720">
        <f>SUMIF(98:98,E31,99:99)-SUMIF(98:98,C31,99:99)+100</f>
        <v>100</v>
      </c>
      <c r="G31" s="2817"/>
      <c r="H31" s="3727">
        <f>SUMIF(98:98,G31,99:99)-SUMIF(98:98,C31,99:99)+100</f>
        <v>100</v>
      </c>
      <c r="I31" s="2817"/>
      <c r="J31" s="3727">
        <f>SUMIF(98:98,I31,99:99)-SUMIF(98:98,C31,99:99)+100</f>
        <v>100</v>
      </c>
      <c r="K31" s="2858"/>
      <c r="L31" s="1980"/>
      <c r="M31" s="1975"/>
      <c r="N31" s="1975"/>
      <c r="O31" s="1975"/>
      <c r="P31" s="4541"/>
      <c r="Q31" s="1507">
        <f t="shared" si="11"/>
        <v>111</v>
      </c>
      <c r="R31" s="3735" t="s">
        <v>13</v>
      </c>
      <c r="S31" s="3157">
        <f t="shared" si="12"/>
        <v>100</v>
      </c>
      <c r="T31" s="3735" t="s">
        <v>13</v>
      </c>
      <c r="U31" s="3157">
        <f t="shared" si="13"/>
        <v>100</v>
      </c>
      <c r="V31" s="3735" t="s">
        <v>13</v>
      </c>
      <c r="W31" s="3157">
        <f t="shared" si="14"/>
        <v>100</v>
      </c>
      <c r="X31" s="909"/>
      <c r="Y31" s="4543"/>
      <c r="Z31" s="907">
        <f t="shared" si="15"/>
        <v>111</v>
      </c>
      <c r="AA31" s="907">
        <f t="shared" si="3"/>
        <v>1</v>
      </c>
      <c r="AB31" s="907">
        <f t="shared" si="4"/>
        <v>1</v>
      </c>
      <c r="AC31" s="907">
        <f t="shared" si="5"/>
        <v>1</v>
      </c>
    </row>
    <row r="32" spans="1:29" ht="15">
      <c r="A32" s="262" t="s">
        <v>1601</v>
      </c>
      <c r="B32" s="2792" t="s">
        <v>1691</v>
      </c>
      <c r="C32" s="2824" t="s">
        <v>4106</v>
      </c>
      <c r="D32" s="2897">
        <v>100</v>
      </c>
      <c r="E32" s="2824" t="s">
        <v>4105</v>
      </c>
      <c r="F32" s="3728">
        <f>SUMIF(100:100,E32,101:101)-SUMIF(100:100,C32,101:101)+100</f>
        <v>105</v>
      </c>
      <c r="G32" s="2824" t="s">
        <v>4105</v>
      </c>
      <c r="H32" s="3725">
        <f>SUMIF(100:100,G32,101:101)-SUMIF(100:100,C32,101:101)+100</f>
        <v>105</v>
      </c>
      <c r="I32" s="2824" t="s">
        <v>4106</v>
      </c>
      <c r="J32" s="3732">
        <f>SUMIF(100:100,I32,101:101)-SUMIF(100:100,C32,101:101)+100</f>
        <v>100</v>
      </c>
      <c r="K32" s="2857">
        <v>5</v>
      </c>
      <c r="L32" s="1980"/>
      <c r="M32" s="1975"/>
      <c r="N32" s="1975"/>
      <c r="O32" s="1975"/>
      <c r="P32" s="4544" t="s">
        <v>1603</v>
      </c>
      <c r="Q32" s="1507" t="str">
        <f t="shared" si="11"/>
        <v>商业类型</v>
      </c>
      <c r="R32" s="3735" t="s">
        <v>13</v>
      </c>
      <c r="S32" s="3157">
        <f t="shared" si="12"/>
        <v>105</v>
      </c>
      <c r="T32" s="3735" t="s">
        <v>13</v>
      </c>
      <c r="U32" s="3157">
        <f t="shared" si="13"/>
        <v>105</v>
      </c>
      <c r="V32" s="3735" t="s">
        <v>13</v>
      </c>
      <c r="W32" s="3157">
        <f t="shared" si="14"/>
        <v>100</v>
      </c>
      <c r="X32" s="909"/>
      <c r="Y32" s="4547" t="s">
        <v>1603</v>
      </c>
      <c r="Z32" s="907" t="str">
        <f t="shared" si="15"/>
        <v>商业类型</v>
      </c>
      <c r="AA32" s="907">
        <f t="shared" si="3"/>
        <v>0.95238095238095233</v>
      </c>
      <c r="AB32" s="907">
        <f t="shared" si="4"/>
        <v>0.95238095238095233</v>
      </c>
      <c r="AC32" s="907">
        <f t="shared" si="5"/>
        <v>1</v>
      </c>
    </row>
    <row r="33" spans="1:29" s="279" customFormat="1" ht="15">
      <c r="A33" s="277"/>
      <c r="B33" s="2789" t="s">
        <v>1604</v>
      </c>
      <c r="C33" s="2825">
        <f>'数据-汇总表'!E3</f>
        <v>138.79</v>
      </c>
      <c r="D33" s="2888">
        <v>100</v>
      </c>
      <c r="E33" s="2843">
        <v>76.650000000000006</v>
      </c>
      <c r="F33" s="3719">
        <f>LOOKUP(E33,103:103,104:104)-LOOKUP(C33,103:103,104:104)+100</f>
        <v>101</v>
      </c>
      <c r="G33" s="2815">
        <v>191.81</v>
      </c>
      <c r="H33" s="3731">
        <f>LOOKUP(G33,103:103,104:104)-LOOKUP(C33,103:103,104:104)+100</f>
        <v>100</v>
      </c>
      <c r="I33" s="2815">
        <v>111.17</v>
      </c>
      <c r="J33" s="3731">
        <f>LOOKUP(I33,103:103,104:104)-LOOKUP(C33,103:103,104:104)+100</f>
        <v>100</v>
      </c>
      <c r="K33" s="2858"/>
      <c r="L33" s="1979"/>
      <c r="M33" s="1981"/>
      <c r="N33" s="1981"/>
      <c r="O33" s="1981"/>
      <c r="P33" s="4545"/>
      <c r="Q33" s="2864" t="str">
        <f t="shared" si="11"/>
        <v>项目建筑规模</v>
      </c>
      <c r="R33" s="3736" t="s">
        <v>13</v>
      </c>
      <c r="S33" s="3158">
        <f t="shared" si="12"/>
        <v>101</v>
      </c>
      <c r="T33" s="3736" t="s">
        <v>13</v>
      </c>
      <c r="U33" s="3158">
        <f t="shared" si="13"/>
        <v>100</v>
      </c>
      <c r="V33" s="3736" t="s">
        <v>13</v>
      </c>
      <c r="W33" s="3158">
        <f t="shared" si="14"/>
        <v>100</v>
      </c>
      <c r="X33" s="484"/>
      <c r="Y33" s="4547"/>
      <c r="Z33" s="485" t="str">
        <f t="shared" si="15"/>
        <v>项目建筑规模</v>
      </c>
      <c r="AA33" s="907">
        <f t="shared" si="3"/>
        <v>0.99009900990099009</v>
      </c>
      <c r="AB33" s="907">
        <f t="shared" si="4"/>
        <v>1</v>
      </c>
      <c r="AC33" s="907">
        <f t="shared" si="5"/>
        <v>1</v>
      </c>
    </row>
    <row r="34" spans="1:29" ht="15">
      <c r="A34" s="280"/>
      <c r="B34" s="2789" t="s">
        <v>1605</v>
      </c>
      <c r="C34" s="2823" t="s">
        <v>4107</v>
      </c>
      <c r="D34" s="2890">
        <v>100</v>
      </c>
      <c r="E34" s="2823" t="s">
        <v>4107</v>
      </c>
      <c r="F34" s="3728">
        <f>SUMIF(105:105,E34,106:106)-SUMIF(105:105,C34,106:106)+100</f>
        <v>100</v>
      </c>
      <c r="G34" s="2823" t="s">
        <v>4107</v>
      </c>
      <c r="H34" s="3725">
        <f>SUMIF(105:105,G34,106:106)-SUMIF(105:105,C34,106:106)+100</f>
        <v>100</v>
      </c>
      <c r="I34" s="2823" t="s">
        <v>4107</v>
      </c>
      <c r="J34" s="3725">
        <f>SUMIF(105:105,I34,106:106)-SUMIF(105:105,C34,106:106)+100</f>
        <v>100</v>
      </c>
      <c r="K34" s="2857">
        <v>1</v>
      </c>
      <c r="L34" s="1980"/>
      <c r="M34" s="1975"/>
      <c r="N34" s="1975"/>
      <c r="O34" s="1975"/>
      <c r="P34" s="4545"/>
      <c r="Q34" s="1507" t="str">
        <f t="shared" si="11"/>
        <v>建筑结构</v>
      </c>
      <c r="R34" s="3735" t="s">
        <v>13</v>
      </c>
      <c r="S34" s="3157">
        <f t="shared" si="12"/>
        <v>100</v>
      </c>
      <c r="T34" s="3735" t="s">
        <v>13</v>
      </c>
      <c r="U34" s="3157">
        <f t="shared" si="13"/>
        <v>100</v>
      </c>
      <c r="V34" s="3735" t="s">
        <v>13</v>
      </c>
      <c r="W34" s="3157">
        <f t="shared" si="14"/>
        <v>100</v>
      </c>
      <c r="X34" s="909"/>
      <c r="Y34" s="4547"/>
      <c r="Z34" s="907" t="str">
        <f t="shared" si="15"/>
        <v>建筑结构</v>
      </c>
      <c r="AA34" s="907">
        <f t="shared" si="3"/>
        <v>1</v>
      </c>
      <c r="AB34" s="907">
        <f t="shared" si="4"/>
        <v>1</v>
      </c>
      <c r="AC34" s="907">
        <f t="shared" si="5"/>
        <v>1</v>
      </c>
    </row>
    <row r="35" spans="1:29" ht="15">
      <c r="A35" s="280"/>
      <c r="B35" s="2789" t="s">
        <v>1692</v>
      </c>
      <c r="C35" s="2826" t="s">
        <v>4109</v>
      </c>
      <c r="D35" s="2890">
        <v>100</v>
      </c>
      <c r="E35" s="2826" t="s">
        <v>4109</v>
      </c>
      <c r="F35" s="3728">
        <f>SUMIF(107:107,E35,108:108)-SUMIF(107:107,C35,108:108)+100</f>
        <v>100</v>
      </c>
      <c r="G35" s="2826" t="s">
        <v>4109</v>
      </c>
      <c r="H35" s="3725">
        <f>SUMIF(107:107,G35,108:108)-SUMIF(107:107,C35,108:108)+100</f>
        <v>100</v>
      </c>
      <c r="I35" s="2826" t="s">
        <v>4109</v>
      </c>
      <c r="J35" s="3725">
        <f>SUMIF(107:107,I35,108:108)-SUMIF(107:107,C35,108:108)+100</f>
        <v>100</v>
      </c>
      <c r="K35" s="2857">
        <v>1</v>
      </c>
      <c r="L35" s="1980"/>
      <c r="M35" s="1975"/>
      <c r="N35" s="1975"/>
      <c r="O35" s="1975"/>
      <c r="P35" s="4545"/>
      <c r="Q35" s="1507" t="str">
        <f t="shared" si="11"/>
        <v>公共部分装修</v>
      </c>
      <c r="R35" s="3735" t="s">
        <v>13</v>
      </c>
      <c r="S35" s="3157">
        <f t="shared" si="12"/>
        <v>100</v>
      </c>
      <c r="T35" s="3735" t="s">
        <v>13</v>
      </c>
      <c r="U35" s="3157">
        <f t="shared" si="13"/>
        <v>100</v>
      </c>
      <c r="V35" s="3735" t="s">
        <v>13</v>
      </c>
      <c r="W35" s="3157">
        <f t="shared" si="14"/>
        <v>100</v>
      </c>
      <c r="X35" s="909"/>
      <c r="Y35" s="4547"/>
      <c r="Z35" s="907" t="str">
        <f t="shared" si="15"/>
        <v>公共部分装修</v>
      </c>
      <c r="AA35" s="907">
        <f t="shared" si="3"/>
        <v>1</v>
      </c>
      <c r="AB35" s="907">
        <f t="shared" si="4"/>
        <v>1</v>
      </c>
      <c r="AC35" s="907">
        <f t="shared" si="5"/>
        <v>1</v>
      </c>
    </row>
    <row r="36" spans="1:29" ht="15">
      <c r="A36" s="280"/>
      <c r="B36" s="2789" t="s">
        <v>1693</v>
      </c>
      <c r="C36" s="2827">
        <f>'数据-取费表'!N6</f>
        <v>0.83</v>
      </c>
      <c r="D36" s="2890">
        <v>100</v>
      </c>
      <c r="E36" s="2827">
        <f>ROUND(((1-(1-0%)*(2026-E44)/60)+0.8)/2,2)</f>
        <v>0.71</v>
      </c>
      <c r="F36" s="3728">
        <f>LOOKUP(E36,110:110,111:111)-LOOKUP(C36,110:110,111:111)+100</f>
        <v>98</v>
      </c>
      <c r="G36" s="2827">
        <f>ROUND(((1-(1-0%)*(2026-G44)/60)+0.8)/2,2)</f>
        <v>0.77</v>
      </c>
      <c r="H36" s="3728">
        <f>LOOKUP(G36,110:110,111:111)-LOOKUP(C36,110:110,111:111)+100</f>
        <v>99</v>
      </c>
      <c r="I36" s="2827">
        <f>ROUND(((1-(1-0%)*(2026-I44)/60)+0.8)/2,2)</f>
        <v>0.82</v>
      </c>
      <c r="J36" s="3725">
        <f>LOOKUP(I36,110:110,111:111)-LOOKUP(C36,110:110,111:111)+100</f>
        <v>100</v>
      </c>
      <c r="K36" s="2857">
        <v>1</v>
      </c>
      <c r="L36" s="1980"/>
      <c r="M36" s="1975"/>
      <c r="N36" s="1975"/>
      <c r="O36" s="1975"/>
      <c r="P36" s="4545"/>
      <c r="Q36" s="1507" t="str">
        <f t="shared" si="11"/>
        <v>成新度</v>
      </c>
      <c r="R36" s="3735" t="s">
        <v>13</v>
      </c>
      <c r="S36" s="3157">
        <f t="shared" si="12"/>
        <v>98</v>
      </c>
      <c r="T36" s="3735" t="s">
        <v>13</v>
      </c>
      <c r="U36" s="3157">
        <f t="shared" si="13"/>
        <v>99</v>
      </c>
      <c r="V36" s="3735" t="s">
        <v>13</v>
      </c>
      <c r="W36" s="3157">
        <f t="shared" si="14"/>
        <v>100</v>
      </c>
      <c r="X36" s="909"/>
      <c r="Y36" s="4547"/>
      <c r="Z36" s="907" t="str">
        <f t="shared" si="15"/>
        <v>成新度</v>
      </c>
      <c r="AA36" s="907">
        <f t="shared" si="3"/>
        <v>1.0204081632653061</v>
      </c>
      <c r="AB36" s="907">
        <f t="shared" si="4"/>
        <v>1.0101010101010102</v>
      </c>
      <c r="AC36" s="907">
        <f t="shared" si="5"/>
        <v>1</v>
      </c>
    </row>
    <row r="37" spans="1:29" s="46" customFormat="1" ht="15">
      <c r="A37" s="281"/>
      <c r="B37" s="2789" t="s">
        <v>1694</v>
      </c>
      <c r="C37" s="2826" t="s">
        <v>3604</v>
      </c>
      <c r="D37" s="2888">
        <v>100</v>
      </c>
      <c r="E37" s="2826" t="s">
        <v>3604</v>
      </c>
      <c r="F37" s="3728">
        <f>SUMIF(112:112,E37,113:113)-SUMIF(112:112,C37,113:113)+100</f>
        <v>100</v>
      </c>
      <c r="G37" s="2826" t="s">
        <v>3605</v>
      </c>
      <c r="H37" s="3725">
        <f>SUMIF(112:112,G37,113:113)-SUMIF(112:112,C37,113:113)+100</f>
        <v>100</v>
      </c>
      <c r="I37" s="2826" t="s">
        <v>3605</v>
      </c>
      <c r="J37" s="3725">
        <f>SUMIF(112:112,I37,113:113)-SUMIF(112:112,C37,113:113)+100</f>
        <v>100</v>
      </c>
      <c r="K37" s="2857">
        <v>0</v>
      </c>
      <c r="L37" s="1976"/>
      <c r="M37" s="1929"/>
      <c r="N37" s="1929"/>
      <c r="O37" s="1929"/>
      <c r="P37" s="4545"/>
      <c r="Q37" s="1698" t="str">
        <f t="shared" si="11"/>
        <v>市政基础设施</v>
      </c>
      <c r="R37" s="3633" t="s">
        <v>13</v>
      </c>
      <c r="S37" s="3156">
        <f t="shared" si="12"/>
        <v>100</v>
      </c>
      <c r="T37" s="3633" t="s">
        <v>13</v>
      </c>
      <c r="U37" s="3156">
        <f t="shared" si="13"/>
        <v>100</v>
      </c>
      <c r="V37" s="3633" t="s">
        <v>13</v>
      </c>
      <c r="W37" s="3156">
        <f t="shared" si="14"/>
        <v>100</v>
      </c>
      <c r="X37" s="482"/>
      <c r="Y37" s="4547"/>
      <c r="Z37" s="28" t="str">
        <f t="shared" si="15"/>
        <v>市政基础设施</v>
      </c>
      <c r="AA37" s="28">
        <f t="shared" si="3"/>
        <v>1</v>
      </c>
      <c r="AB37" s="28">
        <f t="shared" si="4"/>
        <v>1</v>
      </c>
      <c r="AC37" s="28">
        <f t="shared" si="5"/>
        <v>1</v>
      </c>
    </row>
    <row r="38" spans="1:29" ht="15">
      <c r="A38" s="280"/>
      <c r="B38" s="2789" t="s">
        <v>1695</v>
      </c>
      <c r="C38" s="2826" t="s">
        <v>4111</v>
      </c>
      <c r="D38" s="2890">
        <v>100</v>
      </c>
      <c r="E38" s="2826" t="s">
        <v>4111</v>
      </c>
      <c r="F38" s="3728">
        <f>SUMIF(114:114,E38,115:115)-SUMIF(114:114,C38,115:115)+100</f>
        <v>100</v>
      </c>
      <c r="G38" s="2826" t="s">
        <v>4112</v>
      </c>
      <c r="H38" s="3725">
        <f>SUMIF(114:114,G38,115:115)-SUMIF(114:114,C38,115:115)+100</f>
        <v>100</v>
      </c>
      <c r="I38" s="2826" t="s">
        <v>4112</v>
      </c>
      <c r="J38" s="3725">
        <f>SUMIF(114:114,I38,115:115)-SUMIF(114:114,C38,115:115)+100</f>
        <v>100</v>
      </c>
      <c r="K38" s="2857">
        <v>0</v>
      </c>
      <c r="L38" s="1980"/>
      <c r="M38" s="1975"/>
      <c r="N38" s="1975"/>
      <c r="O38" s="1975"/>
      <c r="P38" s="4545" t="s">
        <v>1603</v>
      </c>
      <c r="Q38" s="1507" t="str">
        <f t="shared" si="11"/>
        <v>业态</v>
      </c>
      <c r="R38" s="3735" t="s">
        <v>13</v>
      </c>
      <c r="S38" s="3157">
        <f t="shared" si="12"/>
        <v>100</v>
      </c>
      <c r="T38" s="3735" t="s">
        <v>13</v>
      </c>
      <c r="U38" s="3157">
        <f t="shared" si="13"/>
        <v>100</v>
      </c>
      <c r="V38" s="3735" t="s">
        <v>13</v>
      </c>
      <c r="W38" s="3157">
        <f t="shared" si="14"/>
        <v>100</v>
      </c>
      <c r="X38" s="909"/>
      <c r="Y38" s="4547" t="s">
        <v>1603</v>
      </c>
      <c r="Z38" s="907" t="str">
        <f t="shared" si="15"/>
        <v>业态</v>
      </c>
      <c r="AA38" s="907">
        <f t="shared" si="3"/>
        <v>1</v>
      </c>
      <c r="AB38" s="907">
        <f t="shared" si="4"/>
        <v>1</v>
      </c>
      <c r="AC38" s="907">
        <f t="shared" si="5"/>
        <v>1</v>
      </c>
    </row>
    <row r="39" spans="1:29" ht="15">
      <c r="A39" s="280"/>
      <c r="B39" s="2789" t="s">
        <v>1696</v>
      </c>
      <c r="C39" s="2826" t="s">
        <v>4132</v>
      </c>
      <c r="D39" s="2890">
        <v>100</v>
      </c>
      <c r="E39" s="2826" t="s">
        <v>4132</v>
      </c>
      <c r="F39" s="3728">
        <f>SUMIF(116:116,E39,117:117)-SUMIF(116:116,C39,117:117)+100</f>
        <v>100</v>
      </c>
      <c r="G39" s="2826" t="s">
        <v>4132</v>
      </c>
      <c r="H39" s="3725">
        <f>SUMIF(116:116,G39,117:117)-SUMIF(116:116,C39,117:117)+100</f>
        <v>100</v>
      </c>
      <c r="I39" s="2826" t="s">
        <v>4132</v>
      </c>
      <c r="J39" s="3725">
        <f>SUMIF(116:116,I39,117:117)-SUMIF(116:116,C39,117:117)+100</f>
        <v>100</v>
      </c>
      <c r="K39" s="2857">
        <v>1</v>
      </c>
      <c r="L39" s="1980"/>
      <c r="M39" s="1975"/>
      <c r="N39" s="1975"/>
      <c r="O39" s="1975"/>
      <c r="P39" s="4545"/>
      <c r="Q39" s="1507" t="str">
        <f t="shared" si="11"/>
        <v>层高</v>
      </c>
      <c r="R39" s="3735" t="s">
        <v>13</v>
      </c>
      <c r="S39" s="3157">
        <f t="shared" si="12"/>
        <v>100</v>
      </c>
      <c r="T39" s="3735" t="s">
        <v>13</v>
      </c>
      <c r="U39" s="3157">
        <f t="shared" si="13"/>
        <v>100</v>
      </c>
      <c r="V39" s="3735" t="s">
        <v>13</v>
      </c>
      <c r="W39" s="3157">
        <f t="shared" si="14"/>
        <v>100</v>
      </c>
      <c r="X39" s="909"/>
      <c r="Y39" s="4547"/>
      <c r="Z39" s="907" t="str">
        <f t="shared" si="15"/>
        <v>层高</v>
      </c>
      <c r="AA39" s="907">
        <f t="shared" si="3"/>
        <v>1</v>
      </c>
      <c r="AB39" s="907">
        <f t="shared" si="4"/>
        <v>1</v>
      </c>
      <c r="AC39" s="907">
        <f t="shared" si="5"/>
        <v>1</v>
      </c>
    </row>
    <row r="40" spans="1:29" ht="15">
      <c r="A40" s="280"/>
      <c r="B40" s="2789" t="s">
        <v>1697</v>
      </c>
      <c r="C40" s="2838"/>
      <c r="D40" s="2890">
        <v>100</v>
      </c>
      <c r="E40" s="2849"/>
      <c r="F40" s="3728">
        <f>SUMIF(118:118,E40,119:119)-SUMIF(118:118,C40,119:119)+100</f>
        <v>100</v>
      </c>
      <c r="G40" s="2849"/>
      <c r="H40" s="3725">
        <f>SUMIF(118:118,G40,119:119)-SUMIF(118:118,C40,119:119)+100</f>
        <v>100</v>
      </c>
      <c r="I40" s="2849"/>
      <c r="J40" s="3725">
        <f>SUMIF(118:118,I40,119:119)-SUMIF(118:118,C40,119:119)+100</f>
        <v>100</v>
      </c>
      <c r="K40" s="2858"/>
      <c r="L40" s="1980"/>
      <c r="M40" s="1975"/>
      <c r="N40" s="1975"/>
      <c r="O40" s="1975"/>
      <c r="P40" s="4545"/>
      <c r="Q40" s="1507" t="str">
        <f t="shared" si="11"/>
        <v>单套建筑面积</v>
      </c>
      <c r="R40" s="3735" t="s">
        <v>13</v>
      </c>
      <c r="S40" s="3157">
        <f t="shared" si="12"/>
        <v>100</v>
      </c>
      <c r="T40" s="3735" t="s">
        <v>13</v>
      </c>
      <c r="U40" s="3157">
        <f t="shared" si="13"/>
        <v>100</v>
      </c>
      <c r="V40" s="3735" t="s">
        <v>13</v>
      </c>
      <c r="W40" s="3157">
        <f t="shared" si="14"/>
        <v>100</v>
      </c>
      <c r="X40" s="909"/>
      <c r="Y40" s="4547"/>
      <c r="Z40" s="907" t="str">
        <f t="shared" si="15"/>
        <v>单套建筑面积</v>
      </c>
      <c r="AA40" s="907">
        <f t="shared" si="3"/>
        <v>1</v>
      </c>
      <c r="AB40" s="907">
        <f t="shared" si="4"/>
        <v>1</v>
      </c>
      <c r="AC40" s="907">
        <f t="shared" si="5"/>
        <v>1</v>
      </c>
    </row>
    <row r="41" spans="1:29" s="279" customFormat="1" ht="15">
      <c r="A41" s="277"/>
      <c r="B41" s="2839" t="s">
        <v>1698</v>
      </c>
      <c r="C41" s="2836"/>
      <c r="D41" s="2890">
        <v>100</v>
      </c>
      <c r="E41" s="2836"/>
      <c r="F41" s="3728">
        <f>SUMIF(120:120,E41,121:121)-SUMIF(120:120,C41,121:121)+100</f>
        <v>100</v>
      </c>
      <c r="G41" s="2836"/>
      <c r="H41" s="3725">
        <f>SUMIF(120:120,G41,121:121)-SUMIF(120:120,C41,121:121)+100</f>
        <v>100</v>
      </c>
      <c r="I41" s="2836"/>
      <c r="J41" s="3725">
        <f>SUMIF(120:120,I41,121:121)-SUMIF(120:120,C41,121:121)+100</f>
        <v>100</v>
      </c>
      <c r="K41" s="2857"/>
      <c r="L41" s="1979"/>
      <c r="M41" s="1981"/>
      <c r="N41" s="1981"/>
      <c r="O41" s="1981"/>
      <c r="P41" s="4545"/>
      <c r="Q41" s="2864" t="str">
        <f t="shared" si="11"/>
        <v>进深比</v>
      </c>
      <c r="R41" s="3736" t="s">
        <v>13</v>
      </c>
      <c r="S41" s="3158">
        <f t="shared" si="12"/>
        <v>100</v>
      </c>
      <c r="T41" s="3736" t="s">
        <v>13</v>
      </c>
      <c r="U41" s="3158">
        <f t="shared" si="13"/>
        <v>100</v>
      </c>
      <c r="V41" s="3736" t="s">
        <v>13</v>
      </c>
      <c r="W41" s="3158">
        <f t="shared" si="14"/>
        <v>100</v>
      </c>
      <c r="X41" s="484"/>
      <c r="Y41" s="4547"/>
      <c r="Z41" s="485" t="str">
        <f t="shared" si="15"/>
        <v>进深比</v>
      </c>
      <c r="AA41" s="907">
        <f t="shared" si="3"/>
        <v>1</v>
      </c>
      <c r="AB41" s="907">
        <f t="shared" si="4"/>
        <v>1</v>
      </c>
      <c r="AC41" s="907">
        <f t="shared" si="5"/>
        <v>1</v>
      </c>
    </row>
    <row r="42" spans="1:29" ht="15">
      <c r="A42" s="280"/>
      <c r="B42" s="2789" t="s">
        <v>1699</v>
      </c>
      <c r="C42" s="2826" t="s">
        <v>4110</v>
      </c>
      <c r="D42" s="2890">
        <v>100</v>
      </c>
      <c r="E42" s="2826" t="s">
        <v>4117</v>
      </c>
      <c r="F42" s="3728">
        <f>SUMIF(122:122,E42,123:123)-SUMIF(122:122,C42,123:123)+100</f>
        <v>98</v>
      </c>
      <c r="G42" s="2826" t="s">
        <v>4110</v>
      </c>
      <c r="H42" s="3725">
        <f>SUMIF(122:122,G42,123:123)-SUMIF(122:122,C42,123:123)+100</f>
        <v>100</v>
      </c>
      <c r="I42" s="2826" t="s">
        <v>4110</v>
      </c>
      <c r="J42" s="3725">
        <f>SUMIF(122:122,I42,123:123)-SUMIF(122:122,C42,123:123)+100</f>
        <v>100</v>
      </c>
      <c r="K42" s="2857">
        <v>1</v>
      </c>
      <c r="L42" s="1980"/>
      <c r="M42" s="1975"/>
      <c r="N42" s="1975"/>
      <c r="O42" s="1975"/>
      <c r="P42" s="4545"/>
      <c r="Q42" s="1507" t="str">
        <f t="shared" si="11"/>
        <v>内部装修</v>
      </c>
      <c r="R42" s="3735" t="s">
        <v>13</v>
      </c>
      <c r="S42" s="3157">
        <f t="shared" si="12"/>
        <v>98</v>
      </c>
      <c r="T42" s="3735" t="s">
        <v>13</v>
      </c>
      <c r="U42" s="3157">
        <f t="shared" si="13"/>
        <v>100</v>
      </c>
      <c r="V42" s="3735" t="s">
        <v>13</v>
      </c>
      <c r="W42" s="3157">
        <f t="shared" si="14"/>
        <v>100</v>
      </c>
      <c r="X42" s="909"/>
      <c r="Y42" s="4547"/>
      <c r="Z42" s="907" t="str">
        <f t="shared" si="15"/>
        <v>内部装修</v>
      </c>
      <c r="AA42" s="907">
        <f t="shared" si="3"/>
        <v>1.0204081632653061</v>
      </c>
      <c r="AB42" s="907">
        <f t="shared" si="4"/>
        <v>1</v>
      </c>
      <c r="AC42" s="907">
        <f t="shared" si="5"/>
        <v>1</v>
      </c>
    </row>
    <row r="43" spans="1:29" ht="15">
      <c r="A43" s="280"/>
      <c r="B43" s="2789" t="s">
        <v>1614</v>
      </c>
      <c r="C43" s="2826"/>
      <c r="D43" s="2890">
        <v>100</v>
      </c>
      <c r="E43" s="2826"/>
      <c r="F43" s="3728">
        <f>SUMIF(124:124,E43,125:125)-SUMIF(124:124,C43,125:125)+100</f>
        <v>100</v>
      </c>
      <c r="G43" s="2826"/>
      <c r="H43" s="3725">
        <f>SUMIF(124:124,G43,125:125)-SUMIF(124:124,C43,125:125)+100</f>
        <v>100</v>
      </c>
      <c r="I43" s="2826"/>
      <c r="J43" s="3725">
        <f>SUMIF(124:124,I43,125:125)-SUMIF(124:124,C43,125:125)+100</f>
        <v>100</v>
      </c>
      <c r="K43" s="2857"/>
      <c r="L43" s="1980"/>
      <c r="M43" s="1975"/>
      <c r="N43" s="1975"/>
      <c r="O43" s="1975"/>
      <c r="P43" s="4545"/>
      <c r="Q43" s="1507" t="str">
        <f t="shared" si="11"/>
        <v>内部装修维护情况</v>
      </c>
      <c r="R43" s="3735" t="s">
        <v>13</v>
      </c>
      <c r="S43" s="3157">
        <f t="shared" si="12"/>
        <v>100</v>
      </c>
      <c r="T43" s="3735" t="s">
        <v>13</v>
      </c>
      <c r="U43" s="3157">
        <f t="shared" si="13"/>
        <v>100</v>
      </c>
      <c r="V43" s="3735" t="s">
        <v>13</v>
      </c>
      <c r="W43" s="3157">
        <f t="shared" si="14"/>
        <v>100</v>
      </c>
      <c r="X43" s="909"/>
      <c r="Y43" s="4547"/>
      <c r="Z43" s="907" t="str">
        <f t="shared" si="15"/>
        <v>内部装修维护情况</v>
      </c>
      <c r="AA43" s="907">
        <f t="shared" si="3"/>
        <v>1</v>
      </c>
      <c r="AB43" s="907">
        <f t="shared" si="4"/>
        <v>1</v>
      </c>
      <c r="AC43" s="907">
        <f t="shared" si="5"/>
        <v>1</v>
      </c>
    </row>
    <row r="44" spans="1:29" s="46" customFormat="1" ht="15">
      <c r="A44" s="281"/>
      <c r="B44" s="4261" t="s">
        <v>4133</v>
      </c>
      <c r="C44" s="2825">
        <v>2012</v>
      </c>
      <c r="D44" s="2888">
        <v>100</v>
      </c>
      <c r="E44" s="2817">
        <v>2003</v>
      </c>
      <c r="F44" s="3719">
        <f>SUMIF(126:126,E44,127:127)-SUMIF(126:126,C44,127:127)+100</f>
        <v>100</v>
      </c>
      <c r="G44" s="2817">
        <v>2010</v>
      </c>
      <c r="H44" s="3731">
        <f>SUMIF(126:126,G44,127:127)-SUMIF(126:126,C44,127:127)+100</f>
        <v>100</v>
      </c>
      <c r="I44" s="2817">
        <v>2016</v>
      </c>
      <c r="J44" s="3731">
        <f>SUMIF(126:126,I44,127:127)-SUMIF(126:126,C44,127:127)+100</f>
        <v>100</v>
      </c>
      <c r="K44" s="2858"/>
      <c r="L44" s="1976"/>
      <c r="M44" s="1929"/>
      <c r="N44" s="1929"/>
      <c r="O44" s="1929"/>
      <c r="P44" s="4545"/>
      <c r="Q44" s="1698" t="str">
        <f t="shared" si="11"/>
        <v>建成年代</v>
      </c>
      <c r="R44" s="3633" t="s">
        <v>13</v>
      </c>
      <c r="S44" s="3156">
        <f t="shared" si="12"/>
        <v>100</v>
      </c>
      <c r="T44" s="3633" t="s">
        <v>13</v>
      </c>
      <c r="U44" s="3156">
        <f t="shared" si="13"/>
        <v>100</v>
      </c>
      <c r="V44" s="3633" t="s">
        <v>13</v>
      </c>
      <c r="W44" s="3156">
        <f t="shared" si="14"/>
        <v>100</v>
      </c>
      <c r="X44" s="482"/>
      <c r="Y44" s="4547"/>
      <c r="Z44" s="28" t="str">
        <f t="shared" si="15"/>
        <v>建成年代</v>
      </c>
      <c r="AA44" s="28">
        <f t="shared" si="3"/>
        <v>1</v>
      </c>
      <c r="AB44" s="28">
        <f t="shared" si="4"/>
        <v>1</v>
      </c>
      <c r="AC44" s="28">
        <f t="shared" si="5"/>
        <v>1</v>
      </c>
    </row>
    <row r="45" spans="1:29" ht="15">
      <c r="A45" s="280"/>
      <c r="B45" s="4261" t="s">
        <v>4145</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58"/>
      <c r="L45" s="1980"/>
      <c r="M45" s="1975"/>
      <c r="N45" s="1975"/>
      <c r="O45" s="1975"/>
      <c r="P45" s="4545"/>
      <c r="Q45" s="1507" t="str">
        <f t="shared" si="11"/>
        <v>直线成新</v>
      </c>
      <c r="R45" s="3735" t="s">
        <v>13</v>
      </c>
      <c r="S45" s="3157">
        <f t="shared" si="12"/>
        <v>100</v>
      </c>
      <c r="T45" s="3735" t="s">
        <v>13</v>
      </c>
      <c r="U45" s="3157">
        <f t="shared" si="13"/>
        <v>100</v>
      </c>
      <c r="V45" s="3735" t="s">
        <v>13</v>
      </c>
      <c r="W45" s="3157">
        <f t="shared" si="14"/>
        <v>100</v>
      </c>
      <c r="X45" s="909"/>
      <c r="Y45" s="4547"/>
      <c r="Z45" s="907" t="str">
        <f t="shared" si="15"/>
        <v>直线成新</v>
      </c>
      <c r="AA45" s="907">
        <f t="shared" si="3"/>
        <v>1</v>
      </c>
      <c r="AB45" s="907">
        <f t="shared" si="4"/>
        <v>1</v>
      </c>
      <c r="AC45" s="907">
        <f t="shared" si="5"/>
        <v>1</v>
      </c>
    </row>
    <row r="46" spans="1:29" ht="15.75" thickBot="1">
      <c r="A46" s="285"/>
      <c r="B46" s="4265" t="s">
        <v>4146</v>
      </c>
      <c r="C46" s="2818"/>
      <c r="D46" s="2891">
        <v>100</v>
      </c>
      <c r="E46" s="2817"/>
      <c r="F46" s="3720">
        <f>SUMIF(130:130,E46,131:131)-SUMIF(130:130,C46,131:131)+100</f>
        <v>100</v>
      </c>
      <c r="G46" s="2817"/>
      <c r="H46" s="3727">
        <f>SUMIF(130:130,G46,131:131)-SUMIF(130:130,C46,131:131)+100</f>
        <v>100</v>
      </c>
      <c r="I46" s="2817"/>
      <c r="J46" s="3727">
        <f>SUMIF(130:130,I46,131:131)-SUMIF(130:130,C46,131:131)+100</f>
        <v>100</v>
      </c>
      <c r="K46" s="2858"/>
      <c r="L46" s="1980"/>
      <c r="M46" s="1975"/>
      <c r="N46" s="1975"/>
      <c r="O46" s="1975"/>
      <c r="P46" s="4546"/>
      <c r="Q46" s="1507" t="str">
        <f t="shared" si="11"/>
        <v>观察成新</v>
      </c>
      <c r="R46" s="3735" t="s">
        <v>13</v>
      </c>
      <c r="S46" s="3157">
        <f t="shared" si="12"/>
        <v>100</v>
      </c>
      <c r="T46" s="3735" t="s">
        <v>13</v>
      </c>
      <c r="U46" s="3157">
        <f t="shared" si="13"/>
        <v>100</v>
      </c>
      <c r="V46" s="3735" t="s">
        <v>13</v>
      </c>
      <c r="W46" s="3157">
        <f t="shared" si="14"/>
        <v>100</v>
      </c>
      <c r="X46" s="909"/>
      <c r="Y46" s="4548"/>
      <c r="Z46" s="907" t="str">
        <f t="shared" si="15"/>
        <v>观察成新</v>
      </c>
      <c r="AA46" s="907">
        <f t="shared" si="3"/>
        <v>1</v>
      </c>
      <c r="AB46" s="907">
        <f t="shared" si="4"/>
        <v>1</v>
      </c>
      <c r="AC46" s="907">
        <f t="shared" si="5"/>
        <v>1</v>
      </c>
    </row>
    <row r="47" spans="1:29" ht="15">
      <c r="A47" s="286" t="s">
        <v>1615</v>
      </c>
      <c r="B47" s="287"/>
      <c r="C47" s="765" t="s">
        <v>0</v>
      </c>
      <c r="D47" s="288"/>
      <c r="E47" s="3205">
        <v>11.37</v>
      </c>
      <c r="F47" s="3153"/>
      <c r="G47" s="3206">
        <v>11.5</v>
      </c>
      <c r="H47" s="3154"/>
      <c r="I47" s="3205">
        <v>10.050000000000001</v>
      </c>
      <c r="J47" s="3154"/>
      <c r="K47" s="2862"/>
      <c r="L47" s="1982"/>
      <c r="M47" s="1975"/>
      <c r="N47" s="1975"/>
      <c r="O47" s="1975"/>
      <c r="P47" s="4549" t="str">
        <f>A47</f>
        <v>成交单价（元/平方米）</v>
      </c>
      <c r="Q47" s="4549"/>
      <c r="R47" s="4550">
        <f>E47</f>
        <v>11.37</v>
      </c>
      <c r="S47" s="4550"/>
      <c r="T47" s="4550">
        <f>G47</f>
        <v>11.5</v>
      </c>
      <c r="U47" s="4550"/>
      <c r="V47" s="4550">
        <f>I47</f>
        <v>10.050000000000001</v>
      </c>
      <c r="W47" s="4550"/>
      <c r="X47" s="265"/>
      <c r="Y47" s="486"/>
      <c r="Z47" s="265"/>
      <c r="AA47" s="265"/>
      <c r="AB47" s="265"/>
      <c r="AC47" s="265"/>
    </row>
    <row r="48" spans="1:29" ht="15.75" thickBot="1">
      <c r="A48" s="289" t="s">
        <v>1616</v>
      </c>
      <c r="B48" s="290"/>
      <c r="C48" s="3733">
        <f>R49</f>
        <v>10</v>
      </c>
      <c r="D48" s="3846" t="s">
        <v>2041</v>
      </c>
      <c r="E48" s="3744">
        <f>R48</f>
        <v>10.1</v>
      </c>
      <c r="F48" s="2801"/>
      <c r="G48" s="3733">
        <f>T48</f>
        <v>10</v>
      </c>
      <c r="H48" s="2801"/>
      <c r="I48" s="3744">
        <f>V48</f>
        <v>9.8000000000000007</v>
      </c>
      <c r="J48" s="2801"/>
      <c r="K48" s="2855">
        <f>F48+H48+J48</f>
        <v>0</v>
      </c>
      <c r="L48" s="1982"/>
      <c r="M48" s="1975"/>
      <c r="N48" s="1975"/>
      <c r="O48" s="1975"/>
      <c r="P48" s="4549" t="str">
        <f>A48</f>
        <v>比较价值（元/平方米）</v>
      </c>
      <c r="Q48" s="4549"/>
      <c r="R48" s="4550">
        <f>IF(F1="售价",ROUND(PRODUCT(R47,AA7:AA46),0),ROUND(PRODUCT(R47,AA7:AA46),1))</f>
        <v>10.1</v>
      </c>
      <c r="S48" s="4550"/>
      <c r="T48" s="4550">
        <f>IF(F1="售价",ROUND(PRODUCT(T47,AB7:AB46),0),ROUND(PRODUCT(T47,AB7:AB46),1))</f>
        <v>10</v>
      </c>
      <c r="U48" s="4550"/>
      <c r="V48" s="4550">
        <f>IF(F1="售价",ROUND(PRODUCT(V47,AC7:AC46),0),ROUND(PRODUCT(V47,AC7:AC46),1))</f>
        <v>9.8000000000000007</v>
      </c>
      <c r="W48" s="4550"/>
      <c r="X48" s="265"/>
      <c r="Y48" s="265"/>
      <c r="Z48" s="265"/>
      <c r="AA48" s="265"/>
      <c r="AB48" s="265"/>
      <c r="AC48" s="265"/>
    </row>
    <row r="49" spans="1:29" ht="15.75" thickBot="1">
      <c r="A49" s="291" t="s">
        <v>1617</v>
      </c>
      <c r="B49" s="292"/>
      <c r="C49" s="3745">
        <f>R49</f>
        <v>10</v>
      </c>
      <c r="D49" s="241"/>
      <c r="E49" s="241"/>
      <c r="F49" s="241"/>
      <c r="G49" s="241"/>
      <c r="H49" s="241"/>
      <c r="I49" s="241"/>
      <c r="J49" s="241"/>
      <c r="K49" s="487"/>
      <c r="L49" s="1982"/>
      <c r="M49" s="1975"/>
      <c r="N49" s="1975"/>
      <c r="O49" s="1975"/>
      <c r="P49" s="4551" t="str">
        <f>A49</f>
        <v>估价对象XX用房的比较价值（楼面单价，元/平方米）</v>
      </c>
      <c r="Q49" s="4552"/>
      <c r="R49" s="4553">
        <f>IF(F1="售价",ROUND(IF(D48="简单平均",AVERAGE(R48:V48),R48*F48+T48*H48+V48*J48),0),ROUND(IF(D48="简单平均",AVERAGE(R48:V48),R48*F48+T48*H48+V48*J48),1))</f>
        <v>10</v>
      </c>
      <c r="S49" s="4553"/>
      <c r="T49" s="4553"/>
      <c r="U49" s="4553"/>
      <c r="V49" s="4553"/>
      <c r="W49" s="4553"/>
      <c r="X49" s="265"/>
      <c r="Y49" s="265"/>
      <c r="Z49" s="265"/>
      <c r="AA49" s="265"/>
      <c r="AB49" s="265"/>
      <c r="AC49" s="265"/>
    </row>
    <row r="50" spans="1:29">
      <c r="A50" s="1975"/>
      <c r="B50" s="4267" t="s">
        <v>4150</v>
      </c>
      <c r="C50" s="1975">
        <f>C49*0.5</f>
        <v>5</v>
      </c>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1618</v>
      </c>
      <c r="D52" s="297"/>
      <c r="E52" s="298">
        <f>IF(E47&lt;E48,E48/E47-1,E47/E48-1)</f>
        <v>0.12574257425742563</v>
      </c>
      <c r="F52" s="299" t="str">
        <f>IF(OR(E52&gt;=0.3,E52&lt;=-0.3),"超过30%","")</f>
        <v/>
      </c>
      <c r="G52" s="298">
        <f>IF(G47&lt;G48,G48/G47-1,G47/G48-1)</f>
        <v>0.14999999999999991</v>
      </c>
      <c r="H52" s="299" t="str">
        <f>IF(OR(G52&gt;=0.3,G52&lt;=-0.3),"超过30%","")</f>
        <v/>
      </c>
      <c r="I52" s="298">
        <f>IF(I47&lt;I48,I48/I47-1,I47/I48-1)</f>
        <v>2.5510204081632626E-2</v>
      </c>
      <c r="J52" s="299" t="str">
        <f>IF(OR(I52&gt;=0.3,I52&lt;=-0.3),"超过30%","")</f>
        <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1619</v>
      </c>
      <c r="D53" s="300"/>
      <c r="E53" s="298">
        <f>IF(E48&lt;G48,G48/E48-1,E48/G48-1)</f>
        <v>1.0000000000000009E-2</v>
      </c>
      <c r="F53" s="299" t="str">
        <f>IF(OR(E53&gt;=0.2,E53&lt;=-0.2),"超过20%","")</f>
        <v/>
      </c>
      <c r="G53" s="298">
        <f>IF(G48&lt;I48,I48/G48-1,G48/I48-1)</f>
        <v>2.0408163265306145E-2</v>
      </c>
      <c r="H53" s="299" t="str">
        <f>IF(OR(G53&gt;=0.2,G53&lt;=-0.2),"超过20%","")</f>
        <v/>
      </c>
      <c r="I53" s="298">
        <f>IF(I48&lt;E48,E48/I48-1,I48/E48-1)</f>
        <v>3.0612244897959107E-2</v>
      </c>
      <c r="J53" s="299" t="str">
        <f>IF(OR(I53&gt;=0.2,I53&lt;=-0.2),"超过20%","")</f>
        <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1620</v>
      </c>
      <c r="D54" s="300"/>
      <c r="E54" s="298">
        <f>IF(E47&lt;G47,G47/E47-1,E47/G47-1)</f>
        <v>1.1433597185576128E-2</v>
      </c>
      <c r="F54" s="299" t="str">
        <f>IF(OR(E54&gt;=0.3,E54&lt;=-0.3),"超过30%","")</f>
        <v/>
      </c>
      <c r="G54" s="298">
        <f>IF(G47&lt;I47,I47/G47-1,G47/I47-1)</f>
        <v>0.14427860696517403</v>
      </c>
      <c r="H54" s="299" t="str">
        <f>IF(OR(G54&gt;=0.3,G54&lt;=-0.3),"超过30%","")</f>
        <v/>
      </c>
      <c r="I54" s="298">
        <f>IF(I47&lt;E47,E47/I47-1,I47/E47-1)</f>
        <v>0.13134328358208935</v>
      </c>
      <c r="J54" s="299" t="str">
        <f>IF(OR(I54&gt;=0.3,I54&lt;=-0.3),"超过30%","")</f>
        <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1621</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2026-1</v>
      </c>
      <c r="D58" s="782">
        <f>EDATE(C58,-1)</f>
        <v>45992</v>
      </c>
      <c r="E58" s="782">
        <f t="shared" ref="E58:N58" si="16">EDATE(D58,-1)</f>
        <v>45962</v>
      </c>
      <c r="F58" s="782">
        <f t="shared" si="16"/>
        <v>45931</v>
      </c>
      <c r="G58" s="782">
        <f t="shared" si="16"/>
        <v>45901</v>
      </c>
      <c r="H58" s="782">
        <f t="shared" si="16"/>
        <v>45870</v>
      </c>
      <c r="I58" s="782">
        <f t="shared" si="16"/>
        <v>45839</v>
      </c>
      <c r="J58" s="782">
        <f t="shared" si="16"/>
        <v>45809</v>
      </c>
      <c r="K58" s="782">
        <f t="shared" si="16"/>
        <v>45778</v>
      </c>
      <c r="L58" s="782">
        <f t="shared" si="16"/>
        <v>45748</v>
      </c>
      <c r="M58" s="782">
        <f t="shared" si="16"/>
        <v>45717</v>
      </c>
      <c r="N58" s="782">
        <f t="shared" si="16"/>
        <v>45689</v>
      </c>
      <c r="O58" s="782">
        <f>EDATE(N58,-1)</f>
        <v>45658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1625</v>
      </c>
      <c r="D61" s="20" t="s">
        <v>4082</v>
      </c>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v>105</v>
      </c>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t="str">
        <f>C9</f>
        <v>商业</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t="s">
        <v>4083</v>
      </c>
      <c r="D65" s="372" t="s">
        <v>4084</v>
      </c>
      <c r="E65" s="372" t="s">
        <v>4085</v>
      </c>
      <c r="F65" s="372" t="s">
        <v>4086</v>
      </c>
      <c r="G65" s="372" t="s">
        <v>4087</v>
      </c>
      <c r="H65" s="372" t="s">
        <v>4088</v>
      </c>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3864</v>
      </c>
      <c r="C66" s="329">
        <v>100</v>
      </c>
      <c r="D66" s="329">
        <f>C66-5</f>
        <v>95</v>
      </c>
      <c r="E66" s="329">
        <f t="shared" ref="E66:H66" si="17">D66-5</f>
        <v>90</v>
      </c>
      <c r="F66" s="329">
        <f t="shared" si="17"/>
        <v>85</v>
      </c>
      <c r="G66" s="329">
        <f t="shared" si="17"/>
        <v>80</v>
      </c>
      <c r="H66" s="329">
        <f t="shared" si="17"/>
        <v>75</v>
      </c>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0（含）-1</v>
      </c>
      <c r="D67" s="340" t="str">
        <f t="shared" ref="D67:L67" si="18">D68&amp;"（含）"&amp;"-"&amp;E68</f>
        <v>1（含）-2</v>
      </c>
      <c r="E67" s="340" t="str">
        <f t="shared" si="18"/>
        <v>2（含）-3</v>
      </c>
      <c r="F67" s="340" t="str">
        <f t="shared" si="18"/>
        <v>3（含）-4</v>
      </c>
      <c r="G67" s="340" t="str">
        <f t="shared" si="18"/>
        <v>4（含）-5</v>
      </c>
      <c r="H67" s="340" t="str">
        <f t="shared" si="18"/>
        <v>5（含）-6</v>
      </c>
      <c r="I67" s="340" t="str">
        <f t="shared" si="18"/>
        <v>6（含）-7</v>
      </c>
      <c r="J67" s="340" t="str">
        <f t="shared" si="18"/>
        <v>7（含）-8</v>
      </c>
      <c r="K67" s="340" t="str">
        <f t="shared" si="18"/>
        <v>8（含）-9</v>
      </c>
      <c r="L67" s="340" t="str">
        <f t="shared" si="18"/>
        <v>9（含）-10</v>
      </c>
      <c r="M67" s="267" t="str">
        <f>M68&amp;"（含）"&amp;"-"&amp;P68</f>
        <v>10（含）-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1</v>
      </c>
      <c r="E68" s="342">
        <v>2</v>
      </c>
      <c r="F68" s="342">
        <v>3</v>
      </c>
      <c r="G68" s="342">
        <v>4</v>
      </c>
      <c r="H68" s="342">
        <v>5</v>
      </c>
      <c r="I68" s="342">
        <v>6</v>
      </c>
      <c r="J68" s="342">
        <v>7</v>
      </c>
      <c r="K68" s="343">
        <v>8</v>
      </c>
      <c r="L68" s="344">
        <v>9</v>
      </c>
      <c r="M68" s="345">
        <v>10</v>
      </c>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9">C69-$K11</f>
        <v>100</v>
      </c>
      <c r="E69" s="337">
        <f t="shared" si="19"/>
        <v>100</v>
      </c>
      <c r="F69" s="337">
        <f t="shared" si="19"/>
        <v>100</v>
      </c>
      <c r="G69" s="337">
        <f t="shared" si="19"/>
        <v>100</v>
      </c>
      <c r="H69" s="337">
        <f t="shared" si="19"/>
        <v>100</v>
      </c>
      <c r="I69" s="337">
        <f t="shared" si="19"/>
        <v>100</v>
      </c>
      <c r="J69" s="337">
        <f t="shared" si="19"/>
        <v>100</v>
      </c>
      <c r="K69" s="337">
        <f t="shared" si="19"/>
        <v>100</v>
      </c>
      <c r="L69" s="337">
        <f t="shared" si="19"/>
        <v>100</v>
      </c>
      <c r="M69" s="338">
        <f t="shared" si="19"/>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t="str">
        <f>B12</f>
        <v>土地剩余年期</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95</v>
      </c>
      <c r="E77" s="337">
        <f>D77-$K15</f>
        <v>90</v>
      </c>
      <c r="F77" s="337">
        <f>E77-$K15</f>
        <v>85</v>
      </c>
      <c r="G77" s="337">
        <f>F77-$K15</f>
        <v>80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98</v>
      </c>
      <c r="E79" s="337">
        <f>D79-$K17</f>
        <v>96</v>
      </c>
      <c r="F79" s="337">
        <f>E79-$K17</f>
        <v>94</v>
      </c>
      <c r="G79" s="337">
        <f>F79-$K17</f>
        <v>92</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98</v>
      </c>
      <c r="E81" s="337">
        <f>D81-$K19</f>
        <v>96</v>
      </c>
      <c r="F81" s="337">
        <f>E81-$K19</f>
        <v>94</v>
      </c>
      <c r="G81" s="337">
        <f>F81-$K19</f>
        <v>92</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98</v>
      </c>
      <c r="E83" s="337">
        <f t="shared" ref="E83:G83" si="20">D83-$K21</f>
        <v>96</v>
      </c>
      <c r="F83" s="337">
        <f t="shared" si="20"/>
        <v>94</v>
      </c>
      <c r="G83" s="337">
        <f t="shared" si="20"/>
        <v>92</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98</v>
      </c>
      <c r="E85" s="337">
        <f>D85-$K23</f>
        <v>96</v>
      </c>
      <c r="F85" s="337">
        <f>E85-$K23</f>
        <v>94</v>
      </c>
      <c r="G85" s="337">
        <f>F85-$K23</f>
        <v>92</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t="s">
        <v>4089</v>
      </c>
      <c r="D86" s="347" t="s">
        <v>4090</v>
      </c>
      <c r="E86" s="347" t="s">
        <v>4091</v>
      </c>
      <c r="F86" s="347" t="s">
        <v>4092</v>
      </c>
      <c r="G86" s="347" t="s">
        <v>4093</v>
      </c>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1">C87-$K25</f>
        <v>95</v>
      </c>
      <c r="E87" s="337">
        <f t="shared" si="21"/>
        <v>90</v>
      </c>
      <c r="F87" s="337">
        <f t="shared" si="21"/>
        <v>85</v>
      </c>
      <c r="G87" s="337">
        <f t="shared" si="21"/>
        <v>80</v>
      </c>
      <c r="H87" s="337">
        <f t="shared" si="21"/>
        <v>75</v>
      </c>
      <c r="I87" s="337">
        <f t="shared" si="21"/>
        <v>70</v>
      </c>
      <c r="J87" s="337">
        <f t="shared" si="21"/>
        <v>65</v>
      </c>
      <c r="K87" s="337">
        <f t="shared" si="21"/>
        <v>60</v>
      </c>
      <c r="L87" s="337">
        <f t="shared" si="21"/>
        <v>55</v>
      </c>
      <c r="M87" s="337">
        <f t="shared" si="21"/>
        <v>50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t="s">
        <v>4094</v>
      </c>
      <c r="D88" s="347" t="s">
        <v>4095</v>
      </c>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v>100</v>
      </c>
      <c r="D89" s="329">
        <v>95</v>
      </c>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t="s">
        <v>4096</v>
      </c>
      <c r="D90" s="347" t="s">
        <v>4097</v>
      </c>
      <c r="E90" s="347" t="s">
        <v>3601</v>
      </c>
      <c r="F90" s="347" t="s">
        <v>4098</v>
      </c>
      <c r="G90" s="347" t="s">
        <v>4099</v>
      </c>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98</v>
      </c>
      <c r="E91" s="337">
        <f t="shared" ref="E91:M91" si="22">D91-$K27</f>
        <v>96</v>
      </c>
      <c r="F91" s="337">
        <f t="shared" si="22"/>
        <v>94</v>
      </c>
      <c r="G91" s="337">
        <f t="shared" si="22"/>
        <v>92</v>
      </c>
      <c r="H91" s="337">
        <f t="shared" si="22"/>
        <v>90</v>
      </c>
      <c r="I91" s="337">
        <f t="shared" si="22"/>
        <v>88</v>
      </c>
      <c r="J91" s="337">
        <f t="shared" si="22"/>
        <v>86</v>
      </c>
      <c r="K91" s="337">
        <f t="shared" si="22"/>
        <v>84</v>
      </c>
      <c r="L91" s="337">
        <f t="shared" si="22"/>
        <v>82</v>
      </c>
      <c r="M91" s="337">
        <f t="shared" si="22"/>
        <v>80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t="s">
        <v>4100</v>
      </c>
      <c r="D92" s="347" t="s">
        <v>4101</v>
      </c>
      <c r="E92" s="347" t="s">
        <v>4102</v>
      </c>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v>100</v>
      </c>
      <c r="D93" s="329">
        <f>C93*0.8</f>
        <v>80</v>
      </c>
      <c r="E93" s="329">
        <f>C93*0.5</f>
        <v>50</v>
      </c>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t="s">
        <v>4103</v>
      </c>
      <c r="D100" s="324" t="s">
        <v>4104</v>
      </c>
      <c r="E100" s="324" t="s">
        <v>4105</v>
      </c>
      <c r="F100" s="324" t="s">
        <v>4106</v>
      </c>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3">C101-$K32</f>
        <v>95</v>
      </c>
      <c r="E101" s="337">
        <f t="shared" si="23"/>
        <v>90</v>
      </c>
      <c r="F101" s="337">
        <f t="shared" si="23"/>
        <v>85</v>
      </c>
      <c r="G101" s="337">
        <f t="shared" si="23"/>
        <v>80</v>
      </c>
      <c r="H101" s="337">
        <f t="shared" si="23"/>
        <v>75</v>
      </c>
      <c r="I101" s="337">
        <f t="shared" si="23"/>
        <v>70</v>
      </c>
      <c r="J101" s="337">
        <f t="shared" si="23"/>
        <v>65</v>
      </c>
      <c r="K101" s="337">
        <f t="shared" si="23"/>
        <v>60</v>
      </c>
      <c r="L101" s="337">
        <f t="shared" si="23"/>
        <v>55</v>
      </c>
      <c r="M101" s="338">
        <f t="shared" si="23"/>
        <v>50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0(含)-50</v>
      </c>
      <c r="D102" s="368" t="str">
        <f t="shared" ref="D102:L102" si="24">D103&amp;"(含)"&amp;"-"&amp;E103</f>
        <v>50(含)-100</v>
      </c>
      <c r="E102" s="368" t="str">
        <f t="shared" si="24"/>
        <v>100(含)-200</v>
      </c>
      <c r="F102" s="368" t="str">
        <f t="shared" si="24"/>
        <v>200(含)-300</v>
      </c>
      <c r="G102" s="368" t="str">
        <f t="shared" si="24"/>
        <v>300(含)-400</v>
      </c>
      <c r="H102" s="368" t="str">
        <f t="shared" si="24"/>
        <v>400(含)-</v>
      </c>
      <c r="I102" s="368" t="str">
        <f t="shared" si="24"/>
        <v>(含)-</v>
      </c>
      <c r="J102" s="368" t="str">
        <f t="shared" si="24"/>
        <v>(含)-</v>
      </c>
      <c r="K102" s="368" t="str">
        <f t="shared" si="24"/>
        <v>(含)-</v>
      </c>
      <c r="L102" s="368" t="str">
        <f t="shared" si="24"/>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v>0</v>
      </c>
      <c r="D103" s="5">
        <v>50</v>
      </c>
      <c r="E103" s="5">
        <v>100</v>
      </c>
      <c r="F103" s="5">
        <v>200</v>
      </c>
      <c r="G103" s="5">
        <v>300</v>
      </c>
      <c r="H103" s="5">
        <v>400</v>
      </c>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v>100</v>
      </c>
      <c r="D104" s="329">
        <v>99</v>
      </c>
      <c r="E104" s="329">
        <v>98</v>
      </c>
      <c r="F104" s="329">
        <v>97</v>
      </c>
      <c r="G104" s="329">
        <v>96</v>
      </c>
      <c r="H104" s="329">
        <v>95</v>
      </c>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t="s">
        <v>4107</v>
      </c>
      <c r="D105" s="347" t="s">
        <v>4108</v>
      </c>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5">C106-$K34</f>
        <v>99</v>
      </c>
      <c r="E106" s="337">
        <f t="shared" si="25"/>
        <v>98</v>
      </c>
      <c r="F106" s="337">
        <f t="shared" si="25"/>
        <v>97</v>
      </c>
      <c r="G106" s="337">
        <f t="shared" si="25"/>
        <v>96</v>
      </c>
      <c r="H106" s="337">
        <f t="shared" si="25"/>
        <v>95</v>
      </c>
      <c r="I106" s="337">
        <f t="shared" si="25"/>
        <v>94</v>
      </c>
      <c r="J106" s="337">
        <f t="shared" si="25"/>
        <v>93</v>
      </c>
      <c r="K106" s="337">
        <f t="shared" si="25"/>
        <v>92</v>
      </c>
      <c r="L106" s="337">
        <f t="shared" si="25"/>
        <v>91</v>
      </c>
      <c r="M106" s="338">
        <f t="shared" si="25"/>
        <v>90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t="s">
        <v>4109</v>
      </c>
      <c r="D107" s="347" t="s">
        <v>4110</v>
      </c>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6">C108-$K35</f>
        <v>99</v>
      </c>
      <c r="E108" s="337">
        <f t="shared" si="26"/>
        <v>98</v>
      </c>
      <c r="F108" s="337">
        <f t="shared" si="26"/>
        <v>97</v>
      </c>
      <c r="G108" s="337">
        <f t="shared" si="26"/>
        <v>96</v>
      </c>
      <c r="H108" s="337">
        <f t="shared" si="26"/>
        <v>95</v>
      </c>
      <c r="I108" s="337">
        <f t="shared" si="26"/>
        <v>94</v>
      </c>
      <c r="J108" s="337">
        <f t="shared" si="26"/>
        <v>93</v>
      </c>
      <c r="K108" s="337">
        <f t="shared" si="26"/>
        <v>92</v>
      </c>
      <c r="L108" s="337">
        <f t="shared" si="26"/>
        <v>91</v>
      </c>
      <c r="M108" s="338">
        <f t="shared" si="26"/>
        <v>90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7">G110&amp;"(含)"&amp;"-"&amp;H110</f>
        <v>0.7(含)-0.75</v>
      </c>
      <c r="H109" s="368" t="str">
        <f t="shared" si="27"/>
        <v>0.75(含)-0.8</v>
      </c>
      <c r="I109" s="368" t="str">
        <f t="shared" si="27"/>
        <v>0.8(含)-0.85</v>
      </c>
      <c r="J109" s="368" t="str">
        <f t="shared" si="27"/>
        <v>0.85(含)-0.9</v>
      </c>
      <c r="K109" s="368" t="str">
        <f t="shared" si="27"/>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101</v>
      </c>
      <c r="E111" s="337">
        <f t="shared" ref="E111:M111" si="28">D111+$K36</f>
        <v>102</v>
      </c>
      <c r="F111" s="337">
        <f t="shared" si="28"/>
        <v>103</v>
      </c>
      <c r="G111" s="337">
        <f t="shared" si="28"/>
        <v>104</v>
      </c>
      <c r="H111" s="337">
        <f t="shared" si="28"/>
        <v>105</v>
      </c>
      <c r="I111" s="337">
        <f t="shared" si="28"/>
        <v>106</v>
      </c>
      <c r="J111" s="337">
        <f t="shared" si="28"/>
        <v>107</v>
      </c>
      <c r="K111" s="337">
        <f t="shared" si="28"/>
        <v>108</v>
      </c>
      <c r="L111" s="337">
        <f t="shared" si="28"/>
        <v>109</v>
      </c>
      <c r="M111" s="337">
        <f t="shared" si="28"/>
        <v>110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t="s">
        <v>3603</v>
      </c>
      <c r="D112" s="347" t="s">
        <v>3604</v>
      </c>
      <c r="E112" s="347" t="s">
        <v>3605</v>
      </c>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9">D113-$K37</f>
        <v>100</v>
      </c>
      <c r="F113" s="337">
        <f t="shared" si="29"/>
        <v>100</v>
      </c>
      <c r="G113" s="337">
        <f t="shared" si="29"/>
        <v>100</v>
      </c>
      <c r="H113" s="337">
        <f t="shared" si="29"/>
        <v>100</v>
      </c>
      <c r="I113" s="337">
        <f t="shared" si="29"/>
        <v>100</v>
      </c>
      <c r="J113" s="337">
        <f t="shared" si="29"/>
        <v>100</v>
      </c>
      <c r="K113" s="337">
        <f t="shared" si="29"/>
        <v>100</v>
      </c>
      <c r="L113" s="337">
        <f t="shared" si="29"/>
        <v>100</v>
      </c>
      <c r="M113" s="337">
        <f t="shared" si="29"/>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t="s">
        <v>4111</v>
      </c>
      <c r="D114" s="347" t="s">
        <v>4112</v>
      </c>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30">C115-$K38</f>
        <v>100</v>
      </c>
      <c r="E115" s="337">
        <f t="shared" si="30"/>
        <v>100</v>
      </c>
      <c r="F115" s="337">
        <f t="shared" si="30"/>
        <v>100</v>
      </c>
      <c r="G115" s="337">
        <f t="shared" si="30"/>
        <v>100</v>
      </c>
      <c r="H115" s="337">
        <f t="shared" si="30"/>
        <v>100</v>
      </c>
      <c r="I115" s="337">
        <f t="shared" si="30"/>
        <v>100</v>
      </c>
      <c r="J115" s="337">
        <f t="shared" si="30"/>
        <v>100</v>
      </c>
      <c r="K115" s="337">
        <f t="shared" si="30"/>
        <v>100</v>
      </c>
      <c r="L115" s="337">
        <f t="shared" si="30"/>
        <v>100</v>
      </c>
      <c r="M115" s="338">
        <f t="shared" si="30"/>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t="s">
        <v>4113</v>
      </c>
      <c r="D116" s="347" t="s">
        <v>4114</v>
      </c>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99</v>
      </c>
      <c r="E117" s="337">
        <f>D117-$K39</f>
        <v>98</v>
      </c>
      <c r="F117" s="337">
        <f>E117-$K39</f>
        <v>97</v>
      </c>
      <c r="G117" s="337">
        <f>F117-$K39</f>
        <v>96</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t="s">
        <v>4115</v>
      </c>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1">D121-$K41</f>
        <v>100</v>
      </c>
      <c r="F121" s="337">
        <f t="shared" si="31"/>
        <v>100</v>
      </c>
      <c r="G121" s="337">
        <f t="shared" si="31"/>
        <v>100</v>
      </c>
      <c r="H121" s="337">
        <f t="shared" si="31"/>
        <v>100</v>
      </c>
      <c r="I121" s="337">
        <f t="shared" si="31"/>
        <v>100</v>
      </c>
      <c r="J121" s="337">
        <f t="shared" si="31"/>
        <v>100</v>
      </c>
      <c r="K121" s="337">
        <f t="shared" si="31"/>
        <v>100</v>
      </c>
      <c r="L121" s="337">
        <f t="shared" si="31"/>
        <v>100</v>
      </c>
      <c r="M121" s="338">
        <f t="shared" si="31"/>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t="s">
        <v>4110</v>
      </c>
      <c r="D122" s="347" t="s">
        <v>4116</v>
      </c>
      <c r="E122" s="347" t="s">
        <v>4117</v>
      </c>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2">C123-$K42</f>
        <v>99</v>
      </c>
      <c r="E123" s="337">
        <f t="shared" si="32"/>
        <v>98</v>
      </c>
      <c r="F123" s="337">
        <f t="shared" si="32"/>
        <v>97</v>
      </c>
      <c r="G123" s="337">
        <f t="shared" si="32"/>
        <v>96</v>
      </c>
      <c r="H123" s="337">
        <f t="shared" si="32"/>
        <v>95</v>
      </c>
      <c r="I123" s="337">
        <f t="shared" si="32"/>
        <v>94</v>
      </c>
      <c r="J123" s="337">
        <f t="shared" si="32"/>
        <v>93</v>
      </c>
      <c r="K123" s="337">
        <f t="shared" si="32"/>
        <v>92</v>
      </c>
      <c r="L123" s="337">
        <f t="shared" si="32"/>
        <v>91</v>
      </c>
      <c r="M123" s="338">
        <f t="shared" si="32"/>
        <v>90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t="str">
        <f>B44</f>
        <v>建成年代</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t="str">
        <f>B45</f>
        <v>直线成新</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t="str">
        <f>B46</f>
        <v>观察成新</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20" priority="14" stopIfTrue="1">
      <formula>$F$52="超过30%"</formula>
    </cfRule>
  </conditionalFormatting>
  <conditionalFormatting sqref="E53">
    <cfRule type="expression" dxfId="119" priority="13" stopIfTrue="1">
      <formula>$F$53="超过20%"</formula>
    </cfRule>
  </conditionalFormatting>
  <conditionalFormatting sqref="E54">
    <cfRule type="expression" dxfId="118" priority="12"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5" stopIfTrue="1" operator="containsText" text="超过">
      <formula>NOT(ISERROR(SEARCH("超过",F52)))</formula>
    </cfRule>
  </conditionalFormatting>
  <conditionalFormatting sqref="G52">
    <cfRule type="expression" dxfId="114" priority="10" stopIfTrue="1">
      <formula>$H$52="超过30%"</formula>
    </cfRule>
  </conditionalFormatting>
  <conditionalFormatting sqref="G53">
    <cfRule type="expression" dxfId="113" priority="9" stopIfTrue="1">
      <formula>$H$53="超过20%"</formula>
    </cfRule>
  </conditionalFormatting>
  <conditionalFormatting sqref="G54">
    <cfRule type="expression" dxfId="112" priority="11"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6">
    <dataValidation type="list" allowBlank="1" showInputMessage="1" showErrorMessage="1" sqref="C2" xr:uid="{A596E391-EAFD-4EC5-949B-CDED2A111E30}">
      <formula1>"含税,不含税"</formula1>
    </dataValidation>
    <dataValidation type="list" allowBlank="1" showInputMessage="1" showErrorMessage="1" sqref="E1" xr:uid="{B1B5B460-6678-4946-9E3C-E7F90159ACBD}">
      <formula1>"项目模式,单套模式"</formula1>
    </dataValidation>
    <dataValidation type="list" allowBlank="1" showInputMessage="1" showErrorMessage="1" sqref="D48" xr:uid="{8BDDC9B7-18D6-415E-B9A1-D1F144596120}">
      <formula1>"简单平均,加权平均"</formula1>
    </dataValidation>
    <dataValidation type="list" allowBlank="1" showInputMessage="1" showErrorMessage="1" sqref="H2" xr:uid="{353EE319-18D2-4400-A1BA-F91BEB292216}">
      <formula1>估价方法</formula1>
    </dataValidation>
    <dataValidation type="list" allowBlank="1" showInputMessage="1" showErrorMessage="1" sqref="E2" xr:uid="{FAA20550-6164-46D8-B140-275A23B7E5F9}">
      <formula1>"需扣减承租人权益,——"</formula1>
    </dataValidation>
    <dataValidation type="list" allowBlank="1" showInputMessage="1" showErrorMessage="1" sqref="F1" xr:uid="{297CE06B-3A41-4739-99BB-4E09A925D530}">
      <formula1>"售价,租金"</formula1>
    </dataValidation>
    <dataValidation type="list" allowBlank="1" showInputMessage="1" showErrorMessage="1" sqref="C22 E22 G22 I22" xr:uid="{F145C737-AB65-482F-B209-1B4E78F22CF7}">
      <formula1>基础设施水平</formula1>
    </dataValidation>
    <dataValidation type="list" allowBlank="1" showInputMessage="1" showErrorMessage="1" sqref="C16 E16 G16 I16" xr:uid="{0AB458E2-4BAF-4131-BAA8-D304774AB24C}">
      <formula1>商业繁华度</formula1>
    </dataValidation>
    <dataValidation type="list" allowBlank="1" showInputMessage="1" showErrorMessage="1" sqref="C8 E8 G8 I8" xr:uid="{F0A3A64F-3632-4BFB-B3E3-5643FC2EEA4F}">
      <formula1>商业交易情况</formula1>
    </dataValidation>
    <dataValidation type="list" allowBlank="1" showInputMessage="1" showErrorMessage="1" sqref="C39 E39 G39 I39" xr:uid="{565C274E-D851-4EFD-BFF9-FF1ECA5FAE26}">
      <formula1>商业层高</formula1>
    </dataValidation>
    <dataValidation type="list" allowBlank="1" showInputMessage="1" showErrorMessage="1" sqref="C38 E38 G38 I38" xr:uid="{E52AB4BA-9AA5-4F1A-93A4-EFEF63D38649}">
      <formula1>商业业态</formula1>
    </dataValidation>
    <dataValidation type="list" allowBlank="1" showInputMessage="1" showErrorMessage="1" sqref="E9 G9 I9" xr:uid="{55453FB4-2FE0-4588-93AF-00F35D0204EB}">
      <formula1>商业用途</formula1>
    </dataValidation>
    <dataValidation type="list" allowBlank="1" showInputMessage="1" showErrorMessage="1" sqref="C42 E42 G42 I42" xr:uid="{1B781E63-6899-4781-A781-E3809728CB2D}">
      <formula1>商业内部装修</formula1>
    </dataValidation>
    <dataValidation type="list" allowBlank="1" showInputMessage="1" showErrorMessage="1" sqref="C41 E41 G41 I41" xr:uid="{85B21AF2-26D1-415C-8D7D-F117A8058A28}">
      <formula1>商业进深比</formula1>
    </dataValidation>
    <dataValidation type="list" allowBlank="1" showInputMessage="1" showErrorMessage="1" sqref="C37 E37 G37 I37" xr:uid="{A0997D82-FF61-44B4-93B6-BA7B27B80AEF}">
      <formula1>商业基础设施水平</formula1>
    </dataValidation>
    <dataValidation type="list" allowBlank="1" showInputMessage="1" showErrorMessage="1" sqref="C35 E35 G35 I35" xr:uid="{14B902D1-8A0E-407B-814C-7178352AE205}">
      <formula1>商业公共部分装修</formula1>
    </dataValidation>
    <dataValidation type="list" allowBlank="1" showInputMessage="1" showErrorMessage="1" sqref="C34 E34 G34 I34" xr:uid="{9992A38E-672F-42D7-B4E8-C7095AC71BBA}">
      <formula1>商业建筑结构</formula1>
    </dataValidation>
    <dataValidation type="list" allowBlank="1" showInputMessage="1" showErrorMessage="1" sqref="C32 E32 G32 I32" xr:uid="{158C223D-C3B2-4C81-AE99-7FD042650C9E}">
      <formula1>商业类型</formula1>
    </dataValidation>
    <dataValidation type="list" allowBlank="1" showInputMessage="1" showErrorMessage="1" sqref="C28 E28 G28 I28" xr:uid="{16A3459E-0CAC-457B-A018-BC4E730F2D5B}">
      <formula1>商业楼层</formula1>
    </dataValidation>
    <dataValidation type="list" allowBlank="1" showInputMessage="1" showErrorMessage="1" sqref="C27 E27 G27 I27" xr:uid="{F9AE4C2F-2344-411C-B656-7AEF0819383D}">
      <formula1>商业人流量</formula1>
    </dataValidation>
    <dataValidation type="list" allowBlank="1" showInputMessage="1" showErrorMessage="1" sqref="C25 E25 G25 I25" xr:uid="{A418857D-7DB8-4D6E-B7CE-80FCEBC1FF94}">
      <formula1>商业临街状况</formula1>
    </dataValidation>
    <dataValidation type="list" allowBlank="1" showInputMessage="1" showErrorMessage="1" sqref="E24 G24 I24 C24" xr:uid="{DEEDE931-899E-4A6B-BB18-B6D03B1C9005}">
      <formula1>环境</formula1>
    </dataValidation>
    <dataValidation type="list" allowBlank="1" showInputMessage="1" showErrorMessage="1" sqref="E18 G18 I18 C18" xr:uid="{1A622E28-2CCE-486A-802A-FD4CA6CFB5D5}">
      <formula1>交通便捷度</formula1>
    </dataValidation>
    <dataValidation type="list" allowBlank="1" showInputMessage="1" showErrorMessage="1" sqref="E20 I20 G20 C20" xr:uid="{822BC7D6-2206-4CC2-96B1-D10D057CED86}">
      <formula1>公共配套设施</formula1>
    </dataValidation>
    <dataValidation type="list" allowBlank="1" showInputMessage="1" showErrorMessage="1" sqref="C43 E43 G43 I43" xr:uid="{BF625DA1-6224-46AD-89A2-AA2F716284C6}">
      <formula1>内部装修维护情况</formula1>
    </dataValidation>
    <dataValidation type="list" allowBlank="1" showInputMessage="1" showErrorMessage="1" sqref="D1" xr:uid="{BC729C03-FEC3-49FB-87EA-AA9EB5A33C3D}">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估价对象为北京市房地产，为所有。根据《国有土地使用证》[]，估价对象（分摊）出让国有建设用地使用权面积为0平方米，建筑面积为138.79平方米。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估价对象为北京市房地产,属开发建设的，该项目尚在开发建设中。根据《国有土地使用证》[]，估价对象（分摊）出让国有建设用地使用权面积为0平方米，规划建筑面积为138.79平方米。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2026年1月28日（评估专业人员实地查勘之日）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本次评估采用的主估价方法为比较法和收益法。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3F0AB-B64E-4724-A6DA-1789834C607F}">
  <sheetPr>
    <tabColor rgb="FF92D050"/>
  </sheetPr>
  <dimension ref="M1:O47"/>
  <sheetViews>
    <sheetView workbookViewId="0">
      <selection activeCell="O56" sqref="O56"/>
    </sheetView>
  </sheetViews>
  <sheetFormatPr defaultRowHeight="13.5"/>
  <cols>
    <col min="1" max="16384" width="9" style="4263"/>
  </cols>
  <sheetData>
    <row r="1" spans="13:15">
      <c r="M1" s="4263" t="s">
        <v>4136</v>
      </c>
    </row>
    <row r="2" spans="13:15">
      <c r="O2" s="4262"/>
    </row>
    <row r="25" spans="14:14">
      <c r="N25" s="4263" t="s">
        <v>4134</v>
      </c>
    </row>
    <row r="47" spans="14:14">
      <c r="N47" s="4263" t="s">
        <v>4135</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DCF31-6E14-4E29-A781-420C952389A4}">
  <dimension ref="A1"/>
  <sheetViews>
    <sheetView topLeftCell="A34" workbookViewId="0">
      <selection activeCell="A68" sqref="A68"/>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72"/>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4">
        <f>IF(C2="含税",D2,ROUND(D2/(1+F3),0))</f>
        <v>0</v>
      </c>
      <c r="C2" s="2784"/>
      <c r="D2" s="3715" t="b">
        <f>IF(E1="项目模式",IF(E2="——",ROUND(C49*D3/10000,0),ROUND(C49*D3/10000,0)-F2),IF(E1="单套模式",IF(E2="——",ROUND(C49*D3/10000,4),ROUND(C49*D3/10000,4)-F2)))</f>
        <v>0</v>
      </c>
      <c r="E2" s="2791"/>
      <c r="F2" s="3716"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0</v>
      </c>
      <c r="C3" s="234" t="s">
        <v>1572</v>
      </c>
      <c r="D3" s="2881">
        <f>IF(D1="",'数据-汇总表'!E3,SUMIF('数据-汇总表'!$C19:$C33,D1,'数据-汇总表'!$E19:$E33))</f>
        <v>138.79</v>
      </c>
      <c r="E3" s="3204"/>
      <c r="F3" s="3845">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18" t="s">
        <v>1574</v>
      </c>
      <c r="D4" s="4519"/>
      <c r="E4" s="4520" t="s">
        <v>1575</v>
      </c>
      <c r="F4" s="4521"/>
      <c r="G4" s="4518" t="s">
        <v>1576</v>
      </c>
      <c r="H4" s="4519"/>
      <c r="I4" s="4518" t="s">
        <v>1577</v>
      </c>
      <c r="J4" s="4519"/>
      <c r="K4" s="2809" t="s">
        <v>1578</v>
      </c>
      <c r="L4" s="1974"/>
      <c r="M4" s="1975"/>
      <c r="N4" s="1975"/>
      <c r="O4" s="1975"/>
      <c r="P4" s="4522" t="s">
        <v>1579</v>
      </c>
      <c r="Q4" s="4523"/>
      <c r="R4" s="4504" t="s">
        <v>1575</v>
      </c>
      <c r="S4" s="4505"/>
      <c r="T4" s="4504" t="s">
        <v>1576</v>
      </c>
      <c r="U4" s="4505"/>
      <c r="V4" s="4530" t="s">
        <v>1577</v>
      </c>
      <c r="W4" s="4530"/>
      <c r="X4" s="909"/>
      <c r="Y4" s="4533" t="s">
        <v>1579</v>
      </c>
      <c r="Z4" s="4534"/>
      <c r="AA4" s="4498" t="s">
        <v>1575</v>
      </c>
      <c r="AB4" s="4498" t="s">
        <v>1576</v>
      </c>
      <c r="AC4" s="4498" t="s">
        <v>1577</v>
      </c>
    </row>
    <row r="5" spans="1:29" ht="15">
      <c r="A5" s="238"/>
      <c r="B5" s="239"/>
      <c r="C5" s="4510" t="s">
        <v>1580</v>
      </c>
      <c r="D5" s="4511"/>
      <c r="E5" s="4508" t="s">
        <v>1581</v>
      </c>
      <c r="F5" s="4509"/>
      <c r="G5" s="4510" t="s">
        <v>1582</v>
      </c>
      <c r="H5" s="4511"/>
      <c r="I5" s="4510" t="s">
        <v>1583</v>
      </c>
      <c r="J5" s="4511"/>
      <c r="K5" s="2810"/>
      <c r="L5" s="1974"/>
      <c r="M5" s="1975"/>
      <c r="N5" s="1975"/>
      <c r="O5" s="1975"/>
      <c r="P5" s="4524"/>
      <c r="Q5" s="4525"/>
      <c r="R5" s="4506"/>
      <c r="S5" s="4507"/>
      <c r="T5" s="4506"/>
      <c r="U5" s="4507"/>
      <c r="V5" s="4530"/>
      <c r="W5" s="4530"/>
      <c r="X5" s="909"/>
      <c r="Y5" s="4535"/>
      <c r="Z5" s="4536"/>
      <c r="AA5" s="4499"/>
      <c r="AB5" s="4499"/>
      <c r="AC5" s="4499"/>
    </row>
    <row r="6" spans="1:29" ht="15.75" thickBot="1">
      <c r="A6" s="240"/>
      <c r="B6" s="241"/>
      <c r="C6" s="4512" t="s">
        <v>1584</v>
      </c>
      <c r="D6" s="4513"/>
      <c r="E6" s="4514" t="s">
        <v>1584</v>
      </c>
      <c r="F6" s="4515"/>
      <c r="G6" s="4512" t="s">
        <v>1584</v>
      </c>
      <c r="H6" s="4513"/>
      <c r="I6" s="4512" t="s">
        <v>1584</v>
      </c>
      <c r="J6" s="4513"/>
      <c r="K6" s="2810" t="s">
        <v>1585</v>
      </c>
      <c r="L6" s="1974"/>
      <c r="M6" s="1975"/>
      <c r="N6" s="1975"/>
      <c r="O6" s="1975"/>
      <c r="P6" s="4526"/>
      <c r="Q6" s="4527"/>
      <c r="R6" s="4506"/>
      <c r="S6" s="4507"/>
      <c r="T6" s="4528"/>
      <c r="U6" s="4529"/>
      <c r="V6" s="4530"/>
      <c r="W6" s="4530"/>
      <c r="X6" s="909"/>
      <c r="Y6" s="4537"/>
      <c r="Z6" s="4538"/>
      <c r="AA6" s="4500"/>
      <c r="AB6" s="4500"/>
      <c r="AC6" s="4500"/>
    </row>
    <row r="7" spans="1:29" s="46" customFormat="1" ht="15.75" thickBot="1">
      <c r="A7" s="242" t="s">
        <v>1586</v>
      </c>
      <c r="B7" s="243"/>
      <c r="C7" s="2811">
        <f>'数据-取费表'!B2</f>
        <v>46050</v>
      </c>
      <c r="D7" s="2886">
        <v>100</v>
      </c>
      <c r="E7" s="2840"/>
      <c r="F7" s="3717">
        <f>SUMIF(58:58,YEAR(E7)&amp;"-"&amp;MONTH(E7),59:59)</f>
        <v>0</v>
      </c>
      <c r="G7" s="2840"/>
      <c r="H7" s="3729">
        <f>SUMIF(58:58,YEAR(G7)&amp;"-"&amp;MONTH(G7),59:59)</f>
        <v>0</v>
      </c>
      <c r="I7" s="2840"/>
      <c r="J7" s="3729">
        <f>SUMIF(58:58,YEAR(I7)&amp;"-"&amp;MONTH(I7),59:59)</f>
        <v>0</v>
      </c>
      <c r="K7" s="2802"/>
      <c r="L7" s="1976"/>
      <c r="M7" s="1929"/>
      <c r="N7" s="1929"/>
      <c r="O7" s="1929"/>
      <c r="P7" s="4531" t="s">
        <v>1587</v>
      </c>
      <c r="Q7" s="4539"/>
      <c r="R7" s="3633" t="s">
        <v>18</v>
      </c>
      <c r="S7" s="3156">
        <f t="shared" ref="S7:S15" si="0">F7</f>
        <v>0</v>
      </c>
      <c r="T7" s="3633" t="s">
        <v>18</v>
      </c>
      <c r="U7" s="3156">
        <f t="shared" ref="U7:U15" si="1">H7</f>
        <v>0</v>
      </c>
      <c r="V7" s="3633" t="s">
        <v>18</v>
      </c>
      <c r="W7" s="3156">
        <f t="shared" ref="W7:W15" si="2">J7</f>
        <v>0</v>
      </c>
      <c r="X7" s="482"/>
      <c r="Y7" s="4502" t="s">
        <v>1587</v>
      </c>
      <c r="Z7" s="4503"/>
      <c r="AA7" s="28" t="e">
        <f>D7/F7</f>
        <v>#DIV/0!</v>
      </c>
      <c r="AB7" s="28" t="e">
        <f>D7/H7</f>
        <v>#DIV/0!</v>
      </c>
      <c r="AC7" s="28" t="e">
        <f>D7/J7</f>
        <v>#DIV/0!</v>
      </c>
    </row>
    <row r="8" spans="1:29" s="46" customFormat="1" ht="15.75" thickBot="1">
      <c r="A8" s="242" t="s">
        <v>1588</v>
      </c>
      <c r="B8" s="243"/>
      <c r="C8" s="2812"/>
      <c r="D8" s="2886">
        <v>100</v>
      </c>
      <c r="E8" s="2865"/>
      <c r="F8" s="3717">
        <f>SUMIF(61:61,E8,62:62)-SUMIF(61:61,C8,62:62)+100</f>
        <v>100</v>
      </c>
      <c r="G8" s="2812"/>
      <c r="H8" s="3729">
        <f>SUMIF(61:61,G8,62:62)-SUMIF(61:61,C8,62:62)+100</f>
        <v>100</v>
      </c>
      <c r="I8" s="2865"/>
      <c r="J8" s="3729">
        <f>SUMIF(61:61,I8,62:62)-SUMIF(61:61,C8,62:62)+100</f>
        <v>100</v>
      </c>
      <c r="K8" s="2802"/>
      <c r="L8" s="1976"/>
      <c r="M8" s="1929"/>
      <c r="N8" s="1929"/>
      <c r="O8" s="1929"/>
      <c r="P8" s="4531" t="s">
        <v>1590</v>
      </c>
      <c r="Q8" s="4532"/>
      <c r="R8" s="3633" t="s">
        <v>18</v>
      </c>
      <c r="S8" s="3156">
        <f t="shared" si="0"/>
        <v>100</v>
      </c>
      <c r="T8" s="3633" t="s">
        <v>18</v>
      </c>
      <c r="U8" s="3156">
        <f t="shared" si="1"/>
        <v>100</v>
      </c>
      <c r="V8" s="3633" t="s">
        <v>18</v>
      </c>
      <c r="W8" s="3156">
        <f t="shared" si="2"/>
        <v>100</v>
      </c>
      <c r="X8" s="482"/>
      <c r="Y8" s="4502" t="s">
        <v>1590</v>
      </c>
      <c r="Z8" s="4503"/>
      <c r="AA8" s="28">
        <f t="shared" ref="AA8:AA19" si="3">D8/F8</f>
        <v>1</v>
      </c>
      <c r="AB8" s="28">
        <f t="shared" ref="AB8:AB19" si="4">D8/H8</f>
        <v>1</v>
      </c>
      <c r="AC8" s="28">
        <f t="shared" ref="AC8:AC19" si="5">D8/J8</f>
        <v>1</v>
      </c>
    </row>
    <row r="9" spans="1:29" s="46" customFormat="1">
      <c r="A9" s="247" t="s">
        <v>1591</v>
      </c>
      <c r="B9" s="2792" t="s">
        <v>1592</v>
      </c>
      <c r="C9" s="2813"/>
      <c r="D9" s="2887">
        <v>100</v>
      </c>
      <c r="E9" s="2841"/>
      <c r="F9" s="3718">
        <f>SUMIF(63:63,E9,64:64)-SUMIF(63:63,C9,64:64)+100</f>
        <v>100</v>
      </c>
      <c r="G9" s="2870"/>
      <c r="H9" s="3730">
        <f>SUMIF(63:63,G9,64:64)-SUMIF(63:63,C9,64:64)+100</f>
        <v>100</v>
      </c>
      <c r="I9" s="2870"/>
      <c r="J9" s="3730">
        <f>SUMIF(63:63,I9,64:64)-SUMIF(63:63,C9,64:64)+100</f>
        <v>100</v>
      </c>
      <c r="K9" s="2802"/>
      <c r="L9" s="1976"/>
      <c r="M9" s="1929"/>
      <c r="N9" s="1929"/>
      <c r="O9" s="1929"/>
      <c r="P9" s="4516" t="s">
        <v>1593</v>
      </c>
      <c r="Q9" s="1698" t="str">
        <f t="shared" ref="Q9:Q15" si="6">B9</f>
        <v>用途</v>
      </c>
      <c r="R9" s="3633" t="s">
        <v>13</v>
      </c>
      <c r="S9" s="3156">
        <f t="shared" si="0"/>
        <v>100</v>
      </c>
      <c r="T9" s="3633" t="s">
        <v>13</v>
      </c>
      <c r="U9" s="3156">
        <f t="shared" si="1"/>
        <v>100</v>
      </c>
      <c r="V9" s="3633" t="s">
        <v>13</v>
      </c>
      <c r="W9" s="3156">
        <f t="shared" si="2"/>
        <v>100</v>
      </c>
      <c r="X9" s="482"/>
      <c r="Y9" s="4517"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02"/>
      <c r="L10" s="1977"/>
      <c r="M10" s="1978"/>
      <c r="N10" s="1978"/>
      <c r="O10" s="1978"/>
      <c r="P10" s="4516"/>
      <c r="Q10" s="1698" t="str">
        <f t="shared" si="6"/>
        <v>土地使用年限（年）</v>
      </c>
      <c r="R10" s="3633" t="s">
        <v>13</v>
      </c>
      <c r="S10" s="3156">
        <f t="shared" si="0"/>
        <v>100</v>
      </c>
      <c r="T10" s="3633" t="s">
        <v>13</v>
      </c>
      <c r="U10" s="3156">
        <f t="shared" si="1"/>
        <v>100</v>
      </c>
      <c r="V10" s="3633" t="s">
        <v>13</v>
      </c>
      <c r="W10" s="3156">
        <f t="shared" si="2"/>
        <v>100</v>
      </c>
      <c r="X10" s="482"/>
      <c r="Y10" s="4517"/>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03"/>
      <c r="L11" s="1979"/>
      <c r="M11" s="1975"/>
      <c r="N11" s="1975"/>
      <c r="O11" s="1975"/>
      <c r="P11" s="4516"/>
      <c r="Q11" s="1698" t="str">
        <f t="shared" si="6"/>
        <v>容积率</v>
      </c>
      <c r="R11" s="3633" t="s">
        <v>16</v>
      </c>
      <c r="S11" s="3156">
        <f t="shared" si="0"/>
        <v>100</v>
      </c>
      <c r="T11" s="3633" t="s">
        <v>16</v>
      </c>
      <c r="U11" s="3156">
        <f t="shared" si="1"/>
        <v>100</v>
      </c>
      <c r="V11" s="3633" t="s">
        <v>16</v>
      </c>
      <c r="W11" s="3156">
        <f t="shared" si="2"/>
        <v>100</v>
      </c>
      <c r="X11" s="482"/>
      <c r="Y11" s="4517"/>
      <c r="Z11" s="28" t="str">
        <f t="shared" si="7"/>
        <v>容积率</v>
      </c>
      <c r="AA11" s="28">
        <f t="shared" si="3"/>
        <v>1</v>
      </c>
      <c r="AB11" s="28">
        <f t="shared" si="4"/>
        <v>1</v>
      </c>
      <c r="AC11" s="28">
        <f t="shared" si="5"/>
        <v>1</v>
      </c>
    </row>
    <row r="12" spans="1:29" s="46" customFormat="1" ht="15">
      <c r="A12" s="257"/>
      <c r="B12" s="2793">
        <v>111</v>
      </c>
      <c r="C12" s="2816"/>
      <c r="D12" s="2889">
        <v>100</v>
      </c>
      <c r="E12" s="2816"/>
      <c r="F12" s="3719">
        <f>SUMIF(70:70,E12,71:71)-SUMIF(70:70,C12,71:71)+100</f>
        <v>100</v>
      </c>
      <c r="G12" s="2816"/>
      <c r="H12" s="3731">
        <f>SUMIF(70:70,G12,71:71)-SUMIF(70:70,C12,71:71)+100</f>
        <v>100</v>
      </c>
      <c r="I12" s="2816"/>
      <c r="J12" s="3731">
        <f>SUMIF(70:70,I12,71:71)-SUMIF(70:70,C12,71:71)+100</f>
        <v>100</v>
      </c>
      <c r="K12" s="2804"/>
      <c r="L12" s="1976"/>
      <c r="M12" s="1929"/>
      <c r="N12" s="1929"/>
      <c r="O12" s="1929"/>
      <c r="P12" s="4516"/>
      <c r="Q12" s="1698">
        <f t="shared" si="6"/>
        <v>111</v>
      </c>
      <c r="R12" s="3633" t="s">
        <v>16</v>
      </c>
      <c r="S12" s="3156">
        <f t="shared" si="0"/>
        <v>100</v>
      </c>
      <c r="T12" s="3633" t="s">
        <v>16</v>
      </c>
      <c r="U12" s="3156">
        <f t="shared" si="1"/>
        <v>100</v>
      </c>
      <c r="V12" s="3633" t="s">
        <v>16</v>
      </c>
      <c r="W12" s="3156">
        <f t="shared" si="2"/>
        <v>100</v>
      </c>
      <c r="X12" s="482"/>
      <c r="Y12" s="4517"/>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04"/>
      <c r="L13" s="1980"/>
      <c r="M13" s="1975"/>
      <c r="N13" s="1975"/>
      <c r="O13" s="1975"/>
      <c r="P13" s="4516"/>
      <c r="Q13" s="1698">
        <f t="shared" si="6"/>
        <v>111</v>
      </c>
      <c r="R13" s="3633" t="s">
        <v>16</v>
      </c>
      <c r="S13" s="3156">
        <f t="shared" si="0"/>
        <v>100</v>
      </c>
      <c r="T13" s="3633" t="s">
        <v>16</v>
      </c>
      <c r="U13" s="3156">
        <f t="shared" si="1"/>
        <v>100</v>
      </c>
      <c r="V13" s="3633" t="s">
        <v>16</v>
      </c>
      <c r="W13" s="3156">
        <f t="shared" si="2"/>
        <v>100</v>
      </c>
      <c r="X13" s="482"/>
      <c r="Y13" s="4517"/>
      <c r="Z13" s="28">
        <f t="shared" si="7"/>
        <v>111</v>
      </c>
      <c r="AA13" s="28">
        <f t="shared" si="3"/>
        <v>1</v>
      </c>
      <c r="AB13" s="28">
        <f t="shared" si="4"/>
        <v>1</v>
      </c>
      <c r="AC13" s="28">
        <f t="shared" si="5"/>
        <v>1</v>
      </c>
    </row>
    <row r="14" spans="1:29" ht="15.75" thickBot="1">
      <c r="A14" s="260"/>
      <c r="B14" s="2794">
        <v>111</v>
      </c>
      <c r="C14" s="2818"/>
      <c r="D14" s="2891">
        <v>100</v>
      </c>
      <c r="E14" s="2818"/>
      <c r="F14" s="3720">
        <f>SUMIF(74:74,E14,75:75)-SUMIF(74:74,C14,75:75)+100</f>
        <v>100</v>
      </c>
      <c r="G14" s="2818"/>
      <c r="H14" s="3727">
        <f>SUMIF(74:74,G14,75:75)-SUMIF(74:74,C14,75:75)+100</f>
        <v>100</v>
      </c>
      <c r="I14" s="2818"/>
      <c r="J14" s="3727">
        <f>SUMIF(74:74,I14,75:75)-SUMIF(74:74,C14,75:75)+100</f>
        <v>100</v>
      </c>
      <c r="K14" s="2804"/>
      <c r="L14" s="1980"/>
      <c r="M14" s="1975"/>
      <c r="N14" s="1975"/>
      <c r="O14" s="1975"/>
      <c r="P14" s="4516"/>
      <c r="Q14" s="1698">
        <f t="shared" si="6"/>
        <v>111</v>
      </c>
      <c r="R14" s="3633" t="s">
        <v>16</v>
      </c>
      <c r="S14" s="3156">
        <f t="shared" si="0"/>
        <v>100</v>
      </c>
      <c r="T14" s="3633" t="s">
        <v>16</v>
      </c>
      <c r="U14" s="3156">
        <f t="shared" si="1"/>
        <v>100</v>
      </c>
      <c r="V14" s="3633" t="s">
        <v>16</v>
      </c>
      <c r="W14" s="3156">
        <f t="shared" si="2"/>
        <v>100</v>
      </c>
      <c r="X14" s="482"/>
      <c r="Y14" s="4517"/>
      <c r="Z14" s="28">
        <f t="shared" si="7"/>
        <v>111</v>
      </c>
      <c r="AA14" s="28">
        <f t="shared" si="3"/>
        <v>1</v>
      </c>
      <c r="AB14" s="28">
        <f t="shared" si="4"/>
        <v>1</v>
      </c>
      <c r="AC14" s="28">
        <f t="shared" si="5"/>
        <v>1</v>
      </c>
    </row>
    <row r="15" spans="1:29" ht="15">
      <c r="A15" s="262" t="s">
        <v>1597</v>
      </c>
      <c r="B15" s="2795" t="s">
        <v>1235</v>
      </c>
      <c r="C15" s="2819">
        <f>估价对象房地状况!C3</f>
        <v>0</v>
      </c>
      <c r="D15" s="2892">
        <v>100</v>
      </c>
      <c r="E15" s="2850"/>
      <c r="F15" s="3721">
        <f>SUMIF(76:76,E16,77:77)-SUMIF(76:76,C16,77:77)+100</f>
        <v>100</v>
      </c>
      <c r="G15" s="2844"/>
      <c r="H15" s="3721">
        <f>SUMIF(76:76,G16,77:77)-SUMIF(76:76,C16,77:77)+100</f>
        <v>100</v>
      </c>
      <c r="I15" s="2844"/>
      <c r="J15" s="3721">
        <f>SUMIF(76:76,I16,77:77)-SUMIF(76:76,C16,77:77)+100</f>
        <v>100</v>
      </c>
      <c r="K15" s="2805"/>
      <c r="L15" s="1980"/>
      <c r="M15" s="1975"/>
      <c r="N15" s="1975"/>
      <c r="O15" s="1975"/>
      <c r="P15" s="4540" t="s">
        <v>1598</v>
      </c>
      <c r="Q15" s="1507" t="str">
        <f t="shared" si="6"/>
        <v>居住社区成熟度</v>
      </c>
      <c r="R15" s="3735" t="s">
        <v>16</v>
      </c>
      <c r="S15" s="3157">
        <f t="shared" si="0"/>
        <v>100</v>
      </c>
      <c r="T15" s="3735" t="s">
        <v>16</v>
      </c>
      <c r="U15" s="3157">
        <f t="shared" si="1"/>
        <v>100</v>
      </c>
      <c r="V15" s="3735" t="s">
        <v>16</v>
      </c>
      <c r="W15" s="3157">
        <f t="shared" si="2"/>
        <v>100</v>
      </c>
      <c r="X15" s="909"/>
      <c r="Y15" s="4542" t="s">
        <v>1598</v>
      </c>
      <c r="Z15" s="907" t="str">
        <f t="shared" si="7"/>
        <v>居住社区成熟度</v>
      </c>
      <c r="AA15" s="907">
        <f t="shared" si="3"/>
        <v>1</v>
      </c>
      <c r="AB15" s="907">
        <f t="shared" si="4"/>
        <v>1</v>
      </c>
      <c r="AC15" s="907">
        <f t="shared" si="5"/>
        <v>1</v>
      </c>
    </row>
    <row r="16" spans="1:29" ht="15">
      <c r="A16" s="254"/>
      <c r="B16" s="2796"/>
      <c r="C16" s="2820"/>
      <c r="D16" s="2893"/>
      <c r="E16" s="2854"/>
      <c r="F16" s="3722"/>
      <c r="G16" s="2848"/>
      <c r="H16" s="3723"/>
      <c r="I16" s="2848"/>
      <c r="J16" s="3722"/>
      <c r="K16" s="2806"/>
      <c r="L16" s="1980"/>
      <c r="M16" s="1975"/>
      <c r="N16" s="1975"/>
      <c r="O16" s="1975"/>
      <c r="P16" s="4541"/>
      <c r="Q16" s="1507"/>
      <c r="R16" s="3735"/>
      <c r="S16" s="3157"/>
      <c r="T16" s="3735"/>
      <c r="U16" s="3157"/>
      <c r="V16" s="3735"/>
      <c r="W16" s="3157"/>
      <c r="X16" s="909"/>
      <c r="Y16" s="4543"/>
      <c r="Z16" s="907"/>
      <c r="AA16" s="907">
        <v>1</v>
      </c>
      <c r="AB16" s="907">
        <v>1</v>
      </c>
      <c r="AC16" s="907">
        <v>1</v>
      </c>
    </row>
    <row r="17" spans="1:29" ht="15">
      <c r="A17" s="254"/>
      <c r="B17" s="2797" t="s">
        <v>1237</v>
      </c>
      <c r="C17" s="2821">
        <f>估价对象房地状况!C6</f>
        <v>0</v>
      </c>
      <c r="D17" s="2894">
        <v>100</v>
      </c>
      <c r="E17" s="2851"/>
      <c r="F17" s="3723">
        <f>SUMIF(78:78,E18,79:79)-SUMIF(78:78,C18,79:79)+100</f>
        <v>100</v>
      </c>
      <c r="G17" s="2845"/>
      <c r="H17" s="3724">
        <f>SUMIF(78:78,G18,79:79)-SUMIF(78:78,C18,79:79)+100</f>
        <v>100</v>
      </c>
      <c r="I17" s="2845"/>
      <c r="J17" s="3724">
        <f>SUMIF(78:78,I18,79:79)-SUMIF(78:78,C18,79:79)+100</f>
        <v>100</v>
      </c>
      <c r="K17" s="2805"/>
      <c r="L17" s="1980"/>
      <c r="M17" s="1975"/>
      <c r="N17" s="1975"/>
      <c r="O17" s="1975"/>
      <c r="P17" s="4541"/>
      <c r="Q17" s="1507" t="str">
        <f>B17</f>
        <v>交通便捷度</v>
      </c>
      <c r="R17" s="3735" t="s">
        <v>16</v>
      </c>
      <c r="S17" s="3157">
        <f>F17</f>
        <v>100</v>
      </c>
      <c r="T17" s="3735" t="s">
        <v>16</v>
      </c>
      <c r="U17" s="3157">
        <f>H17</f>
        <v>100</v>
      </c>
      <c r="V17" s="3735" t="s">
        <v>16</v>
      </c>
      <c r="W17" s="3157">
        <f>J17</f>
        <v>100</v>
      </c>
      <c r="X17" s="909"/>
      <c r="Y17" s="4543"/>
      <c r="Z17" s="907" t="str">
        <f>Q17</f>
        <v>交通便捷度</v>
      </c>
      <c r="AA17" s="907">
        <f t="shared" si="3"/>
        <v>1</v>
      </c>
      <c r="AB17" s="907">
        <f t="shared" si="4"/>
        <v>1</v>
      </c>
      <c r="AC17" s="907">
        <f t="shared" si="5"/>
        <v>1</v>
      </c>
    </row>
    <row r="18" spans="1:29" ht="15">
      <c r="A18" s="254"/>
      <c r="B18" s="2798"/>
      <c r="C18" s="2822"/>
      <c r="D18" s="2894"/>
      <c r="E18" s="2852"/>
      <c r="F18" s="3723"/>
      <c r="G18" s="2846"/>
      <c r="H18" s="3722"/>
      <c r="I18" s="2846"/>
      <c r="J18" s="3722"/>
      <c r="K18" s="2806"/>
      <c r="L18" s="1980"/>
      <c r="M18" s="1975"/>
      <c r="N18" s="1975"/>
      <c r="O18" s="1975"/>
      <c r="P18" s="4541"/>
      <c r="Q18" s="1507"/>
      <c r="R18" s="3735"/>
      <c r="S18" s="3157"/>
      <c r="T18" s="3735"/>
      <c r="U18" s="3157"/>
      <c r="V18" s="3735"/>
      <c r="W18" s="3157"/>
      <c r="X18" s="909"/>
      <c r="Y18" s="4543"/>
      <c r="Z18" s="907"/>
      <c r="AA18" s="907">
        <v>1</v>
      </c>
      <c r="AB18" s="907">
        <v>1</v>
      </c>
      <c r="AC18" s="907">
        <v>1</v>
      </c>
    </row>
    <row r="19" spans="1:29" ht="15">
      <c r="A19" s="254"/>
      <c r="B19" s="2797" t="s">
        <v>1236</v>
      </c>
      <c r="C19" s="2821">
        <f>估价对象房地状况!C7</f>
        <v>0</v>
      </c>
      <c r="D19" s="2895">
        <v>100</v>
      </c>
      <c r="E19" s="2853"/>
      <c r="F19" s="3724">
        <f>SUMIF(80:80,E20,81:81)-SUMIF(80:80,C20,81:81)+100</f>
        <v>100</v>
      </c>
      <c r="G19" s="2847"/>
      <c r="H19" s="3723">
        <f>SUMIF(80:80,G20,81:81)-SUMIF(80:80,C20,81:81)+100</f>
        <v>100</v>
      </c>
      <c r="I19" s="2847"/>
      <c r="J19" s="3723">
        <f>SUMIF(80:80,I20,81:81)-SUMIF(80:80,C20,81:81)+100</f>
        <v>100</v>
      </c>
      <c r="K19" s="2805"/>
      <c r="L19" s="1980"/>
      <c r="M19" s="1975"/>
      <c r="N19" s="1975"/>
      <c r="O19" s="1975"/>
      <c r="P19" s="4541"/>
      <c r="Q19" s="1507" t="str">
        <f>B19</f>
        <v>公共配套设施</v>
      </c>
      <c r="R19" s="3735" t="s">
        <v>16</v>
      </c>
      <c r="S19" s="3157">
        <f>F19</f>
        <v>100</v>
      </c>
      <c r="T19" s="3735" t="s">
        <v>16</v>
      </c>
      <c r="U19" s="3157">
        <f>H19</f>
        <v>100</v>
      </c>
      <c r="V19" s="3735" t="s">
        <v>16</v>
      </c>
      <c r="W19" s="3157">
        <f>J19</f>
        <v>100</v>
      </c>
      <c r="X19" s="909"/>
      <c r="Y19" s="4543"/>
      <c r="Z19" s="907" t="str">
        <f>Q19</f>
        <v>公共配套设施</v>
      </c>
      <c r="AA19" s="907">
        <f t="shared" si="3"/>
        <v>1</v>
      </c>
      <c r="AB19" s="907">
        <f t="shared" si="4"/>
        <v>1</v>
      </c>
      <c r="AC19" s="907">
        <f t="shared" si="5"/>
        <v>1</v>
      </c>
    </row>
    <row r="20" spans="1:29" ht="15">
      <c r="A20" s="254"/>
      <c r="B20" s="2798"/>
      <c r="C20" s="2820"/>
      <c r="D20" s="2893"/>
      <c r="E20" s="2854"/>
      <c r="F20" s="3722"/>
      <c r="G20" s="2848"/>
      <c r="H20" s="3722"/>
      <c r="I20" s="2848"/>
      <c r="J20" s="3722"/>
      <c r="K20" s="2806"/>
      <c r="L20" s="1980"/>
      <c r="M20" s="1975"/>
      <c r="N20" s="1975"/>
      <c r="O20" s="1975"/>
      <c r="P20" s="4541"/>
      <c r="Q20" s="1507"/>
      <c r="R20" s="3735"/>
      <c r="S20" s="3157"/>
      <c r="T20" s="3735"/>
      <c r="U20" s="3157"/>
      <c r="V20" s="3735"/>
      <c r="W20" s="3157"/>
      <c r="X20" s="909"/>
      <c r="Y20" s="4543"/>
      <c r="Z20" s="907"/>
      <c r="AA20" s="907">
        <v>1</v>
      </c>
      <c r="AB20" s="907">
        <v>1</v>
      </c>
      <c r="AC20" s="907">
        <v>1</v>
      </c>
    </row>
    <row r="21" spans="1:29" ht="15">
      <c r="A21" s="254"/>
      <c r="B21" s="2799" t="s">
        <v>1238</v>
      </c>
      <c r="C21" s="2821">
        <f>估价对象房地状况!C8</f>
        <v>0</v>
      </c>
      <c r="D21" s="2894">
        <v>100</v>
      </c>
      <c r="E21" s="2853"/>
      <c r="F21" s="3724">
        <f>SUMIF(82:82,E22,83:83)-SUMIF(82:82,C22,83:83)+100</f>
        <v>100</v>
      </c>
      <c r="G21" s="2847"/>
      <c r="H21" s="3723">
        <f>SUMIF(82:82,G22,83:83)-SUMIF(82:82,C22,83:83)+100</f>
        <v>100</v>
      </c>
      <c r="I21" s="2847"/>
      <c r="J21" s="3723">
        <f>SUMIF(82:82,I22,83:83)-SUMIF(82:82,C22,83:83)+100</f>
        <v>100</v>
      </c>
      <c r="K21" s="2805"/>
      <c r="L21" s="1980"/>
      <c r="M21" s="1975"/>
      <c r="N21" s="1975"/>
      <c r="O21" s="1975"/>
      <c r="P21" s="4541"/>
      <c r="Q21" s="1507" t="str">
        <f>B21</f>
        <v>基础设施水平</v>
      </c>
      <c r="R21" s="3735" t="s">
        <v>13</v>
      </c>
      <c r="S21" s="3157">
        <f>F21</f>
        <v>100</v>
      </c>
      <c r="T21" s="3735" t="s">
        <v>13</v>
      </c>
      <c r="U21" s="3157">
        <f>H21</f>
        <v>100</v>
      </c>
      <c r="V21" s="3735" t="s">
        <v>13</v>
      </c>
      <c r="W21" s="3157">
        <f>J21</f>
        <v>100</v>
      </c>
      <c r="X21" s="909"/>
      <c r="Y21" s="4543"/>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22"/>
      <c r="G22" s="2871"/>
      <c r="H22" s="3722"/>
      <c r="I22" s="2820"/>
      <c r="J22" s="3722"/>
      <c r="K22" s="2807"/>
      <c r="L22" s="1980"/>
      <c r="M22" s="1975"/>
      <c r="N22" s="1975"/>
      <c r="O22" s="1975"/>
      <c r="P22" s="4541"/>
      <c r="Q22" s="1507"/>
      <c r="R22" s="3735"/>
      <c r="S22" s="3157"/>
      <c r="T22" s="3735"/>
      <c r="U22" s="3157"/>
      <c r="V22" s="3735"/>
      <c r="W22" s="3157"/>
      <c r="X22" s="909"/>
      <c r="Y22" s="4543"/>
      <c r="Z22" s="907"/>
      <c r="AA22" s="907">
        <v>1</v>
      </c>
      <c r="AB22" s="907">
        <v>1</v>
      </c>
      <c r="AC22" s="907">
        <v>1</v>
      </c>
    </row>
    <row r="23" spans="1:29" ht="15">
      <c r="A23" s="254"/>
      <c r="B23" s="2797" t="s">
        <v>1239</v>
      </c>
      <c r="C23" s="2821">
        <f>估价对象房地状况!C9</f>
        <v>0</v>
      </c>
      <c r="D23" s="2894">
        <v>100</v>
      </c>
      <c r="E23" s="2851"/>
      <c r="F23" s="3723">
        <f>SUMIF(84:84,E24,85:85)-SUMIF(84:84,C24,85:85)+100</f>
        <v>100</v>
      </c>
      <c r="G23" s="2845"/>
      <c r="H23" s="3723">
        <f>SUMIF(84:84,G24,85:85)-SUMIF(84:84,C24,85:85)+100</f>
        <v>100</v>
      </c>
      <c r="I23" s="2845"/>
      <c r="J23" s="3723">
        <f>SUMIF(84:84,I24,85:85)-SUMIF(84:84,C24,85:85)+100</f>
        <v>100</v>
      </c>
      <c r="K23" s="2805"/>
      <c r="L23" s="1980"/>
      <c r="M23" s="1975"/>
      <c r="N23" s="1975"/>
      <c r="O23" s="1975"/>
      <c r="P23" s="4541"/>
      <c r="Q23" s="1507" t="str">
        <f>B23</f>
        <v>自然及人文环境</v>
      </c>
      <c r="R23" s="3735" t="s">
        <v>16</v>
      </c>
      <c r="S23" s="3157">
        <f>F23</f>
        <v>100</v>
      </c>
      <c r="T23" s="3735" t="s">
        <v>16</v>
      </c>
      <c r="U23" s="3157">
        <f>H23</f>
        <v>100</v>
      </c>
      <c r="V23" s="3735" t="s">
        <v>16</v>
      </c>
      <c r="W23" s="3157">
        <f>J23</f>
        <v>100</v>
      </c>
      <c r="X23" s="909"/>
      <c r="Y23" s="4543"/>
      <c r="Z23" s="907" t="str">
        <f>Q23</f>
        <v>自然及人文环境</v>
      </c>
      <c r="AA23" s="907">
        <f>D23/F23</f>
        <v>1</v>
      </c>
      <c r="AB23" s="907">
        <f>D23/H23</f>
        <v>1</v>
      </c>
      <c r="AC23" s="907">
        <f>D23/J23</f>
        <v>1</v>
      </c>
    </row>
    <row r="24" spans="1:29" ht="15">
      <c r="A24" s="254"/>
      <c r="B24" s="2798"/>
      <c r="C24" s="2820"/>
      <c r="D24" s="2893"/>
      <c r="E24" s="2854"/>
      <c r="F24" s="3722"/>
      <c r="G24" s="2848"/>
      <c r="H24" s="3722"/>
      <c r="I24" s="2848"/>
      <c r="J24" s="3722"/>
      <c r="K24" s="2806"/>
      <c r="L24" s="1980"/>
      <c r="M24" s="1975"/>
      <c r="N24" s="1975"/>
      <c r="O24" s="1975"/>
      <c r="P24" s="4541"/>
      <c r="Q24" s="1507"/>
      <c r="R24" s="3735"/>
      <c r="S24" s="3157"/>
      <c r="T24" s="3735"/>
      <c r="U24" s="3157"/>
      <c r="V24" s="3735"/>
      <c r="W24" s="3157"/>
      <c r="X24" s="909"/>
      <c r="Y24" s="4543"/>
      <c r="Z24" s="907"/>
      <c r="AA24" s="907">
        <v>1</v>
      </c>
      <c r="AB24" s="907">
        <v>1</v>
      </c>
      <c r="AC24" s="907">
        <v>1</v>
      </c>
    </row>
    <row r="25" spans="1:29" ht="15">
      <c r="A25" s="254"/>
      <c r="B25" s="2789" t="s">
        <v>1599</v>
      </c>
      <c r="C25" s="2823"/>
      <c r="D25" s="2890">
        <v>100</v>
      </c>
      <c r="E25" s="2826"/>
      <c r="F25" s="3725">
        <f>SUMIF(86:86,E25,87:87)-SUMIF(86:86,C25,87:87)+100</f>
        <v>100</v>
      </c>
      <c r="G25" s="2869"/>
      <c r="H25" s="3725">
        <f>SUMIF(86:86,G25,87:87)-SUMIF(86:86,C25,87:87)+100</f>
        <v>100</v>
      </c>
      <c r="I25" s="2869"/>
      <c r="J25" s="3725">
        <f>SUMIF(86:86,I25,87:87)-SUMIF(86:86,C25,87:87)+100</f>
        <v>100</v>
      </c>
      <c r="K25" s="2803"/>
      <c r="L25" s="1980"/>
      <c r="M25" s="1975"/>
      <c r="N25" s="1975"/>
      <c r="O25" s="1975"/>
      <c r="P25" s="4541"/>
      <c r="Q25" s="1507" t="str">
        <f t="shared" ref="Q25:Q46" si="11">B25</f>
        <v>楼层-1</v>
      </c>
      <c r="R25" s="3735" t="s">
        <v>16</v>
      </c>
      <c r="S25" s="3157">
        <f t="shared" ref="S25:S46" si="12">F25</f>
        <v>100</v>
      </c>
      <c r="T25" s="3735" t="s">
        <v>16</v>
      </c>
      <c r="U25" s="3157">
        <f t="shared" ref="U25:U46" si="13">H25</f>
        <v>100</v>
      </c>
      <c r="V25" s="3735" t="s">
        <v>16</v>
      </c>
      <c r="W25" s="3157">
        <f t="shared" ref="W25:W46" si="14">J25</f>
        <v>100</v>
      </c>
      <c r="X25" s="909"/>
      <c r="Y25" s="4543"/>
      <c r="Z25" s="907" t="str">
        <f>Q25</f>
        <v>楼层-1</v>
      </c>
      <c r="AA25" s="907">
        <f t="shared" ref="AA25:AA46" si="15">D25/F25</f>
        <v>1</v>
      </c>
      <c r="AB25" s="907">
        <f t="shared" ref="AB25:AB46" si="16">D25/H25</f>
        <v>1</v>
      </c>
      <c r="AC25" s="907">
        <f t="shared" ref="AC25:AC46" si="17">D25/J25</f>
        <v>1</v>
      </c>
    </row>
    <row r="26" spans="1:29" ht="15">
      <c r="A26" s="254"/>
      <c r="B26" s="2789" t="s">
        <v>1600</v>
      </c>
      <c r="C26" s="2823"/>
      <c r="D26" s="2890">
        <v>100</v>
      </c>
      <c r="E26" s="2826"/>
      <c r="F26" s="3725">
        <f>SUMIF(88:88,E26,89:89)-SUMIF(88:88,C26,89:89)+100</f>
        <v>100</v>
      </c>
      <c r="G26" s="2869"/>
      <c r="H26" s="3725">
        <f>SUMIF(88:88,G26,89:89)-SUMIF(88:88,C26,89:89)+100</f>
        <v>100</v>
      </c>
      <c r="I26" s="2869"/>
      <c r="J26" s="3725">
        <f>SUMIF(88:88,I26,89:89)-SUMIF(88:88,C26,89:89)+100</f>
        <v>100</v>
      </c>
      <c r="K26" s="2803"/>
      <c r="L26" s="1980"/>
      <c r="M26" s="1975"/>
      <c r="N26" s="1975"/>
      <c r="O26" s="1975"/>
      <c r="P26" s="4541"/>
      <c r="Q26" s="1507" t="str">
        <f t="shared" si="11"/>
        <v>朝向</v>
      </c>
      <c r="R26" s="3735" t="s">
        <v>16</v>
      </c>
      <c r="S26" s="3157">
        <f t="shared" si="12"/>
        <v>100</v>
      </c>
      <c r="T26" s="3735" t="s">
        <v>16</v>
      </c>
      <c r="U26" s="3157">
        <f t="shared" si="13"/>
        <v>100</v>
      </c>
      <c r="V26" s="3735" t="s">
        <v>16</v>
      </c>
      <c r="W26" s="3157">
        <f t="shared" si="14"/>
        <v>100</v>
      </c>
      <c r="X26" s="909"/>
      <c r="Y26" s="4543"/>
      <c r="Z26" s="907" t="str">
        <f>Q26</f>
        <v>朝向</v>
      </c>
      <c r="AA26" s="907">
        <f t="shared" si="15"/>
        <v>1</v>
      </c>
      <c r="AB26" s="907">
        <f t="shared" si="16"/>
        <v>1</v>
      </c>
      <c r="AC26" s="907">
        <f t="shared" si="17"/>
        <v>1</v>
      </c>
    </row>
    <row r="27" spans="1:29" s="46" customFormat="1" ht="15">
      <c r="A27" s="257"/>
      <c r="B27" s="2800">
        <v>111</v>
      </c>
      <c r="C27" s="2816"/>
      <c r="D27" s="2896">
        <v>100</v>
      </c>
      <c r="E27" s="2866"/>
      <c r="F27" s="3726">
        <f>SUMIF(90:90,E27,91:91)-SUMIF(90:90,C27,91:91)+100</f>
        <v>100</v>
      </c>
      <c r="G27" s="2872"/>
      <c r="H27" s="3726">
        <f>SUMIF(90:90,G27,91:91)-SUMIF(90:90,C27,91:91)+100</f>
        <v>100</v>
      </c>
      <c r="I27" s="2872"/>
      <c r="J27" s="3726">
        <f>SUMIF(90:90,I27,91:91)-SUMIF(90:90,C27,91:91)+100</f>
        <v>100</v>
      </c>
      <c r="K27" s="2804"/>
      <c r="L27" s="1976"/>
      <c r="M27" s="1929"/>
      <c r="N27" s="1929"/>
      <c r="O27" s="1929"/>
      <c r="P27" s="4541"/>
      <c r="Q27" s="1698">
        <f t="shared" si="11"/>
        <v>111</v>
      </c>
      <c r="R27" s="3633" t="s">
        <v>16</v>
      </c>
      <c r="S27" s="3156">
        <f t="shared" si="12"/>
        <v>100</v>
      </c>
      <c r="T27" s="3633" t="s">
        <v>16</v>
      </c>
      <c r="U27" s="3156">
        <f t="shared" si="13"/>
        <v>100</v>
      </c>
      <c r="V27" s="3633" t="s">
        <v>16</v>
      </c>
      <c r="W27" s="3156">
        <f t="shared" si="14"/>
        <v>100</v>
      </c>
      <c r="X27" s="482"/>
      <c r="Y27" s="4543"/>
      <c r="Z27" s="28">
        <f>Q27</f>
        <v>111</v>
      </c>
      <c r="AA27" s="907">
        <f t="shared" si="15"/>
        <v>1</v>
      </c>
      <c r="AB27" s="907">
        <f t="shared" si="16"/>
        <v>1</v>
      </c>
      <c r="AC27" s="907">
        <f t="shared" si="17"/>
        <v>1</v>
      </c>
    </row>
    <row r="28" spans="1:29" ht="15">
      <c r="A28" s="254"/>
      <c r="B28" s="2800">
        <v>111</v>
      </c>
      <c r="C28" s="2817"/>
      <c r="D28" s="2890">
        <v>100</v>
      </c>
      <c r="E28" s="2817"/>
      <c r="F28" s="3725">
        <f>SUMIF(92:92,E28,93:93)-SUMIF(92:92,C28,93:93)+100</f>
        <v>100</v>
      </c>
      <c r="G28" s="2873"/>
      <c r="H28" s="3725">
        <f>SUMIF(92:92,G28,93:93)-SUMIF(92:92,C28,93:93)+100</f>
        <v>100</v>
      </c>
      <c r="I28" s="2817"/>
      <c r="J28" s="3725">
        <f>SUMIF(92:92,I28,93:93)-SUMIF(92:92,C28,93:93)+100</f>
        <v>100</v>
      </c>
      <c r="K28" s="2804"/>
      <c r="L28" s="1980"/>
      <c r="M28" s="1975"/>
      <c r="N28" s="1975"/>
      <c r="O28" s="1975"/>
      <c r="P28" s="4541"/>
      <c r="Q28" s="1507">
        <f t="shared" si="11"/>
        <v>111</v>
      </c>
      <c r="R28" s="3735" t="s">
        <v>16</v>
      </c>
      <c r="S28" s="3157">
        <f t="shared" si="12"/>
        <v>100</v>
      </c>
      <c r="T28" s="3735" t="s">
        <v>16</v>
      </c>
      <c r="U28" s="3157">
        <f t="shared" si="13"/>
        <v>100</v>
      </c>
      <c r="V28" s="3735" t="s">
        <v>16</v>
      </c>
      <c r="W28" s="3157">
        <f t="shared" si="14"/>
        <v>100</v>
      </c>
      <c r="X28" s="909"/>
      <c r="Y28" s="4543"/>
      <c r="Z28" s="907">
        <f t="shared" ref="Z28:Z46" si="18">Q28</f>
        <v>111</v>
      </c>
      <c r="AA28" s="907">
        <f t="shared" si="15"/>
        <v>1</v>
      </c>
      <c r="AB28" s="907">
        <f t="shared" si="16"/>
        <v>1</v>
      </c>
      <c r="AC28" s="907">
        <f t="shared" si="17"/>
        <v>1</v>
      </c>
    </row>
    <row r="29" spans="1:29" ht="15">
      <c r="A29" s="254"/>
      <c r="B29" s="2800">
        <v>111</v>
      </c>
      <c r="C29" s="2817"/>
      <c r="D29" s="2890">
        <v>100</v>
      </c>
      <c r="E29" s="2817"/>
      <c r="F29" s="3725">
        <f>SUMIF(94:94,E29,95:95)-SUMIF(94:94,C29,95:95)+100</f>
        <v>100</v>
      </c>
      <c r="G29" s="2873"/>
      <c r="H29" s="3725">
        <f>SUMIF(94:94,G29,95:95)-SUMIF(94:94,C29,95:95)+100</f>
        <v>100</v>
      </c>
      <c r="I29" s="2817"/>
      <c r="J29" s="3725">
        <f>SUMIF(94:94,I29,95:95)-SUMIF(94:94,C29,95:95)+100</f>
        <v>100</v>
      </c>
      <c r="K29" s="2804"/>
      <c r="L29" s="1980"/>
      <c r="M29" s="1975"/>
      <c r="N29" s="1975"/>
      <c r="O29" s="1975"/>
      <c r="P29" s="4541"/>
      <c r="Q29" s="1507">
        <f t="shared" si="11"/>
        <v>111</v>
      </c>
      <c r="R29" s="3735" t="s">
        <v>16</v>
      </c>
      <c r="S29" s="3157">
        <f t="shared" si="12"/>
        <v>100</v>
      </c>
      <c r="T29" s="3735" t="s">
        <v>16</v>
      </c>
      <c r="U29" s="3157">
        <f t="shared" si="13"/>
        <v>100</v>
      </c>
      <c r="V29" s="3735" t="s">
        <v>16</v>
      </c>
      <c r="W29" s="3157">
        <f t="shared" si="14"/>
        <v>100</v>
      </c>
      <c r="X29" s="909"/>
      <c r="Y29" s="4543"/>
      <c r="Z29" s="907">
        <f t="shared" si="18"/>
        <v>111</v>
      </c>
      <c r="AA29" s="907">
        <f t="shared" si="15"/>
        <v>1</v>
      </c>
      <c r="AB29" s="907">
        <f t="shared" si="16"/>
        <v>1</v>
      </c>
      <c r="AC29" s="907">
        <f t="shared" si="17"/>
        <v>1</v>
      </c>
    </row>
    <row r="30" spans="1:29" ht="15">
      <c r="A30" s="254"/>
      <c r="B30" s="2800">
        <v>111</v>
      </c>
      <c r="C30" s="2817"/>
      <c r="D30" s="2890">
        <v>100</v>
      </c>
      <c r="E30" s="2817"/>
      <c r="F30" s="3725">
        <f>SUMIF(96:96,E30,97:97)-SUMIF(96:96,C30,97:97)+100</f>
        <v>100</v>
      </c>
      <c r="G30" s="2873"/>
      <c r="H30" s="3725">
        <f>SUMIF(96:96,G30,97:97)-SUMIF(96:96,C30,97:97)+100</f>
        <v>100</v>
      </c>
      <c r="I30" s="2817"/>
      <c r="J30" s="3725">
        <f>SUMIF(96:96,I30,97:97)-SUMIF(96:96,C30,97:97)+100</f>
        <v>100</v>
      </c>
      <c r="K30" s="2804"/>
      <c r="L30" s="1980"/>
      <c r="M30" s="1975"/>
      <c r="N30" s="1975"/>
      <c r="O30" s="1975"/>
      <c r="P30" s="4541"/>
      <c r="Q30" s="1507">
        <f t="shared" si="11"/>
        <v>111</v>
      </c>
      <c r="R30" s="3735" t="s">
        <v>16</v>
      </c>
      <c r="S30" s="3157">
        <f t="shared" si="12"/>
        <v>100</v>
      </c>
      <c r="T30" s="3735" t="s">
        <v>16</v>
      </c>
      <c r="U30" s="3157">
        <f t="shared" si="13"/>
        <v>100</v>
      </c>
      <c r="V30" s="3735" t="s">
        <v>16</v>
      </c>
      <c r="W30" s="3157">
        <f t="shared" si="14"/>
        <v>100</v>
      </c>
      <c r="X30" s="909"/>
      <c r="Y30" s="4543"/>
      <c r="Z30" s="907">
        <f t="shared" si="18"/>
        <v>111</v>
      </c>
      <c r="AA30" s="907">
        <f t="shared" si="15"/>
        <v>1</v>
      </c>
      <c r="AB30" s="907">
        <f t="shared" si="16"/>
        <v>1</v>
      </c>
      <c r="AC30" s="907">
        <f t="shared" si="17"/>
        <v>1</v>
      </c>
    </row>
    <row r="31" spans="1:29" ht="15.75" thickBot="1">
      <c r="A31" s="260"/>
      <c r="B31" s="2800">
        <v>111</v>
      </c>
      <c r="C31" s="2818"/>
      <c r="D31" s="2891">
        <v>100</v>
      </c>
      <c r="E31" s="2818"/>
      <c r="F31" s="3727">
        <f>SUMIF(98:98,E31,99:99)-SUMIF(98:98,C31,99:99)+100</f>
        <v>100</v>
      </c>
      <c r="G31" s="2874"/>
      <c r="H31" s="3727">
        <f>SUMIF(98:98,G31,99:99)-SUMIF(98:98,C31,99:99)+100</f>
        <v>100</v>
      </c>
      <c r="I31" s="2818"/>
      <c r="J31" s="3727">
        <f>SUMIF(98:98,I31,99:99)-SUMIF(98:98,C31,99:99)+100</f>
        <v>100</v>
      </c>
      <c r="K31" s="2804"/>
      <c r="L31" s="1980"/>
      <c r="M31" s="1975"/>
      <c r="N31" s="1975"/>
      <c r="O31" s="1975"/>
      <c r="P31" s="4541"/>
      <c r="Q31" s="1507">
        <f t="shared" si="11"/>
        <v>111</v>
      </c>
      <c r="R31" s="3735" t="s">
        <v>16</v>
      </c>
      <c r="S31" s="3157">
        <f t="shared" si="12"/>
        <v>100</v>
      </c>
      <c r="T31" s="3735" t="s">
        <v>16</v>
      </c>
      <c r="U31" s="3157">
        <f t="shared" si="13"/>
        <v>100</v>
      </c>
      <c r="V31" s="3735" t="s">
        <v>16</v>
      </c>
      <c r="W31" s="3157">
        <f t="shared" si="14"/>
        <v>100</v>
      </c>
      <c r="X31" s="909"/>
      <c r="Y31" s="4543"/>
      <c r="Z31" s="907">
        <f t="shared" si="18"/>
        <v>111</v>
      </c>
      <c r="AA31" s="907">
        <f t="shared" si="15"/>
        <v>1</v>
      </c>
      <c r="AB31" s="907">
        <f t="shared" si="16"/>
        <v>1</v>
      </c>
      <c r="AC31" s="907">
        <f t="shared" si="17"/>
        <v>1</v>
      </c>
    </row>
    <row r="32" spans="1:29" ht="15">
      <c r="A32" s="262" t="s">
        <v>1601</v>
      </c>
      <c r="B32" s="2792" t="s">
        <v>1602</v>
      </c>
      <c r="C32" s="2824"/>
      <c r="D32" s="2897">
        <v>100</v>
      </c>
      <c r="E32" s="2867"/>
      <c r="F32" s="3728">
        <f>SUMIF(100:100,E32,101:101)-SUMIF(100:100,C32,101:101)+100</f>
        <v>100</v>
      </c>
      <c r="G32" s="2824"/>
      <c r="H32" s="3732">
        <f>SUMIF(100:100,G32,101:101)-SUMIF(100:100,C32,101:101)+100</f>
        <v>100</v>
      </c>
      <c r="I32" s="2867"/>
      <c r="J32" s="3725">
        <f>SUMIF(100:100,I32,101:101)-SUMIF(100:100,C32,101:101)+100</f>
        <v>100</v>
      </c>
      <c r="K32" s="2803"/>
      <c r="L32" s="1980"/>
      <c r="M32" s="1975"/>
      <c r="N32" s="1975"/>
      <c r="O32" s="1975"/>
      <c r="P32" s="4544" t="s">
        <v>1603</v>
      </c>
      <c r="Q32" s="1507" t="str">
        <f t="shared" si="11"/>
        <v>建筑类型</v>
      </c>
      <c r="R32" s="3735" t="s">
        <v>16</v>
      </c>
      <c r="S32" s="3157">
        <f t="shared" si="12"/>
        <v>100</v>
      </c>
      <c r="T32" s="3735" t="s">
        <v>16</v>
      </c>
      <c r="U32" s="3157">
        <f t="shared" si="13"/>
        <v>100</v>
      </c>
      <c r="V32" s="3735" t="s">
        <v>16</v>
      </c>
      <c r="W32" s="3157">
        <f t="shared" si="14"/>
        <v>100</v>
      </c>
      <c r="X32" s="909"/>
      <c r="Y32" s="4547" t="s">
        <v>1603</v>
      </c>
      <c r="Z32" s="907" t="str">
        <f t="shared" si="18"/>
        <v>建筑类型</v>
      </c>
      <c r="AA32" s="907">
        <f t="shared" si="15"/>
        <v>1</v>
      </c>
      <c r="AB32" s="907">
        <f t="shared" si="16"/>
        <v>1</v>
      </c>
      <c r="AC32" s="907">
        <f t="shared" si="17"/>
        <v>1</v>
      </c>
    </row>
    <row r="33" spans="1:29" s="279" customFormat="1" ht="15">
      <c r="A33" s="277"/>
      <c r="B33" s="2789" t="s">
        <v>1604</v>
      </c>
      <c r="C33" s="2882"/>
      <c r="D33" s="2888">
        <v>100</v>
      </c>
      <c r="E33" s="2842"/>
      <c r="F33" s="3719" t="e">
        <f>LOOKUP(E33,103:103,104:104)-LOOKUP(C33,103:103,104:104)+100</f>
        <v>#N/A</v>
      </c>
      <c r="G33" s="2814"/>
      <c r="H33" s="3731" t="e">
        <f>LOOKUP(G33,103:103,104:104)-LOOKUP(C33,103:103,104:104)+100</f>
        <v>#N/A</v>
      </c>
      <c r="I33" s="2842"/>
      <c r="J33" s="3731" t="e">
        <f>LOOKUP(I33,103:103,104:104)-LOOKUP(C33,103:103,104:104)+100</f>
        <v>#N/A</v>
      </c>
      <c r="K33" s="2804"/>
      <c r="L33" s="1979"/>
      <c r="M33" s="1981"/>
      <c r="N33" s="1981"/>
      <c r="O33" s="1981"/>
      <c r="P33" s="4545"/>
      <c r="Q33" s="2864" t="str">
        <f t="shared" si="11"/>
        <v>项目建筑规模</v>
      </c>
      <c r="R33" s="3736" t="s">
        <v>16</v>
      </c>
      <c r="S33" s="3158" t="e">
        <f t="shared" si="12"/>
        <v>#N/A</v>
      </c>
      <c r="T33" s="3736" t="s">
        <v>16</v>
      </c>
      <c r="U33" s="3158" t="e">
        <f t="shared" si="13"/>
        <v>#N/A</v>
      </c>
      <c r="V33" s="3736" t="s">
        <v>16</v>
      </c>
      <c r="W33" s="3158" t="e">
        <f t="shared" si="14"/>
        <v>#N/A</v>
      </c>
      <c r="X33" s="484"/>
      <c r="Y33" s="4547"/>
      <c r="Z33" s="485" t="str">
        <f t="shared" si="18"/>
        <v>项目建筑规模</v>
      </c>
      <c r="AA33" s="907" t="e">
        <f t="shared" si="15"/>
        <v>#N/A</v>
      </c>
      <c r="AB33" s="907" t="e">
        <f t="shared" si="16"/>
        <v>#N/A</v>
      </c>
      <c r="AC33" s="907" t="e">
        <f t="shared" si="17"/>
        <v>#N/A</v>
      </c>
    </row>
    <row r="34" spans="1:29" ht="15">
      <c r="A34" s="280"/>
      <c r="B34" s="2789" t="s">
        <v>1605</v>
      </c>
      <c r="C34" s="2823"/>
      <c r="D34" s="2890">
        <v>100</v>
      </c>
      <c r="E34" s="2868"/>
      <c r="F34" s="3728">
        <f>SUMIF(105:105,E34,106:106)-SUMIF(105:105,C34,106:106)+100</f>
        <v>100</v>
      </c>
      <c r="G34" s="2823"/>
      <c r="H34" s="3725">
        <f>SUMIF(105:105,G34,106:106)-SUMIF(105:105,C34,106:106)+100</f>
        <v>100</v>
      </c>
      <c r="I34" s="2868"/>
      <c r="J34" s="3725">
        <f>SUMIF(105:105,I34,106:106)-SUMIF(105:105,C34,106:106)+100</f>
        <v>100</v>
      </c>
      <c r="K34" s="2803"/>
      <c r="L34" s="1980"/>
      <c r="M34" s="1975"/>
      <c r="N34" s="1975"/>
      <c r="O34" s="1975"/>
      <c r="P34" s="4545"/>
      <c r="Q34" s="1507" t="str">
        <f t="shared" si="11"/>
        <v>建筑结构</v>
      </c>
      <c r="R34" s="3735" t="s">
        <v>16</v>
      </c>
      <c r="S34" s="3157">
        <f t="shared" si="12"/>
        <v>100</v>
      </c>
      <c r="T34" s="3735" t="s">
        <v>16</v>
      </c>
      <c r="U34" s="3157">
        <f t="shared" si="13"/>
        <v>100</v>
      </c>
      <c r="V34" s="3735" t="s">
        <v>16</v>
      </c>
      <c r="W34" s="3157">
        <f t="shared" si="14"/>
        <v>100</v>
      </c>
      <c r="X34" s="909"/>
      <c r="Y34" s="4547"/>
      <c r="Z34" s="907" t="str">
        <f t="shared" si="18"/>
        <v>建筑结构</v>
      </c>
      <c r="AA34" s="907">
        <f t="shared" si="15"/>
        <v>1</v>
      </c>
      <c r="AB34" s="907">
        <f t="shared" si="16"/>
        <v>1</v>
      </c>
      <c r="AC34" s="907">
        <f t="shared" si="17"/>
        <v>1</v>
      </c>
    </row>
    <row r="35" spans="1:29" ht="15">
      <c r="A35" s="280"/>
      <c r="B35" s="2789" t="s">
        <v>1606</v>
      </c>
      <c r="C35" s="2826"/>
      <c r="D35" s="2890">
        <v>100</v>
      </c>
      <c r="E35" s="2869"/>
      <c r="F35" s="3728">
        <f>SUMIF(107:107,E35,108:108)-SUMIF(107:107,C35,108:108)+100</f>
        <v>100</v>
      </c>
      <c r="G35" s="2826"/>
      <c r="H35" s="3725">
        <f>SUMIF(107:107,G35,108:108)-SUMIF(107:107,C35,108:108)+100</f>
        <v>100</v>
      </c>
      <c r="I35" s="2869"/>
      <c r="J35" s="3725">
        <f>SUMIF(107:107,I35,108:108)-SUMIF(107:107,C35,108:108)+100</f>
        <v>100</v>
      </c>
      <c r="K35" s="2803"/>
      <c r="L35" s="1980"/>
      <c r="M35" s="1975"/>
      <c r="N35" s="1975"/>
      <c r="O35" s="1975"/>
      <c r="P35" s="4545"/>
      <c r="Q35" s="1507" t="str">
        <f t="shared" si="11"/>
        <v>建筑品质</v>
      </c>
      <c r="R35" s="3735" t="s">
        <v>16</v>
      </c>
      <c r="S35" s="3157">
        <f t="shared" si="12"/>
        <v>100</v>
      </c>
      <c r="T35" s="3735" t="s">
        <v>16</v>
      </c>
      <c r="U35" s="3157">
        <f t="shared" si="13"/>
        <v>100</v>
      </c>
      <c r="V35" s="3735" t="s">
        <v>16</v>
      </c>
      <c r="W35" s="3157">
        <f t="shared" si="14"/>
        <v>100</v>
      </c>
      <c r="X35" s="909"/>
      <c r="Y35" s="4547"/>
      <c r="Z35" s="907" t="str">
        <f t="shared" si="18"/>
        <v>建筑品质</v>
      </c>
      <c r="AA35" s="907">
        <f t="shared" si="15"/>
        <v>1</v>
      </c>
      <c r="AB35" s="907">
        <f t="shared" si="16"/>
        <v>1</v>
      </c>
      <c r="AC35" s="907">
        <f t="shared" si="17"/>
        <v>1</v>
      </c>
    </row>
    <row r="36" spans="1:29" ht="15">
      <c r="A36" s="280"/>
      <c r="B36" s="2789" t="s">
        <v>1607</v>
      </c>
      <c r="C36" s="2826"/>
      <c r="D36" s="2890">
        <v>100</v>
      </c>
      <c r="E36" s="2869"/>
      <c r="F36" s="3728">
        <f>SUMIF(109:109,E36,110:110)-SUMIF(109:109,C36,110:110)+100</f>
        <v>100</v>
      </c>
      <c r="G36" s="2826"/>
      <c r="H36" s="3725">
        <f>SUMIF(109:109,G36,110:110)-SUMIF(109:109,C36,110:110)+100</f>
        <v>100</v>
      </c>
      <c r="I36" s="2869"/>
      <c r="J36" s="3725">
        <f>SUMIF(109:109,I36,110:110)-SUMIF(109:109,C36,110:110)+100</f>
        <v>100</v>
      </c>
      <c r="K36" s="2803"/>
      <c r="L36" s="1980"/>
      <c r="M36" s="1975"/>
      <c r="N36" s="1975"/>
      <c r="O36" s="1975"/>
      <c r="P36" s="4545"/>
      <c r="Q36" s="1507" t="str">
        <f t="shared" si="11"/>
        <v>公共部分装修</v>
      </c>
      <c r="R36" s="3735" t="s">
        <v>16</v>
      </c>
      <c r="S36" s="3157">
        <f t="shared" si="12"/>
        <v>100</v>
      </c>
      <c r="T36" s="3735" t="s">
        <v>16</v>
      </c>
      <c r="U36" s="3157">
        <f t="shared" si="13"/>
        <v>100</v>
      </c>
      <c r="V36" s="3735" t="s">
        <v>16</v>
      </c>
      <c r="W36" s="3157">
        <f t="shared" si="14"/>
        <v>100</v>
      </c>
      <c r="X36" s="909"/>
      <c r="Y36" s="4547"/>
      <c r="Z36" s="907" t="str">
        <f t="shared" si="18"/>
        <v>公共部分装修</v>
      </c>
      <c r="AA36" s="907">
        <f t="shared" si="15"/>
        <v>1</v>
      </c>
      <c r="AB36" s="907">
        <f t="shared" si="16"/>
        <v>1</v>
      </c>
      <c r="AC36" s="907">
        <f t="shared" si="17"/>
        <v>1</v>
      </c>
    </row>
    <row r="37" spans="1:29" s="46" customFormat="1" ht="15">
      <c r="A37" s="281"/>
      <c r="B37" s="2789" t="s">
        <v>1608</v>
      </c>
      <c r="C37" s="2827"/>
      <c r="D37" s="2888">
        <v>100</v>
      </c>
      <c r="E37" s="2827"/>
      <c r="F37" s="3719" t="e">
        <f>LOOKUP(E37,112:112,113:113)-LOOKUP(C37,112:112,113:113)+100</f>
        <v>#N/A</v>
      </c>
      <c r="G37" s="2875"/>
      <c r="H37" s="3731" t="e">
        <f>LOOKUP(G37,112:112,113:113)-LOOKUP(C37,112:112,113:113)+100</f>
        <v>#N/A</v>
      </c>
      <c r="I37" s="2876"/>
      <c r="J37" s="3731" t="e">
        <f>LOOKUP(I37,112:112,113:113)-LOOKUP(C37,112:112,113:113)+100</f>
        <v>#N/A</v>
      </c>
      <c r="K37" s="2803"/>
      <c r="L37" s="1976"/>
      <c r="M37" s="1929"/>
      <c r="N37" s="1929"/>
      <c r="O37" s="1929"/>
      <c r="P37" s="4545"/>
      <c r="Q37" s="1698" t="str">
        <f t="shared" si="11"/>
        <v>成新度</v>
      </c>
      <c r="R37" s="3633" t="s">
        <v>16</v>
      </c>
      <c r="S37" s="3156" t="e">
        <f t="shared" si="12"/>
        <v>#N/A</v>
      </c>
      <c r="T37" s="3633" t="s">
        <v>16</v>
      </c>
      <c r="U37" s="3156" t="e">
        <f t="shared" si="13"/>
        <v>#N/A</v>
      </c>
      <c r="V37" s="3633" t="s">
        <v>16</v>
      </c>
      <c r="W37" s="3156" t="e">
        <f t="shared" si="14"/>
        <v>#N/A</v>
      </c>
      <c r="X37" s="482"/>
      <c r="Y37" s="4547"/>
      <c r="Z37" s="28" t="str">
        <f t="shared" si="18"/>
        <v>成新度</v>
      </c>
      <c r="AA37" s="28" t="e">
        <f t="shared" si="15"/>
        <v>#N/A</v>
      </c>
      <c r="AB37" s="28" t="e">
        <f t="shared" si="16"/>
        <v>#N/A</v>
      </c>
      <c r="AC37" s="28" t="e">
        <f t="shared" si="17"/>
        <v>#N/A</v>
      </c>
    </row>
    <row r="38" spans="1:29" ht="15">
      <c r="A38" s="280"/>
      <c r="B38" s="2789" t="s">
        <v>1609</v>
      </c>
      <c r="C38" s="2826"/>
      <c r="D38" s="2890">
        <v>100</v>
      </c>
      <c r="E38" s="2869"/>
      <c r="F38" s="3728">
        <f>SUMIF(114:114,E38,115:115)-SUMIF(114:114,C38,115:115)+100</f>
        <v>100</v>
      </c>
      <c r="G38" s="2826"/>
      <c r="H38" s="3725">
        <f>SUMIF(114:114,G38,115:115)-SUMIF(114:114,C38,115:115)+100</f>
        <v>100</v>
      </c>
      <c r="I38" s="2869"/>
      <c r="J38" s="3725">
        <f>SUMIF(114:114,I38,115:115)-SUMIF(114:114,C38,115:115)+100</f>
        <v>100</v>
      </c>
      <c r="K38" s="2803"/>
      <c r="L38" s="1980"/>
      <c r="M38" s="1975"/>
      <c r="N38" s="1975"/>
      <c r="O38" s="1975"/>
      <c r="P38" s="4545" t="s">
        <v>1603</v>
      </c>
      <c r="Q38" s="1507" t="str">
        <f t="shared" si="11"/>
        <v>物业管理</v>
      </c>
      <c r="R38" s="3735" t="s">
        <v>16</v>
      </c>
      <c r="S38" s="3157">
        <f t="shared" si="12"/>
        <v>100</v>
      </c>
      <c r="T38" s="3735" t="s">
        <v>16</v>
      </c>
      <c r="U38" s="3157">
        <f t="shared" si="13"/>
        <v>100</v>
      </c>
      <c r="V38" s="3735" t="s">
        <v>16</v>
      </c>
      <c r="W38" s="3157">
        <f t="shared" si="14"/>
        <v>100</v>
      </c>
      <c r="X38" s="909"/>
      <c r="Y38" s="4547" t="s">
        <v>1603</v>
      </c>
      <c r="Z38" s="907" t="str">
        <f t="shared" si="18"/>
        <v>物业管理</v>
      </c>
      <c r="AA38" s="907">
        <f t="shared" si="15"/>
        <v>1</v>
      </c>
      <c r="AB38" s="907">
        <f t="shared" si="16"/>
        <v>1</v>
      </c>
      <c r="AC38" s="907">
        <f t="shared" si="17"/>
        <v>1</v>
      </c>
    </row>
    <row r="39" spans="1:29" ht="15">
      <c r="A39" s="280"/>
      <c r="B39" s="2789" t="s">
        <v>1610</v>
      </c>
      <c r="C39" s="2826"/>
      <c r="D39" s="2890">
        <v>100</v>
      </c>
      <c r="E39" s="2869"/>
      <c r="F39" s="3728">
        <f>SUMIF(116:116,E39,117:117)-SUMIF(116:116,C39,117:117)+100</f>
        <v>100</v>
      </c>
      <c r="G39" s="2826"/>
      <c r="H39" s="3725">
        <f>SUMIF(116:116,G39,117:117)-SUMIF(116:116,C39,117:117)+100</f>
        <v>100</v>
      </c>
      <c r="I39" s="2869"/>
      <c r="J39" s="3725">
        <f>SUMIF(116:116,I39,117:117)-SUMIF(116:116,C39,117:117)+100</f>
        <v>100</v>
      </c>
      <c r="K39" s="2803"/>
      <c r="L39" s="1980"/>
      <c r="M39" s="1975"/>
      <c r="N39" s="1975"/>
      <c r="O39" s="1975"/>
      <c r="P39" s="4545"/>
      <c r="Q39" s="1507" t="str">
        <f t="shared" si="11"/>
        <v>市政基础设施</v>
      </c>
      <c r="R39" s="3735" t="s">
        <v>16</v>
      </c>
      <c r="S39" s="3157">
        <f t="shared" si="12"/>
        <v>100</v>
      </c>
      <c r="T39" s="3735" t="s">
        <v>16</v>
      </c>
      <c r="U39" s="3157">
        <f t="shared" si="13"/>
        <v>100</v>
      </c>
      <c r="V39" s="3735" t="s">
        <v>16</v>
      </c>
      <c r="W39" s="3157">
        <f t="shared" si="14"/>
        <v>100</v>
      </c>
      <c r="X39" s="909"/>
      <c r="Y39" s="4547"/>
      <c r="Z39" s="907" t="str">
        <f t="shared" si="18"/>
        <v>市政基础设施</v>
      </c>
      <c r="AA39" s="907">
        <f t="shared" si="15"/>
        <v>1</v>
      </c>
      <c r="AB39" s="907">
        <f t="shared" si="16"/>
        <v>1</v>
      </c>
      <c r="AC39" s="907">
        <f t="shared" si="17"/>
        <v>1</v>
      </c>
    </row>
    <row r="40" spans="1:29" ht="15">
      <c r="A40" s="280"/>
      <c r="B40" s="2789" t="s">
        <v>1611</v>
      </c>
      <c r="C40" s="2826"/>
      <c r="D40" s="2890">
        <v>100</v>
      </c>
      <c r="E40" s="2869"/>
      <c r="F40" s="3728">
        <f>SUMIF(118:118,E40,119:119)-SUMIF(118:118,C40,119:119)+100</f>
        <v>100</v>
      </c>
      <c r="G40" s="2826"/>
      <c r="H40" s="3725">
        <f>SUMIF(118:118,G40,119:119)-SUMIF(118:118,C40,119:119)+100</f>
        <v>100</v>
      </c>
      <c r="I40" s="2869"/>
      <c r="J40" s="3725">
        <f>SUMIF(118:118,I40,119:119)-SUMIF(118:118,C40,119:119)+100</f>
        <v>100</v>
      </c>
      <c r="K40" s="2803"/>
      <c r="L40" s="1980"/>
      <c r="M40" s="1975"/>
      <c r="N40" s="1975"/>
      <c r="O40" s="1975"/>
      <c r="P40" s="4545"/>
      <c r="Q40" s="1507" t="str">
        <f t="shared" si="11"/>
        <v>房型</v>
      </c>
      <c r="R40" s="3735" t="s">
        <v>16</v>
      </c>
      <c r="S40" s="3157">
        <f t="shared" si="12"/>
        <v>100</v>
      </c>
      <c r="T40" s="3735" t="s">
        <v>16</v>
      </c>
      <c r="U40" s="3157">
        <f t="shared" si="13"/>
        <v>100</v>
      </c>
      <c r="V40" s="3735" t="s">
        <v>16</v>
      </c>
      <c r="W40" s="3157">
        <f t="shared" si="14"/>
        <v>100</v>
      </c>
      <c r="X40" s="909"/>
      <c r="Y40" s="4547"/>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19">
        <f>SUMIF(120:120,E41,121:121)-SUMIF(120:120,C41,121:121)+100</f>
        <v>100</v>
      </c>
      <c r="G41" s="2814"/>
      <c r="H41" s="3731">
        <f>SUMIF(120:120,G41,121:121)-SUMIF(120:120,C41,121:121)+100</f>
        <v>100</v>
      </c>
      <c r="I41" s="2883"/>
      <c r="J41" s="3725">
        <f>SUMIF(120:120,I41,121:121)-SUMIF(120:120,C41,121:121)+100</f>
        <v>100</v>
      </c>
      <c r="K41" s="2804"/>
      <c r="L41" s="1979"/>
      <c r="M41" s="1981"/>
      <c r="N41" s="1981"/>
      <c r="O41" s="1981"/>
      <c r="P41" s="4545"/>
      <c r="Q41" s="2864" t="str">
        <f t="shared" si="11"/>
        <v>单套/主力户型建筑面积</v>
      </c>
      <c r="R41" s="3736" t="s">
        <v>16</v>
      </c>
      <c r="S41" s="3158">
        <f t="shared" si="12"/>
        <v>100</v>
      </c>
      <c r="T41" s="3736" t="s">
        <v>16</v>
      </c>
      <c r="U41" s="3158">
        <f t="shared" si="13"/>
        <v>100</v>
      </c>
      <c r="V41" s="3736" t="s">
        <v>16</v>
      </c>
      <c r="W41" s="3158">
        <f t="shared" si="14"/>
        <v>100</v>
      </c>
      <c r="X41" s="484"/>
      <c r="Y41" s="4547"/>
      <c r="Z41" s="485" t="str">
        <f t="shared" si="18"/>
        <v>单套/主力户型建筑面积</v>
      </c>
      <c r="AA41" s="907">
        <f t="shared" si="15"/>
        <v>1</v>
      </c>
      <c r="AB41" s="907">
        <f t="shared" si="16"/>
        <v>1</v>
      </c>
      <c r="AC41" s="907">
        <f t="shared" si="17"/>
        <v>1</v>
      </c>
    </row>
    <row r="42" spans="1:29" ht="15">
      <c r="A42" s="280"/>
      <c r="B42" s="2789" t="s">
        <v>1613</v>
      </c>
      <c r="C42" s="2826"/>
      <c r="D42" s="2890">
        <v>100</v>
      </c>
      <c r="E42" s="2869"/>
      <c r="F42" s="3728">
        <f>SUMIF(122:122,E42,123:123)-SUMIF(122:122,C42,123:123)+100</f>
        <v>100</v>
      </c>
      <c r="G42" s="2826"/>
      <c r="H42" s="3725">
        <f>SUMIF(122:122,G42,123:123)-SUMIF(122:122,C42,123:123)+100</f>
        <v>100</v>
      </c>
      <c r="I42" s="2869"/>
      <c r="J42" s="3725">
        <f>SUMIF(122:122,I42,123:123)-SUMIF(122:122,C42,123:123)+100</f>
        <v>100</v>
      </c>
      <c r="K42" s="2803"/>
      <c r="L42" s="1980"/>
      <c r="M42" s="1975"/>
      <c r="N42" s="1975"/>
      <c r="O42" s="1975"/>
      <c r="P42" s="4545"/>
      <c r="Q42" s="1507" t="str">
        <f t="shared" si="11"/>
        <v>内部装修</v>
      </c>
      <c r="R42" s="3735" t="s">
        <v>16</v>
      </c>
      <c r="S42" s="3157">
        <f t="shared" si="12"/>
        <v>100</v>
      </c>
      <c r="T42" s="3735" t="s">
        <v>16</v>
      </c>
      <c r="U42" s="3157">
        <f t="shared" si="13"/>
        <v>100</v>
      </c>
      <c r="V42" s="3735" t="s">
        <v>16</v>
      </c>
      <c r="W42" s="3157">
        <f t="shared" si="14"/>
        <v>100</v>
      </c>
      <c r="X42" s="909"/>
      <c r="Y42" s="4547"/>
      <c r="Z42" s="907" t="str">
        <f t="shared" si="18"/>
        <v>内部装修</v>
      </c>
      <c r="AA42" s="907">
        <f t="shared" si="15"/>
        <v>1</v>
      </c>
      <c r="AB42" s="907">
        <f t="shared" si="16"/>
        <v>1</v>
      </c>
      <c r="AC42" s="907">
        <f t="shared" si="17"/>
        <v>1</v>
      </c>
    </row>
    <row r="43" spans="1:29" ht="15">
      <c r="A43" s="280"/>
      <c r="B43" s="2789" t="s">
        <v>1614</v>
      </c>
      <c r="C43" s="2826"/>
      <c r="D43" s="2890">
        <v>100</v>
      </c>
      <c r="E43" s="2869"/>
      <c r="F43" s="3728">
        <f>SUMIF(124:124,E43,125:125)-SUMIF(124:124,C43,125:125)+100</f>
        <v>100</v>
      </c>
      <c r="G43" s="2826"/>
      <c r="H43" s="3725">
        <f>SUMIF(124:124,G43,125:125)-SUMIF(124:124,C43,125:125)+100</f>
        <v>100</v>
      </c>
      <c r="I43" s="2869"/>
      <c r="J43" s="3725">
        <f>SUMIF(124:124,I43,125:125)-SUMIF(124:124,C43,125:125)+100</f>
        <v>100</v>
      </c>
      <c r="K43" s="2803"/>
      <c r="L43" s="1980"/>
      <c r="M43" s="1975"/>
      <c r="N43" s="1975"/>
      <c r="O43" s="1975"/>
      <c r="P43" s="4545"/>
      <c r="Q43" s="1507" t="str">
        <f t="shared" si="11"/>
        <v>内部装修维护情况</v>
      </c>
      <c r="R43" s="3735" t="s">
        <v>16</v>
      </c>
      <c r="S43" s="3157">
        <f t="shared" si="12"/>
        <v>100</v>
      </c>
      <c r="T43" s="3735" t="s">
        <v>16</v>
      </c>
      <c r="U43" s="3157">
        <f t="shared" si="13"/>
        <v>100</v>
      </c>
      <c r="V43" s="3735" t="s">
        <v>16</v>
      </c>
      <c r="W43" s="3157">
        <f t="shared" si="14"/>
        <v>100</v>
      </c>
      <c r="X43" s="909"/>
      <c r="Y43" s="4547"/>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19">
        <f>SUMIF(126:126,E44,127:127)-SUMIF(126:126,C44,127:127)+100</f>
        <v>100</v>
      </c>
      <c r="G44" s="2825"/>
      <c r="H44" s="3731">
        <f>SUMIF(126:126,G44,127:127)-SUMIF(126:126,C44,127:127)+100</f>
        <v>100</v>
      </c>
      <c r="I44" s="2825"/>
      <c r="J44" s="3731">
        <f>SUMIF(126:126,I44,127:127)-SUMIF(126:126,C44,127:127)+100</f>
        <v>100</v>
      </c>
      <c r="K44" s="2804"/>
      <c r="L44" s="1976"/>
      <c r="M44" s="1929"/>
      <c r="N44" s="1929"/>
      <c r="O44" s="1929"/>
      <c r="P44" s="4545"/>
      <c r="Q44" s="1698">
        <f t="shared" si="11"/>
        <v>111</v>
      </c>
      <c r="R44" s="3633" t="s">
        <v>16</v>
      </c>
      <c r="S44" s="3156">
        <f t="shared" si="12"/>
        <v>100</v>
      </c>
      <c r="T44" s="3633" t="s">
        <v>16</v>
      </c>
      <c r="U44" s="3156">
        <f t="shared" si="13"/>
        <v>100</v>
      </c>
      <c r="V44" s="3633" t="s">
        <v>16</v>
      </c>
      <c r="W44" s="3156">
        <f t="shared" si="14"/>
        <v>100</v>
      </c>
      <c r="X44" s="482"/>
      <c r="Y44" s="4547"/>
      <c r="Z44" s="28">
        <f t="shared" si="18"/>
        <v>111</v>
      </c>
      <c r="AA44" s="28">
        <f t="shared" si="15"/>
        <v>1</v>
      </c>
      <c r="AB44" s="28">
        <f t="shared" si="16"/>
        <v>1</v>
      </c>
      <c r="AC44" s="28">
        <f t="shared" si="17"/>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04"/>
      <c r="L45" s="1980"/>
      <c r="M45" s="1975"/>
      <c r="N45" s="1975"/>
      <c r="O45" s="1975"/>
      <c r="P45" s="4545"/>
      <c r="Q45" s="1507">
        <f t="shared" si="11"/>
        <v>111</v>
      </c>
      <c r="R45" s="3735" t="s">
        <v>16</v>
      </c>
      <c r="S45" s="3157">
        <f t="shared" si="12"/>
        <v>100</v>
      </c>
      <c r="T45" s="3735" t="s">
        <v>16</v>
      </c>
      <c r="U45" s="3157">
        <f t="shared" si="13"/>
        <v>100</v>
      </c>
      <c r="V45" s="3735" t="s">
        <v>16</v>
      </c>
      <c r="W45" s="3157">
        <f t="shared" si="14"/>
        <v>100</v>
      </c>
      <c r="X45" s="909"/>
      <c r="Y45" s="4547"/>
      <c r="Z45" s="907">
        <f t="shared" si="18"/>
        <v>111</v>
      </c>
      <c r="AA45" s="907">
        <f t="shared" si="15"/>
        <v>1</v>
      </c>
      <c r="AB45" s="907">
        <f t="shared" si="16"/>
        <v>1</v>
      </c>
      <c r="AC45" s="907">
        <f t="shared" si="17"/>
        <v>1</v>
      </c>
    </row>
    <row r="46" spans="1:29" ht="15.75" thickBot="1">
      <c r="A46" s="285"/>
      <c r="B46" s="2794">
        <v>111</v>
      </c>
      <c r="C46" s="2818"/>
      <c r="D46" s="2891">
        <v>100</v>
      </c>
      <c r="E46" s="2818"/>
      <c r="F46" s="3720">
        <f>SUMIF(130:130,E46,131:131)-SUMIF(130:130,C46,131:131)+100</f>
        <v>100</v>
      </c>
      <c r="G46" s="2818"/>
      <c r="H46" s="3727">
        <f>SUMIF(130:130,G46,131:131)-SUMIF(130:130,C46,131:131)+100</f>
        <v>100</v>
      </c>
      <c r="I46" s="2818"/>
      <c r="J46" s="3727">
        <f>SUMIF(130:130,I46,131:131)-SUMIF(130:130,C46,131:131)+100</f>
        <v>100</v>
      </c>
      <c r="K46" s="2804"/>
      <c r="L46" s="1980"/>
      <c r="M46" s="1975"/>
      <c r="N46" s="1975"/>
      <c r="O46" s="1975"/>
      <c r="P46" s="4546"/>
      <c r="Q46" s="1507">
        <f t="shared" si="11"/>
        <v>111</v>
      </c>
      <c r="R46" s="3735" t="s">
        <v>15</v>
      </c>
      <c r="S46" s="3157">
        <f t="shared" si="12"/>
        <v>100</v>
      </c>
      <c r="T46" s="3735" t="s">
        <v>15</v>
      </c>
      <c r="U46" s="3157">
        <f t="shared" si="13"/>
        <v>100</v>
      </c>
      <c r="V46" s="3735" t="s">
        <v>15</v>
      </c>
      <c r="W46" s="3157">
        <f t="shared" si="14"/>
        <v>100</v>
      </c>
      <c r="X46" s="909"/>
      <c r="Y46" s="4548"/>
      <c r="Z46" s="907">
        <f t="shared" si="18"/>
        <v>111</v>
      </c>
      <c r="AA46" s="907">
        <f t="shared" si="15"/>
        <v>1</v>
      </c>
      <c r="AB46" s="907">
        <f t="shared" si="16"/>
        <v>1</v>
      </c>
      <c r="AC46" s="907">
        <f t="shared" si="17"/>
        <v>1</v>
      </c>
    </row>
    <row r="47" spans="1:29" ht="15">
      <c r="A47" s="286" t="s">
        <v>1615</v>
      </c>
      <c r="B47" s="287"/>
      <c r="C47" s="765" t="s">
        <v>14</v>
      </c>
      <c r="D47" s="288"/>
      <c r="E47" s="3205"/>
      <c r="F47" s="766"/>
      <c r="G47" s="3206"/>
      <c r="H47" s="767"/>
      <c r="I47" s="3205"/>
      <c r="J47" s="767"/>
      <c r="K47" s="2808"/>
      <c r="L47" s="1982"/>
      <c r="M47" s="1975"/>
      <c r="N47" s="1975"/>
      <c r="O47" s="1975"/>
      <c r="P47" s="4549" t="str">
        <f>A47</f>
        <v>成交单价（元/平方米）</v>
      </c>
      <c r="Q47" s="4549"/>
      <c r="R47" s="4550">
        <f>E47</f>
        <v>0</v>
      </c>
      <c r="S47" s="4550"/>
      <c r="T47" s="4550">
        <f>G47</f>
        <v>0</v>
      </c>
      <c r="U47" s="4550"/>
      <c r="V47" s="4550">
        <f>I47</f>
        <v>0</v>
      </c>
      <c r="W47" s="4550"/>
      <c r="X47" s="265"/>
      <c r="Y47" s="486"/>
      <c r="Z47" s="265"/>
      <c r="AA47" s="265"/>
      <c r="AB47" s="265"/>
      <c r="AC47" s="265"/>
    </row>
    <row r="48" spans="1:29" ht="15.75" thickBot="1">
      <c r="A48" s="289" t="s">
        <v>1616</v>
      </c>
      <c r="B48" s="290"/>
      <c r="C48" s="3733" t="e">
        <f>R49</f>
        <v>#DIV/0!</v>
      </c>
      <c r="D48" s="3846" t="s">
        <v>2041</v>
      </c>
      <c r="E48" s="2885" t="e">
        <f>R48</f>
        <v>#DIV/0!</v>
      </c>
      <c r="F48" s="2801"/>
      <c r="G48" s="2884" t="e">
        <f>T48</f>
        <v>#DIV/0!</v>
      </c>
      <c r="H48" s="2801"/>
      <c r="I48" s="2885" t="e">
        <f>V48</f>
        <v>#DIV/0!</v>
      </c>
      <c r="J48" s="2801"/>
      <c r="K48" s="2855">
        <f>F48+H48+J48</f>
        <v>0</v>
      </c>
      <c r="L48" s="1982"/>
      <c r="M48" s="1975"/>
      <c r="N48" s="1975"/>
      <c r="O48" s="1975"/>
      <c r="P48" s="4549" t="str">
        <f>A48</f>
        <v>比较价值（元/平方米）</v>
      </c>
      <c r="Q48" s="4549"/>
      <c r="R48" s="4550" t="e">
        <f>IF(F1="售价",ROUND(PRODUCT(R47,AA7:AA46),0),ROUND(PRODUCT(R47,AA7:AA46),1))</f>
        <v>#DIV/0!</v>
      </c>
      <c r="S48" s="4550"/>
      <c r="T48" s="4550" t="e">
        <f>IF(F1="售价",ROUND(PRODUCT(T47,AB7:AB46),0),ROUND(PRODUCT(T47,AB7:AB46),1))</f>
        <v>#DIV/0!</v>
      </c>
      <c r="U48" s="4550"/>
      <c r="V48" s="4550" t="e">
        <f>IF(F1="售价",ROUND(PRODUCT(V47,AC7:AC46),0),ROUND(PRODUCT(V47,AC7:AC46),1))</f>
        <v>#DIV/0!</v>
      </c>
      <c r="W48" s="4550"/>
      <c r="X48" s="265"/>
      <c r="Y48" s="265"/>
      <c r="Z48" s="265"/>
      <c r="AA48" s="265"/>
      <c r="AB48" s="265"/>
      <c r="AC48" s="265"/>
    </row>
    <row r="49" spans="1:29" ht="15.75" thickBot="1">
      <c r="A49" s="291" t="s">
        <v>1617</v>
      </c>
      <c r="B49" s="292"/>
      <c r="C49" s="3734" t="e">
        <f>R49</f>
        <v>#DIV/0!</v>
      </c>
      <c r="D49" s="241"/>
      <c r="E49" s="241"/>
      <c r="F49" s="241"/>
      <c r="G49" s="241"/>
      <c r="H49" s="241"/>
      <c r="I49" s="241"/>
      <c r="J49" s="241"/>
      <c r="K49" s="1372"/>
      <c r="L49" s="1982"/>
      <c r="M49" s="1975"/>
      <c r="N49" s="1975"/>
      <c r="O49" s="1975"/>
      <c r="P49" s="4551" t="str">
        <f>A49</f>
        <v>估价对象XX用房的比较价值（楼面单价，元/平方米）</v>
      </c>
      <c r="Q49" s="4552"/>
      <c r="R49" s="4553" t="e">
        <f>IF(F1="售价",ROUND(IF(D48="简单平均",AVERAGE(R48:V48),R48*F48+T48*H48+V48*J48),0),ROUND(IF(D48="简单平均",AVERAGE(R48:V48),R48*F48+T48*H48+V48*J48),1))</f>
        <v>#DIV/0!</v>
      </c>
      <c r="S49" s="4553"/>
      <c r="T49" s="4553"/>
      <c r="U49" s="4553"/>
      <c r="V49" s="4553"/>
      <c r="W49" s="4553"/>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2026-1</v>
      </c>
      <c r="D58" s="782">
        <f>EDATE(C58,-1)</f>
        <v>45992</v>
      </c>
      <c r="E58" s="782">
        <f>EDATE(D58,-1)</f>
        <v>45962</v>
      </c>
      <c r="F58" s="782">
        <f t="shared" ref="F58:O58" si="19">EDATE(E58,-1)</f>
        <v>45931</v>
      </c>
      <c r="G58" s="782">
        <f t="shared" si="19"/>
        <v>45901</v>
      </c>
      <c r="H58" s="782">
        <f t="shared" si="19"/>
        <v>45870</v>
      </c>
      <c r="I58" s="782">
        <f t="shared" si="19"/>
        <v>45839</v>
      </c>
      <c r="J58" s="782">
        <f t="shared" si="19"/>
        <v>45809</v>
      </c>
      <c r="K58" s="782">
        <f t="shared" si="19"/>
        <v>45778</v>
      </c>
      <c r="L58" s="782">
        <f t="shared" si="19"/>
        <v>45748</v>
      </c>
      <c r="M58" s="782">
        <f t="shared" si="19"/>
        <v>45717</v>
      </c>
      <c r="N58" s="782">
        <f t="shared" si="19"/>
        <v>45689</v>
      </c>
      <c r="O58" s="782">
        <f t="shared" si="19"/>
        <v>45658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3863</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IF(E1="项目模式",IF(E2="——",ROUND(C50*D3/10000,0),ROUND(C50*D3/10000,0)-F2),IF(E1="单套模式",IF(E2="——",ROUND(C50*D3/10000,4),ROUND(C50*D3/10000,4)-F2)))</f>
        <v>0</v>
      </c>
      <c r="E2" s="1355"/>
      <c r="F2" s="3746"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0</v>
      </c>
      <c r="C3" s="234" t="s">
        <v>1675</v>
      </c>
      <c r="D3" s="2880">
        <f>IF(D1="",'数据-汇总表'!E3,SUMIF('数据-汇总表'!$C19:$C33,D1,'数据-汇总表'!$E19:$E33))</f>
        <v>138.79</v>
      </c>
      <c r="E3" s="3847" t="s">
        <v>3466</v>
      </c>
      <c r="F3" s="3848">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603" t="s">
        <v>1677</v>
      </c>
      <c r="D4" s="4604"/>
      <c r="E4" s="4605" t="s">
        <v>1678</v>
      </c>
      <c r="F4" s="4606"/>
      <c r="G4" s="4603" t="s">
        <v>1679</v>
      </c>
      <c r="H4" s="4604"/>
      <c r="I4" s="4603" t="s">
        <v>1680</v>
      </c>
      <c r="J4" s="4604"/>
      <c r="K4" s="393" t="s">
        <v>1681</v>
      </c>
      <c r="L4" s="1974"/>
      <c r="M4" s="1975"/>
      <c r="N4" s="1975"/>
      <c r="O4" s="1975"/>
      <c r="P4" s="4607" t="s">
        <v>1682</v>
      </c>
      <c r="Q4" s="4608"/>
      <c r="R4" s="4590" t="s">
        <v>1678</v>
      </c>
      <c r="S4" s="4591"/>
      <c r="T4" s="4590" t="s">
        <v>1679</v>
      </c>
      <c r="U4" s="4591"/>
      <c r="V4" s="4611" t="s">
        <v>1680</v>
      </c>
      <c r="W4" s="4611"/>
      <c r="X4" s="1413"/>
      <c r="Y4" s="4613" t="s">
        <v>1682</v>
      </c>
      <c r="Z4" s="4614"/>
      <c r="AA4" s="4589" t="s">
        <v>1678</v>
      </c>
      <c r="AB4" s="4589" t="s">
        <v>1679</v>
      </c>
      <c r="AC4" s="4600" t="s">
        <v>1680</v>
      </c>
    </row>
    <row r="5" spans="1:29" ht="15">
      <c r="A5" s="238"/>
      <c r="B5" s="239"/>
      <c r="C5" s="4594" t="s">
        <v>1580</v>
      </c>
      <c r="D5" s="4595"/>
      <c r="E5" s="4592" t="s">
        <v>1581</v>
      </c>
      <c r="F5" s="4593"/>
      <c r="G5" s="4594" t="s">
        <v>1582</v>
      </c>
      <c r="H5" s="4595"/>
      <c r="I5" s="4594" t="s">
        <v>1583</v>
      </c>
      <c r="J5" s="4595"/>
      <c r="K5" s="393"/>
      <c r="L5" s="1974"/>
      <c r="M5" s="1975"/>
      <c r="N5" s="1975"/>
      <c r="O5" s="1975"/>
      <c r="P5" s="4609"/>
      <c r="Q5" s="4525"/>
      <c r="R5" s="4506"/>
      <c r="S5" s="4507"/>
      <c r="T5" s="4506"/>
      <c r="U5" s="4507"/>
      <c r="V5" s="4530"/>
      <c r="W5" s="4530"/>
      <c r="X5" s="909"/>
      <c r="Y5" s="4535"/>
      <c r="Z5" s="4536"/>
      <c r="AA5" s="4499"/>
      <c r="AB5" s="4499"/>
      <c r="AC5" s="4601"/>
    </row>
    <row r="6" spans="1:29" ht="15.75" thickBot="1">
      <c r="A6" s="240"/>
      <c r="B6" s="241"/>
      <c r="C6" s="4596" t="s">
        <v>1584</v>
      </c>
      <c r="D6" s="4597"/>
      <c r="E6" s="4598" t="s">
        <v>1584</v>
      </c>
      <c r="F6" s="4599"/>
      <c r="G6" s="4596" t="s">
        <v>1584</v>
      </c>
      <c r="H6" s="4597"/>
      <c r="I6" s="4596" t="s">
        <v>1584</v>
      </c>
      <c r="J6" s="4597"/>
      <c r="K6" s="393" t="s">
        <v>1585</v>
      </c>
      <c r="L6" s="1974"/>
      <c r="M6" s="1975"/>
      <c r="N6" s="1975"/>
      <c r="O6" s="1975"/>
      <c r="P6" s="4610"/>
      <c r="Q6" s="4527"/>
      <c r="R6" s="4506"/>
      <c r="S6" s="4507"/>
      <c r="T6" s="4528"/>
      <c r="U6" s="4529"/>
      <c r="V6" s="4530"/>
      <c r="W6" s="4530"/>
      <c r="X6" s="909"/>
      <c r="Y6" s="4537"/>
      <c r="Z6" s="4538"/>
      <c r="AA6" s="4500"/>
      <c r="AB6" s="4500"/>
      <c r="AC6" s="4602"/>
    </row>
    <row r="7" spans="1:29" s="46" customFormat="1" ht="15.75" thickBot="1">
      <c r="A7" s="242" t="s">
        <v>1586</v>
      </c>
      <c r="B7" s="243"/>
      <c r="C7" s="244">
        <f>'数据-取费表'!B2</f>
        <v>46050</v>
      </c>
      <c r="D7" s="2898">
        <v>100</v>
      </c>
      <c r="E7" s="245"/>
      <c r="F7" s="3747">
        <f>SUMIF(59:59,YEAR(E7)&amp;"-"&amp;MONTH(E7),60:60)</f>
        <v>0</v>
      </c>
      <c r="G7" s="245"/>
      <c r="H7" s="3753">
        <f>SUMIF(59:59,YEAR(G7)&amp;"-"&amp;MONTH(G7),60:60)</f>
        <v>0</v>
      </c>
      <c r="I7" s="245"/>
      <c r="J7" s="3753">
        <f>SUMIF(59:59,YEAR(I7)&amp;"-"&amp;MONTH(I7),60:60)</f>
        <v>0</v>
      </c>
      <c r="K7" s="22"/>
      <c r="L7" s="1976"/>
      <c r="M7" s="1929"/>
      <c r="N7" s="1929"/>
      <c r="O7" s="1929"/>
      <c r="P7" s="4612" t="s">
        <v>1587</v>
      </c>
      <c r="Q7" s="4539"/>
      <c r="R7" s="3633" t="s">
        <v>13</v>
      </c>
      <c r="S7" s="3156">
        <f t="shared" ref="S7:S15" si="0">F7</f>
        <v>0</v>
      </c>
      <c r="T7" s="3633" t="s">
        <v>13</v>
      </c>
      <c r="U7" s="3156">
        <f t="shared" ref="U7:U15" si="1">H7</f>
        <v>0</v>
      </c>
      <c r="V7" s="3633" t="s">
        <v>13</v>
      </c>
      <c r="W7" s="3156">
        <f t="shared" ref="W7:W15" si="2">J7</f>
        <v>0</v>
      </c>
      <c r="X7" s="482"/>
      <c r="Y7" s="4502" t="s">
        <v>1587</v>
      </c>
      <c r="Z7" s="4503"/>
      <c r="AA7" s="28" t="e">
        <f>D7/F7</f>
        <v>#DIV/0!</v>
      </c>
      <c r="AB7" s="28" t="e">
        <f>D7/H7</f>
        <v>#DIV/0!</v>
      </c>
      <c r="AC7" s="545" t="e">
        <f>D7/J7</f>
        <v>#DIV/0!</v>
      </c>
    </row>
    <row r="8" spans="1:29" s="46" customFormat="1" ht="15.75" thickBot="1">
      <c r="A8" s="242" t="s">
        <v>1588</v>
      </c>
      <c r="B8" s="243"/>
      <c r="C8" s="246"/>
      <c r="D8" s="2898">
        <v>100</v>
      </c>
      <c r="E8" s="246"/>
      <c r="F8" s="3747">
        <f>SUMIF(62:62,E8,63:63)-SUMIF(62:62,C8,63:63)+100</f>
        <v>100</v>
      </c>
      <c r="G8" s="246"/>
      <c r="H8" s="3753">
        <f>SUMIF(62:62,G8,63:63)-SUMIF(62:62,C8,63:63)+100</f>
        <v>100</v>
      </c>
      <c r="I8" s="246"/>
      <c r="J8" s="3753">
        <f>SUMIF(62:62,I8,63:63)-SUMIF(62:62,C8,63:63)+100</f>
        <v>100</v>
      </c>
      <c r="K8" s="22"/>
      <c r="L8" s="1976"/>
      <c r="M8" s="1929"/>
      <c r="N8" s="1929"/>
      <c r="O8" s="1929"/>
      <c r="P8" s="4612" t="s">
        <v>1590</v>
      </c>
      <c r="Q8" s="4532"/>
      <c r="R8" s="3633" t="s">
        <v>13</v>
      </c>
      <c r="S8" s="3156">
        <f t="shared" si="0"/>
        <v>100</v>
      </c>
      <c r="T8" s="3633" t="s">
        <v>13</v>
      </c>
      <c r="U8" s="3156">
        <f t="shared" si="1"/>
        <v>100</v>
      </c>
      <c r="V8" s="3633" t="s">
        <v>13</v>
      </c>
      <c r="W8" s="3156">
        <f t="shared" si="2"/>
        <v>100</v>
      </c>
      <c r="X8" s="482"/>
      <c r="Y8" s="4502" t="s">
        <v>1590</v>
      </c>
      <c r="Z8" s="4503"/>
      <c r="AA8" s="28">
        <f t="shared" ref="AA8:AA47" si="3">D8/F8</f>
        <v>1</v>
      </c>
      <c r="AB8" s="28">
        <f t="shared" ref="AB8:AB47" si="4">D8/H8</f>
        <v>1</v>
      </c>
      <c r="AC8" s="545">
        <f t="shared" ref="AC8:AC47" si="5">D8/J8</f>
        <v>1</v>
      </c>
    </row>
    <row r="9" spans="1:29" s="46" customFormat="1">
      <c r="A9" s="247" t="s">
        <v>1591</v>
      </c>
      <c r="B9" s="34" t="s">
        <v>1592</v>
      </c>
      <c r="C9" s="248"/>
      <c r="D9" s="2899">
        <v>100</v>
      </c>
      <c r="E9" s="250"/>
      <c r="F9" s="33">
        <f>SUMIF(64:64,E9,65:65)-SUMIF(64:64,C9,65:65)+100</f>
        <v>100</v>
      </c>
      <c r="G9" s="249"/>
      <c r="H9" s="33">
        <f>SUMIF(64:64,G9,65:65)-SUMIF(64:64,C9,65:65)+100</f>
        <v>100</v>
      </c>
      <c r="I9" s="249"/>
      <c r="J9" s="33">
        <f>SUMIF(64:64,I9,65:65)-SUMIF(64:64,C9,65:65)+100</f>
        <v>100</v>
      </c>
      <c r="K9" s="22"/>
      <c r="L9" s="1976"/>
      <c r="M9" s="1929"/>
      <c r="N9" s="1929"/>
      <c r="O9" s="1929"/>
      <c r="P9" s="4516" t="s">
        <v>1593</v>
      </c>
      <c r="Q9" s="1698" t="str">
        <f t="shared" ref="Q9:Q15" si="6">B9</f>
        <v>用途</v>
      </c>
      <c r="R9" s="3633" t="s">
        <v>13</v>
      </c>
      <c r="S9" s="3156">
        <f t="shared" si="0"/>
        <v>100</v>
      </c>
      <c r="T9" s="3633" t="s">
        <v>13</v>
      </c>
      <c r="U9" s="3156">
        <f t="shared" si="1"/>
        <v>100</v>
      </c>
      <c r="V9" s="3633" t="s">
        <v>13</v>
      </c>
      <c r="W9" s="3156">
        <f t="shared" si="2"/>
        <v>100</v>
      </c>
      <c r="X9" s="482"/>
      <c r="Y9" s="4517" t="s">
        <v>1594</v>
      </c>
      <c r="Z9" s="28" t="str">
        <f t="shared" ref="Z9:Z15" si="7">Q9</f>
        <v>用途</v>
      </c>
      <c r="AA9" s="28">
        <f t="shared" si="3"/>
        <v>1</v>
      </c>
      <c r="AB9" s="28">
        <f t="shared" si="4"/>
        <v>1</v>
      </c>
      <c r="AC9" s="545">
        <f t="shared" si="5"/>
        <v>1</v>
      </c>
    </row>
    <row r="10" spans="1:29" s="253" customFormat="1" ht="27">
      <c r="A10" s="251"/>
      <c r="B10" s="252" t="s">
        <v>1595</v>
      </c>
      <c r="C10" s="2476"/>
      <c r="D10" s="2900">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516"/>
      <c r="Q10" s="1698" t="str">
        <f t="shared" si="6"/>
        <v>土地使用年限（年）</v>
      </c>
      <c r="R10" s="3633" t="s">
        <v>13</v>
      </c>
      <c r="S10" s="3156">
        <f t="shared" si="0"/>
        <v>100</v>
      </c>
      <c r="T10" s="3633" t="s">
        <v>13</v>
      </c>
      <c r="U10" s="3156">
        <f t="shared" si="1"/>
        <v>100</v>
      </c>
      <c r="V10" s="3633" t="s">
        <v>13</v>
      </c>
      <c r="W10" s="3156">
        <f t="shared" si="2"/>
        <v>100</v>
      </c>
      <c r="X10" s="482"/>
      <c r="Y10" s="4517"/>
      <c r="Z10" s="28" t="str">
        <f t="shared" si="7"/>
        <v>土地使用年限（年）</v>
      </c>
      <c r="AA10" s="28">
        <f t="shared" si="3"/>
        <v>1</v>
      </c>
      <c r="AB10" s="28">
        <f t="shared" si="4"/>
        <v>1</v>
      </c>
      <c r="AC10" s="545">
        <f t="shared" si="5"/>
        <v>1</v>
      </c>
    </row>
    <row r="11" spans="1:29" ht="1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16"/>
      <c r="Q11" s="1698" t="str">
        <f t="shared" si="6"/>
        <v>容积率</v>
      </c>
      <c r="R11" s="3633" t="s">
        <v>13</v>
      </c>
      <c r="S11" s="3156">
        <f t="shared" si="0"/>
        <v>100</v>
      </c>
      <c r="T11" s="3633" t="s">
        <v>13</v>
      </c>
      <c r="U11" s="3156">
        <f t="shared" si="1"/>
        <v>100</v>
      </c>
      <c r="V11" s="3633" t="s">
        <v>13</v>
      </c>
      <c r="W11" s="3156">
        <f t="shared" si="2"/>
        <v>100</v>
      </c>
      <c r="X11" s="482"/>
      <c r="Y11" s="4517"/>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16"/>
      <c r="Q12" s="1698">
        <f t="shared" si="6"/>
        <v>111</v>
      </c>
      <c r="R12" s="3633" t="s">
        <v>13</v>
      </c>
      <c r="S12" s="3156">
        <f t="shared" si="0"/>
        <v>100</v>
      </c>
      <c r="T12" s="3633" t="s">
        <v>13</v>
      </c>
      <c r="U12" s="3156">
        <f t="shared" si="1"/>
        <v>100</v>
      </c>
      <c r="V12" s="3633" t="s">
        <v>13</v>
      </c>
      <c r="W12" s="3156">
        <f t="shared" si="2"/>
        <v>100</v>
      </c>
      <c r="X12" s="482"/>
      <c r="Y12" s="4517"/>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1">
        <f>SUMIF(73:73,G13,74:74)-SUMIF(73:73,C13,74:74)+100</f>
        <v>100</v>
      </c>
      <c r="I13" s="258"/>
      <c r="J13" s="3751">
        <f>SUMIF(73:73,I13,74:74)-SUMIF(73:73,C13,74:74)+100</f>
        <v>100</v>
      </c>
      <c r="K13" s="395"/>
      <c r="L13" s="1980"/>
      <c r="M13" s="1975"/>
      <c r="N13" s="1975"/>
      <c r="O13" s="1975"/>
      <c r="P13" s="4516"/>
      <c r="Q13" s="1698">
        <f t="shared" si="6"/>
        <v>111</v>
      </c>
      <c r="R13" s="3633" t="s">
        <v>13</v>
      </c>
      <c r="S13" s="3156">
        <f t="shared" si="0"/>
        <v>100</v>
      </c>
      <c r="T13" s="3633" t="s">
        <v>13</v>
      </c>
      <c r="U13" s="3156">
        <f t="shared" si="1"/>
        <v>100</v>
      </c>
      <c r="V13" s="3633" t="s">
        <v>13</v>
      </c>
      <c r="W13" s="3156">
        <f t="shared" si="2"/>
        <v>100</v>
      </c>
      <c r="X13" s="482"/>
      <c r="Y13" s="4517"/>
      <c r="Z13" s="28">
        <f t="shared" si="7"/>
        <v>111</v>
      </c>
      <c r="AA13" s="28">
        <f t="shared" si="3"/>
        <v>1</v>
      </c>
      <c r="AB13" s="28">
        <f t="shared" si="4"/>
        <v>1</v>
      </c>
      <c r="AC13" s="545">
        <f t="shared" si="5"/>
        <v>1</v>
      </c>
    </row>
    <row r="14" spans="1:29" ht="15.75" thickBot="1">
      <c r="A14" s="260"/>
      <c r="B14" s="1361">
        <v>111</v>
      </c>
      <c r="C14" s="261"/>
      <c r="D14" s="2903">
        <v>100</v>
      </c>
      <c r="E14" s="402"/>
      <c r="F14" s="3748">
        <f>SUMIF(75:75,E14,76:76)-SUMIF(75:75,C14,76:76)+100</f>
        <v>100</v>
      </c>
      <c r="G14" s="1414"/>
      <c r="H14" s="3748">
        <f>SUMIF(75:75,G14,76:76)-SUMIF(75:75,C14,76:76)+100</f>
        <v>100</v>
      </c>
      <c r="I14" s="258"/>
      <c r="J14" s="3748">
        <f>SUMIF(75:75,I14,76:76)-SUMIF(75:75,C14,76:76)+100</f>
        <v>100</v>
      </c>
      <c r="K14" s="395"/>
      <c r="L14" s="1980"/>
      <c r="M14" s="1975"/>
      <c r="N14" s="1975"/>
      <c r="O14" s="1975"/>
      <c r="P14" s="4516"/>
      <c r="Q14" s="1698">
        <f t="shared" si="6"/>
        <v>111</v>
      </c>
      <c r="R14" s="3633" t="s">
        <v>13</v>
      </c>
      <c r="S14" s="3156">
        <f t="shared" si="0"/>
        <v>100</v>
      </c>
      <c r="T14" s="3633" t="s">
        <v>13</v>
      </c>
      <c r="U14" s="3156">
        <f t="shared" si="1"/>
        <v>100</v>
      </c>
      <c r="V14" s="3633" t="s">
        <v>13</v>
      </c>
      <c r="W14" s="3156">
        <f t="shared" si="2"/>
        <v>100</v>
      </c>
      <c r="X14" s="482"/>
      <c r="Y14" s="4517"/>
      <c r="Z14" s="28">
        <f t="shared" si="7"/>
        <v>111</v>
      </c>
      <c r="AA14" s="28">
        <f t="shared" si="3"/>
        <v>1</v>
      </c>
      <c r="AB14" s="28">
        <f t="shared" si="4"/>
        <v>1</v>
      </c>
      <c r="AC14" s="545">
        <f t="shared" si="5"/>
        <v>1</v>
      </c>
    </row>
    <row r="15" spans="1:29" ht="15">
      <c r="A15" s="262" t="s">
        <v>1597</v>
      </c>
      <c r="B15" s="403" t="s">
        <v>1718</v>
      </c>
      <c r="C15" s="1415">
        <f>估价对象房地状况!C5</f>
        <v>0</v>
      </c>
      <c r="D15" s="2904">
        <v>100</v>
      </c>
      <c r="E15" s="264"/>
      <c r="F15" s="3749">
        <f>SUMIF(77:77,E16,78:78)-SUMIF(77:77,C16,78:78)+100</f>
        <v>100</v>
      </c>
      <c r="G15" s="263"/>
      <c r="H15" s="3749">
        <f>SUMIF(77:77,G16,78:78)-SUMIF(77:77,C16,78:78)+100</f>
        <v>100</v>
      </c>
      <c r="I15" s="263"/>
      <c r="J15" s="3749">
        <f>SUMIF(77:77,I16,78:78)-SUMIF(77:77,C16,78:78)+100</f>
        <v>100</v>
      </c>
      <c r="K15" s="396"/>
      <c r="L15" s="1980"/>
      <c r="M15" s="1975"/>
      <c r="N15" s="1975"/>
      <c r="O15" s="1975"/>
      <c r="P15" s="4540" t="s">
        <v>1598</v>
      </c>
      <c r="Q15" s="1507" t="str">
        <f t="shared" si="6"/>
        <v>办公集聚程度</v>
      </c>
      <c r="R15" s="3735" t="s">
        <v>13</v>
      </c>
      <c r="S15" s="3157">
        <f t="shared" si="0"/>
        <v>100</v>
      </c>
      <c r="T15" s="3735" t="s">
        <v>13</v>
      </c>
      <c r="U15" s="3157">
        <f t="shared" si="1"/>
        <v>100</v>
      </c>
      <c r="V15" s="3735" t="s">
        <v>13</v>
      </c>
      <c r="W15" s="3157">
        <f t="shared" si="2"/>
        <v>100</v>
      </c>
      <c r="X15" s="909"/>
      <c r="Y15" s="4542" t="s">
        <v>1598</v>
      </c>
      <c r="Z15" s="907" t="str">
        <f t="shared" si="7"/>
        <v>办公集聚程度</v>
      </c>
      <c r="AA15" s="907">
        <f t="shared" si="3"/>
        <v>1</v>
      </c>
      <c r="AB15" s="907">
        <f t="shared" si="4"/>
        <v>1</v>
      </c>
      <c r="AC15" s="1416">
        <f t="shared" si="5"/>
        <v>1</v>
      </c>
    </row>
    <row r="16" spans="1:29" ht="15">
      <c r="A16" s="254"/>
      <c r="B16" s="404"/>
      <c r="C16" s="1368"/>
      <c r="D16" s="2905"/>
      <c r="E16" s="266"/>
      <c r="F16" s="267"/>
      <c r="G16" s="1368"/>
      <c r="H16" s="268"/>
      <c r="I16" s="266"/>
      <c r="J16" s="267"/>
      <c r="K16" s="397"/>
      <c r="L16" s="1980"/>
      <c r="M16" s="1975"/>
      <c r="N16" s="1975"/>
      <c r="O16" s="1975"/>
      <c r="P16" s="4541"/>
      <c r="Q16" s="1507"/>
      <c r="R16" s="3735"/>
      <c r="S16" s="3157"/>
      <c r="T16" s="3735"/>
      <c r="U16" s="3157"/>
      <c r="V16" s="3735"/>
      <c r="W16" s="3157"/>
      <c r="X16" s="909"/>
      <c r="Y16" s="4543"/>
      <c r="Z16" s="907"/>
      <c r="AA16" s="907">
        <v>1</v>
      </c>
      <c r="AB16" s="907">
        <v>1</v>
      </c>
      <c r="AC16" s="1416">
        <v>1</v>
      </c>
    </row>
    <row r="17" spans="1:29" ht="15">
      <c r="A17" s="254"/>
      <c r="B17" s="405" t="s">
        <v>1237</v>
      </c>
      <c r="C17" s="1417">
        <f>估价对象房地状况!C6</f>
        <v>0</v>
      </c>
      <c r="D17" s="2906">
        <v>100</v>
      </c>
      <c r="E17" s="271"/>
      <c r="F17" s="268">
        <f>SUMIF(79:79,E18,80:80)-SUMIF(79:79,C18,80:80)+100</f>
        <v>100</v>
      </c>
      <c r="G17" s="270"/>
      <c r="H17" s="3750">
        <f>SUMIF(79:79,G18,80:80)-SUMIF(79:79,C18,80:80)+100</f>
        <v>100</v>
      </c>
      <c r="I17" s="270"/>
      <c r="J17" s="3750">
        <f>SUMIF(79:79,I18,80:80)-SUMIF(79:79,C18,80:80)+100</f>
        <v>100</v>
      </c>
      <c r="K17" s="396"/>
      <c r="L17" s="1980"/>
      <c r="M17" s="1975"/>
      <c r="N17" s="1975"/>
      <c r="O17" s="1975"/>
      <c r="P17" s="4541"/>
      <c r="Q17" s="1507" t="str">
        <f>B17</f>
        <v>交通便捷度</v>
      </c>
      <c r="R17" s="3735" t="s">
        <v>13</v>
      </c>
      <c r="S17" s="3157">
        <f>F17</f>
        <v>100</v>
      </c>
      <c r="T17" s="3735" t="s">
        <v>13</v>
      </c>
      <c r="U17" s="3157">
        <f>H17</f>
        <v>100</v>
      </c>
      <c r="V17" s="3735" t="s">
        <v>13</v>
      </c>
      <c r="W17" s="3157">
        <f>J17</f>
        <v>100</v>
      </c>
      <c r="X17" s="909"/>
      <c r="Y17" s="4543"/>
      <c r="Z17" s="907" t="str">
        <f>Q17</f>
        <v>交通便捷度</v>
      </c>
      <c r="AA17" s="907">
        <f t="shared" si="3"/>
        <v>1</v>
      </c>
      <c r="AB17" s="907">
        <f t="shared" si="4"/>
        <v>1</v>
      </c>
      <c r="AC17" s="1416">
        <f t="shared" si="5"/>
        <v>1</v>
      </c>
    </row>
    <row r="18" spans="1:29" ht="15">
      <c r="A18" s="254"/>
      <c r="B18" s="406"/>
      <c r="C18" s="1418"/>
      <c r="D18" s="2906"/>
      <c r="E18" s="1366"/>
      <c r="F18" s="268"/>
      <c r="G18" s="1367"/>
      <c r="H18" s="267"/>
      <c r="I18" s="1367"/>
      <c r="J18" s="267"/>
      <c r="K18" s="397"/>
      <c r="L18" s="1980"/>
      <c r="M18" s="1975"/>
      <c r="N18" s="1975"/>
      <c r="O18" s="1975"/>
      <c r="P18" s="4541"/>
      <c r="Q18" s="1507"/>
      <c r="R18" s="3735"/>
      <c r="S18" s="3157"/>
      <c r="T18" s="3735"/>
      <c r="U18" s="3157"/>
      <c r="V18" s="3735"/>
      <c r="W18" s="3157"/>
      <c r="X18" s="909"/>
      <c r="Y18" s="4543"/>
      <c r="Z18" s="907"/>
      <c r="AA18" s="907">
        <v>1</v>
      </c>
      <c r="AB18" s="907">
        <v>1</v>
      </c>
      <c r="AC18" s="1416">
        <v>1</v>
      </c>
    </row>
    <row r="19" spans="1:29" ht="15">
      <c r="A19" s="254"/>
      <c r="B19" s="405" t="s">
        <v>1719</v>
      </c>
      <c r="C19" s="1417">
        <f>估价对象房地状况!C7</f>
        <v>0</v>
      </c>
      <c r="D19" s="2907">
        <v>100</v>
      </c>
      <c r="E19" s="274"/>
      <c r="F19" s="3750">
        <f>SUMIF(81:81,E20,82:82)-SUMIF(81:81,C20,82:82)+100</f>
        <v>100</v>
      </c>
      <c r="G19" s="273"/>
      <c r="H19" s="268">
        <f>SUMIF(81:81,G20,82:82)-SUMIF(81:81,C20,82:82)+100</f>
        <v>100</v>
      </c>
      <c r="I19" s="273"/>
      <c r="J19" s="268">
        <f>SUMIF(81:81,I20,82:82)-SUMIF(81:81,C20,82:82)+100</f>
        <v>100</v>
      </c>
      <c r="K19" s="396"/>
      <c r="L19" s="1980"/>
      <c r="M19" s="1975"/>
      <c r="N19" s="1975"/>
      <c r="O19" s="1975"/>
      <c r="P19" s="4541"/>
      <c r="Q19" s="1507" t="str">
        <f>B19</f>
        <v>公共配套设施</v>
      </c>
      <c r="R19" s="3735" t="s">
        <v>13</v>
      </c>
      <c r="S19" s="3157">
        <f>F19</f>
        <v>100</v>
      </c>
      <c r="T19" s="3735" t="s">
        <v>13</v>
      </c>
      <c r="U19" s="3157">
        <f>H19</f>
        <v>100</v>
      </c>
      <c r="V19" s="3735" t="s">
        <v>13</v>
      </c>
      <c r="W19" s="3157">
        <f>J19</f>
        <v>100</v>
      </c>
      <c r="X19" s="909"/>
      <c r="Y19" s="4543"/>
      <c r="Z19" s="907" t="str">
        <f>Q19</f>
        <v>公共配套设施</v>
      </c>
      <c r="AA19" s="907">
        <f t="shared" si="3"/>
        <v>1</v>
      </c>
      <c r="AB19" s="907">
        <f t="shared" si="4"/>
        <v>1</v>
      </c>
      <c r="AC19" s="1416">
        <f t="shared" si="5"/>
        <v>1</v>
      </c>
    </row>
    <row r="20" spans="1:29" ht="15">
      <c r="A20" s="254"/>
      <c r="B20" s="406"/>
      <c r="C20" s="1368"/>
      <c r="D20" s="2905"/>
      <c r="E20" s="1362"/>
      <c r="F20" s="267"/>
      <c r="G20" s="1363"/>
      <c r="H20" s="267"/>
      <c r="I20" s="1363"/>
      <c r="J20" s="267"/>
      <c r="K20" s="397"/>
      <c r="L20" s="1980"/>
      <c r="M20" s="1975"/>
      <c r="N20" s="1975"/>
      <c r="O20" s="1975"/>
      <c r="P20" s="4541"/>
      <c r="Q20" s="1507"/>
      <c r="R20" s="3735"/>
      <c r="S20" s="3157"/>
      <c r="T20" s="3735"/>
      <c r="U20" s="3157"/>
      <c r="V20" s="3735"/>
      <c r="W20" s="3157"/>
      <c r="X20" s="909"/>
      <c r="Y20" s="4543"/>
      <c r="Z20" s="907"/>
      <c r="AA20" s="907">
        <v>1</v>
      </c>
      <c r="AB20" s="907">
        <v>1</v>
      </c>
      <c r="AC20" s="1416">
        <v>1</v>
      </c>
    </row>
    <row r="21" spans="1:29" ht="15">
      <c r="A21" s="254"/>
      <c r="B21" s="407" t="s">
        <v>1720</v>
      </c>
      <c r="C21" s="1417">
        <f>估价对象房地状况!C8</f>
        <v>0</v>
      </c>
      <c r="D21" s="2906">
        <v>100</v>
      </c>
      <c r="E21" s="274"/>
      <c r="F21" s="3750">
        <f>SUMIF(83:83,E22,84:84)-SUMIF(83:83,C22,84:84)+100</f>
        <v>100</v>
      </c>
      <c r="G21" s="273"/>
      <c r="H21" s="268">
        <f>SUMIF(83:83,G22,84:84)-SUMIF(83:83,C22,84:84)+100</f>
        <v>100</v>
      </c>
      <c r="I21" s="273"/>
      <c r="J21" s="268">
        <f>SUMIF(83:83,I22,84:84)-SUMIF(83:83,C22,84:84)+100</f>
        <v>100</v>
      </c>
      <c r="K21" s="396"/>
      <c r="L21" s="1980"/>
      <c r="M21" s="1975"/>
      <c r="N21" s="1975"/>
      <c r="O21" s="1975"/>
      <c r="P21" s="4541"/>
      <c r="Q21" s="1507" t="str">
        <f>B21</f>
        <v>基础设施水平</v>
      </c>
      <c r="R21" s="3735" t="s">
        <v>13</v>
      </c>
      <c r="S21" s="3157">
        <f>F21</f>
        <v>100</v>
      </c>
      <c r="T21" s="3735" t="s">
        <v>13</v>
      </c>
      <c r="U21" s="3157">
        <f>H21</f>
        <v>100</v>
      </c>
      <c r="V21" s="3735" t="s">
        <v>13</v>
      </c>
      <c r="W21" s="3157">
        <f>J21</f>
        <v>100</v>
      </c>
      <c r="X21" s="909"/>
      <c r="Y21" s="4543"/>
      <c r="Z21" s="907" t="str">
        <f>Q21</f>
        <v>基础设施水平</v>
      </c>
      <c r="AA21" s="907">
        <f t="shared" ref="AA21" si="8">D21/F21</f>
        <v>1</v>
      </c>
      <c r="AB21" s="907">
        <f t="shared" ref="AB21" si="9">D21/H21</f>
        <v>1</v>
      </c>
      <c r="AC21" s="1416">
        <f t="shared" ref="AC21" si="10">D21/J21</f>
        <v>1</v>
      </c>
    </row>
    <row r="22" spans="1:29" ht="15">
      <c r="A22" s="254"/>
      <c r="B22" s="407"/>
      <c r="C22" s="1418"/>
      <c r="D22" s="2905"/>
      <c r="E22" s="266"/>
      <c r="F22" s="267"/>
      <c r="G22" s="1368"/>
      <c r="H22" s="267"/>
      <c r="I22" s="1368"/>
      <c r="J22" s="267"/>
      <c r="K22" s="758"/>
      <c r="L22" s="1980"/>
      <c r="M22" s="1975"/>
      <c r="N22" s="1975"/>
      <c r="O22" s="1975"/>
      <c r="P22" s="4541"/>
      <c r="Q22" s="1507"/>
      <c r="R22" s="3735"/>
      <c r="S22" s="3157"/>
      <c r="T22" s="3735"/>
      <c r="U22" s="3157"/>
      <c r="V22" s="3735"/>
      <c r="W22" s="3157"/>
      <c r="X22" s="909"/>
      <c r="Y22" s="4543"/>
      <c r="Z22" s="907"/>
      <c r="AA22" s="907">
        <v>1</v>
      </c>
      <c r="AB22" s="907">
        <v>1</v>
      </c>
      <c r="AC22" s="1416">
        <v>1</v>
      </c>
    </row>
    <row r="23" spans="1:29" ht="15">
      <c r="A23" s="254"/>
      <c r="B23" s="405" t="s">
        <v>1721</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41"/>
      <c r="Q23" s="1507" t="str">
        <f>B23</f>
        <v>环境质量</v>
      </c>
      <c r="R23" s="3735" t="s">
        <v>13</v>
      </c>
      <c r="S23" s="3157">
        <f>F23</f>
        <v>100</v>
      </c>
      <c r="T23" s="3735" t="s">
        <v>13</v>
      </c>
      <c r="U23" s="3157">
        <f>H23</f>
        <v>100</v>
      </c>
      <c r="V23" s="3735" t="s">
        <v>13</v>
      </c>
      <c r="W23" s="3157">
        <f>J23</f>
        <v>100</v>
      </c>
      <c r="X23" s="909"/>
      <c r="Y23" s="4543"/>
      <c r="Z23" s="907" t="str">
        <f>Q23</f>
        <v>环境质量</v>
      </c>
      <c r="AA23" s="907">
        <f t="shared" si="3"/>
        <v>1</v>
      </c>
      <c r="AB23" s="907">
        <f t="shared" si="4"/>
        <v>1</v>
      </c>
      <c r="AC23" s="1416">
        <f t="shared" si="5"/>
        <v>1</v>
      </c>
    </row>
    <row r="24" spans="1:29" ht="15">
      <c r="A24" s="254"/>
      <c r="B24" s="407"/>
      <c r="C24" s="1368"/>
      <c r="D24" s="2905"/>
      <c r="E24" s="1362"/>
      <c r="F24" s="267"/>
      <c r="G24" s="1363"/>
      <c r="H24" s="267"/>
      <c r="I24" s="1363"/>
      <c r="J24" s="267"/>
      <c r="K24" s="397"/>
      <c r="L24" s="1980"/>
      <c r="M24" s="1975"/>
      <c r="N24" s="1975"/>
      <c r="O24" s="1975"/>
      <c r="P24" s="4541"/>
      <c r="Q24" s="1507"/>
      <c r="R24" s="3735"/>
      <c r="S24" s="3157"/>
      <c r="T24" s="3735"/>
      <c r="U24" s="3157"/>
      <c r="V24" s="3735"/>
      <c r="W24" s="3157"/>
      <c r="X24" s="909"/>
      <c r="Y24" s="4543"/>
      <c r="Z24" s="907"/>
      <c r="AA24" s="907">
        <v>1</v>
      </c>
      <c r="AB24" s="907">
        <v>1</v>
      </c>
      <c r="AC24" s="1416">
        <v>1</v>
      </c>
    </row>
    <row r="25" spans="1:29" ht="27">
      <c r="A25" s="238"/>
      <c r="B25" s="405" t="s">
        <v>1722</v>
      </c>
      <c r="C25" s="1370"/>
      <c r="D25" s="2902">
        <v>100</v>
      </c>
      <c r="E25" s="259"/>
      <c r="F25" s="3751">
        <f>SUMIF(87:87,E26,88:88)-SUMIF(87:87,C26,88:88)+100</f>
        <v>100</v>
      </c>
      <c r="G25" s="1370"/>
      <c r="H25" s="3751">
        <f>SUMIF(87:87,G26,88:88)-SUMIF(87:87,C26,88:88)+100</f>
        <v>100</v>
      </c>
      <c r="I25" s="259"/>
      <c r="J25" s="3751">
        <f>SUMIF(87:87,I26,88:88)-SUMIF(87:87,C26,88:88)+100</f>
        <v>100</v>
      </c>
      <c r="K25" s="396"/>
      <c r="L25" s="1980"/>
      <c r="M25" s="1975"/>
      <c r="N25" s="1975"/>
      <c r="O25" s="1975"/>
      <c r="P25" s="4541"/>
      <c r="Q25" s="1507" t="str">
        <f>B25</f>
        <v>毗邻道路的类型与等级</v>
      </c>
      <c r="R25" s="3735" t="s">
        <v>13</v>
      </c>
      <c r="S25" s="3157">
        <f>F25</f>
        <v>100</v>
      </c>
      <c r="T25" s="3735" t="s">
        <v>13</v>
      </c>
      <c r="U25" s="3157">
        <f>H25</f>
        <v>100</v>
      </c>
      <c r="V25" s="3735" t="s">
        <v>13</v>
      </c>
      <c r="W25" s="3157">
        <f>J25</f>
        <v>100</v>
      </c>
      <c r="X25" s="909"/>
      <c r="Y25" s="4543"/>
      <c r="Z25" s="907" t="str">
        <f>Q25</f>
        <v>毗邻道路的类型与等级</v>
      </c>
      <c r="AA25" s="907">
        <f t="shared" si="3"/>
        <v>1</v>
      </c>
      <c r="AB25" s="907">
        <f t="shared" si="4"/>
        <v>1</v>
      </c>
      <c r="AC25" s="1416">
        <f t="shared" si="5"/>
        <v>1</v>
      </c>
    </row>
    <row r="26" spans="1:29" ht="15">
      <c r="A26" s="238"/>
      <c r="B26" s="406"/>
      <c r="C26" s="408"/>
      <c r="D26" s="2902"/>
      <c r="E26" s="398"/>
      <c r="F26" s="3751"/>
      <c r="G26" s="408"/>
      <c r="H26" s="3751"/>
      <c r="I26" s="398"/>
      <c r="J26" s="3751"/>
      <c r="K26" s="397"/>
      <c r="L26" s="1980"/>
      <c r="M26" s="1975"/>
      <c r="N26" s="1975"/>
      <c r="O26" s="1975"/>
      <c r="P26" s="4541"/>
      <c r="Q26" s="1507"/>
      <c r="R26" s="3735"/>
      <c r="S26" s="3157"/>
      <c r="T26" s="3735"/>
      <c r="U26" s="3157"/>
      <c r="V26" s="3735"/>
      <c r="W26" s="3157"/>
      <c r="X26" s="909"/>
      <c r="Y26" s="4543"/>
      <c r="Z26" s="907"/>
      <c r="AA26" s="907">
        <v>1</v>
      </c>
      <c r="AB26" s="907">
        <v>1</v>
      </c>
      <c r="AC26" s="1416">
        <v>1</v>
      </c>
    </row>
    <row r="27" spans="1:29" ht="15">
      <c r="A27" s="254"/>
      <c r="B27" s="406" t="s">
        <v>1690</v>
      </c>
      <c r="C27" s="408"/>
      <c r="D27" s="2902">
        <v>100</v>
      </c>
      <c r="E27" s="398"/>
      <c r="F27" s="3751">
        <f>SUMIF(89:89,E27,90:90)-SUMIF(89:89,C27,90:90)+100</f>
        <v>100</v>
      </c>
      <c r="G27" s="408"/>
      <c r="H27" s="3751">
        <f>SUMIF(89:89,G27,90:90)-SUMIF(89:89,C27,90:90)+100</f>
        <v>100</v>
      </c>
      <c r="I27" s="398"/>
      <c r="J27" s="3751">
        <f>SUMIF(89:89,I27,90:90)-SUMIF(89:89,C27,90:90)+100</f>
        <v>100</v>
      </c>
      <c r="K27" s="394"/>
      <c r="L27" s="1980"/>
      <c r="M27" s="1975"/>
      <c r="N27" s="1975"/>
      <c r="O27" s="1975"/>
      <c r="P27" s="4541"/>
      <c r="Q27" s="1507" t="str">
        <f t="shared" ref="Q27:Q47" si="11">B27</f>
        <v>楼层</v>
      </c>
      <c r="R27" s="3735" t="s">
        <v>13</v>
      </c>
      <c r="S27" s="3157">
        <f>F27</f>
        <v>100</v>
      </c>
      <c r="T27" s="3735" t="s">
        <v>13</v>
      </c>
      <c r="U27" s="3157">
        <f>H27</f>
        <v>100</v>
      </c>
      <c r="V27" s="3735" t="s">
        <v>13</v>
      </c>
      <c r="W27" s="3157">
        <f>J27</f>
        <v>100</v>
      </c>
      <c r="X27" s="909"/>
      <c r="Y27" s="4543"/>
      <c r="Z27" s="907" t="str">
        <f>Q27</f>
        <v>楼层</v>
      </c>
      <c r="AA27" s="907">
        <f t="shared" si="3"/>
        <v>1</v>
      </c>
      <c r="AB27" s="907">
        <f t="shared" si="4"/>
        <v>1</v>
      </c>
      <c r="AC27" s="1416">
        <f t="shared" si="5"/>
        <v>1</v>
      </c>
    </row>
    <row r="28" spans="1:29" s="46" customFormat="1" ht="1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41"/>
      <c r="Q28" s="1698" t="str">
        <f t="shared" si="11"/>
        <v>朝向</v>
      </c>
      <c r="R28" s="3633" t="s">
        <v>13</v>
      </c>
      <c r="S28" s="3156">
        <f>F28</f>
        <v>100</v>
      </c>
      <c r="T28" s="3633" t="s">
        <v>13</v>
      </c>
      <c r="U28" s="3156">
        <f>H28</f>
        <v>100</v>
      </c>
      <c r="V28" s="3633" t="s">
        <v>13</v>
      </c>
      <c r="W28" s="3156">
        <f>J28</f>
        <v>100</v>
      </c>
      <c r="X28" s="482"/>
      <c r="Y28" s="4543"/>
      <c r="Z28" s="28" t="str">
        <f>Q28</f>
        <v>朝向</v>
      </c>
      <c r="AA28" s="907">
        <f>D28/F28</f>
        <v>1</v>
      </c>
      <c r="AB28" s="907">
        <f>D28/H28</f>
        <v>1</v>
      </c>
      <c r="AC28" s="1416">
        <f>D28/J28</f>
        <v>1</v>
      </c>
    </row>
    <row r="29" spans="1:29" ht="15">
      <c r="A29" s="254"/>
      <c r="B29" s="777">
        <v>111</v>
      </c>
      <c r="C29" s="1370"/>
      <c r="D29" s="2902">
        <v>100</v>
      </c>
      <c r="E29" s="258"/>
      <c r="F29" s="3751">
        <f>SUMIF(93:93,E29,94:94)-SUMIF(93:93,C29,94:94)+100</f>
        <v>100</v>
      </c>
      <c r="G29" s="1414"/>
      <c r="H29" s="3751">
        <f>SUMIF(93:93,G29,94:94)-SUMIF(93:93,C29,94:94)+100</f>
        <v>100</v>
      </c>
      <c r="I29" s="258"/>
      <c r="J29" s="3751">
        <f>SUMIF(93:93,I29,94:94)-SUMIF(93:93,C29,94:94)+100</f>
        <v>100</v>
      </c>
      <c r="K29" s="395"/>
      <c r="L29" s="1980"/>
      <c r="M29" s="1975"/>
      <c r="N29" s="1975"/>
      <c r="O29" s="1975"/>
      <c r="P29" s="4541"/>
      <c r="Q29" s="1507">
        <f t="shared" si="11"/>
        <v>111</v>
      </c>
      <c r="R29" s="3735" t="s">
        <v>13</v>
      </c>
      <c r="S29" s="3157">
        <f t="shared" ref="S29:S47" si="12">F29</f>
        <v>100</v>
      </c>
      <c r="T29" s="3735" t="s">
        <v>13</v>
      </c>
      <c r="U29" s="3157">
        <f t="shared" ref="U29:U47" si="13">H29</f>
        <v>100</v>
      </c>
      <c r="V29" s="3735" t="s">
        <v>13</v>
      </c>
      <c r="W29" s="3157">
        <f t="shared" ref="W29:W47" si="14">J29</f>
        <v>100</v>
      </c>
      <c r="X29" s="909"/>
      <c r="Y29" s="4543"/>
      <c r="Z29" s="907">
        <f t="shared" ref="Z29:Z47" si="15">Q29</f>
        <v>111</v>
      </c>
      <c r="AA29" s="907">
        <f t="shared" si="3"/>
        <v>1</v>
      </c>
      <c r="AB29" s="907">
        <f t="shared" si="4"/>
        <v>1</v>
      </c>
      <c r="AC29" s="1416">
        <f t="shared" si="5"/>
        <v>1</v>
      </c>
    </row>
    <row r="30" spans="1:29" ht="15">
      <c r="A30" s="254"/>
      <c r="B30" s="777">
        <v>111</v>
      </c>
      <c r="C30" s="1370"/>
      <c r="D30" s="2902">
        <v>100</v>
      </c>
      <c r="E30" s="258"/>
      <c r="F30" s="3751">
        <f>SUMIF(95:95,E30,96:96)-SUMIF(95:95,C30,96:96)+100</f>
        <v>100</v>
      </c>
      <c r="G30" s="1414"/>
      <c r="H30" s="3751">
        <f>SUMIF(95:95,G30,96:96)-SUMIF(95:95,C30,96:96)+100</f>
        <v>100</v>
      </c>
      <c r="I30" s="258"/>
      <c r="J30" s="3751">
        <f>SUMIF(95:95,I30,96:96)-SUMIF(95:95,C30,96:96)+100</f>
        <v>100</v>
      </c>
      <c r="K30" s="395"/>
      <c r="L30" s="1980"/>
      <c r="M30" s="1975"/>
      <c r="N30" s="1975"/>
      <c r="O30" s="1975"/>
      <c r="P30" s="4541"/>
      <c r="Q30" s="1507">
        <f t="shared" si="11"/>
        <v>111</v>
      </c>
      <c r="R30" s="3735" t="s">
        <v>13</v>
      </c>
      <c r="S30" s="3157">
        <f t="shared" si="12"/>
        <v>100</v>
      </c>
      <c r="T30" s="3735" t="s">
        <v>13</v>
      </c>
      <c r="U30" s="3157">
        <f t="shared" si="13"/>
        <v>100</v>
      </c>
      <c r="V30" s="3735" t="s">
        <v>13</v>
      </c>
      <c r="W30" s="3157">
        <f t="shared" si="14"/>
        <v>100</v>
      </c>
      <c r="X30" s="909"/>
      <c r="Y30" s="4543"/>
      <c r="Z30" s="907">
        <f t="shared" si="15"/>
        <v>111</v>
      </c>
      <c r="AA30" s="907">
        <f t="shared" si="3"/>
        <v>1</v>
      </c>
      <c r="AB30" s="907">
        <f t="shared" si="4"/>
        <v>1</v>
      </c>
      <c r="AC30" s="1416">
        <f t="shared" si="5"/>
        <v>1</v>
      </c>
    </row>
    <row r="31" spans="1:29" ht="15">
      <c r="A31" s="254"/>
      <c r="B31" s="777">
        <v>111</v>
      </c>
      <c r="C31" s="1370"/>
      <c r="D31" s="2902">
        <v>100</v>
      </c>
      <c r="E31" s="258"/>
      <c r="F31" s="3751">
        <f>SUMIF(97:97,E31,98:98)-SUMIF(97:97,C31,98:98)+100</f>
        <v>100</v>
      </c>
      <c r="G31" s="1414"/>
      <c r="H31" s="3751">
        <f>SUMIF(97:97,G31,98:98)-SUMIF(97:97,C31,98:98)+100</f>
        <v>100</v>
      </c>
      <c r="I31" s="258"/>
      <c r="J31" s="3751">
        <f>SUMIF(97:97,I31,98:98)-SUMIF(97:97,C31,98:98)+100</f>
        <v>100</v>
      </c>
      <c r="K31" s="395"/>
      <c r="L31" s="1980"/>
      <c r="M31" s="1975"/>
      <c r="N31" s="1975"/>
      <c r="O31" s="1975"/>
      <c r="P31" s="4541"/>
      <c r="Q31" s="1507">
        <f t="shared" si="11"/>
        <v>111</v>
      </c>
      <c r="R31" s="3735" t="s">
        <v>13</v>
      </c>
      <c r="S31" s="3157">
        <f t="shared" si="12"/>
        <v>100</v>
      </c>
      <c r="T31" s="3735" t="s">
        <v>13</v>
      </c>
      <c r="U31" s="3157">
        <f t="shared" si="13"/>
        <v>100</v>
      </c>
      <c r="V31" s="3735" t="s">
        <v>13</v>
      </c>
      <c r="W31" s="3157">
        <f t="shared" si="14"/>
        <v>100</v>
      </c>
      <c r="X31" s="909"/>
      <c r="Y31" s="4543"/>
      <c r="Z31" s="907">
        <f t="shared" si="15"/>
        <v>111</v>
      </c>
      <c r="AA31" s="907">
        <f t="shared" si="3"/>
        <v>1</v>
      </c>
      <c r="AB31" s="907">
        <f t="shared" si="4"/>
        <v>1</v>
      </c>
      <c r="AC31" s="1416">
        <f t="shared" si="5"/>
        <v>1</v>
      </c>
    </row>
    <row r="32" spans="1:29" ht="15.75" thickBot="1">
      <c r="A32" s="260"/>
      <c r="B32" s="409">
        <v>111</v>
      </c>
      <c r="C32" s="1371"/>
      <c r="D32" s="2903">
        <v>100</v>
      </c>
      <c r="E32" s="402"/>
      <c r="F32" s="3748">
        <f>SUMIF(99:99,E32,100:100)-SUMIF(99:99,C32,100:100)+100</f>
        <v>100</v>
      </c>
      <c r="G32" s="1414"/>
      <c r="H32" s="3748">
        <f>SUMIF(99:99,G32,100:100)-SUMIF(99:99,C32,100:100)+100</f>
        <v>100</v>
      </c>
      <c r="I32" s="258"/>
      <c r="J32" s="3748">
        <f>SUMIF(99:99,I32,100:100)-SUMIF(99:99,C32,100:100)+100</f>
        <v>100</v>
      </c>
      <c r="K32" s="395"/>
      <c r="L32" s="1980"/>
      <c r="M32" s="1975"/>
      <c r="N32" s="1975"/>
      <c r="O32" s="1975"/>
      <c r="P32" s="4541"/>
      <c r="Q32" s="1507">
        <f t="shared" si="11"/>
        <v>111</v>
      </c>
      <c r="R32" s="3735" t="s">
        <v>13</v>
      </c>
      <c r="S32" s="3157">
        <f t="shared" si="12"/>
        <v>100</v>
      </c>
      <c r="T32" s="3735" t="s">
        <v>13</v>
      </c>
      <c r="U32" s="3157">
        <f t="shared" si="13"/>
        <v>100</v>
      </c>
      <c r="V32" s="3735" t="s">
        <v>13</v>
      </c>
      <c r="W32" s="3157">
        <f t="shared" si="14"/>
        <v>100</v>
      </c>
      <c r="X32" s="909"/>
      <c r="Y32" s="4543"/>
      <c r="Z32" s="907">
        <f t="shared" si="15"/>
        <v>111</v>
      </c>
      <c r="AA32" s="907">
        <f t="shared" si="3"/>
        <v>1</v>
      </c>
      <c r="AB32" s="907">
        <f t="shared" si="4"/>
        <v>1</v>
      </c>
      <c r="AC32" s="1416">
        <f t="shared" si="5"/>
        <v>1</v>
      </c>
    </row>
    <row r="33" spans="1:29" ht="15">
      <c r="A33" s="262" t="s">
        <v>1601</v>
      </c>
      <c r="B33" s="34" t="s">
        <v>1724</v>
      </c>
      <c r="C33" s="1420"/>
      <c r="D33" s="2909">
        <v>100</v>
      </c>
      <c r="E33" s="1420"/>
      <c r="F33" s="908">
        <f>SUMIF(101:101,E33,102:102)-SUMIF(101:101,C33,102:102)+100</f>
        <v>100</v>
      </c>
      <c r="G33" s="1420"/>
      <c r="H33" s="3751">
        <f>SUMIF(101:101,G33,102:102)-SUMIF(101:101,C33,102:102)+100</f>
        <v>100</v>
      </c>
      <c r="I33" s="1420"/>
      <c r="J33" s="3754">
        <f>SUMIF(101:101,I33,102:102)-SUMIF(101:101,C33,102:102)+100</f>
        <v>100</v>
      </c>
      <c r="K33" s="394"/>
      <c r="L33" s="1980"/>
      <c r="M33" s="1975"/>
      <c r="N33" s="1975"/>
      <c r="O33" s="1975"/>
      <c r="P33" s="4544" t="s">
        <v>1603</v>
      </c>
      <c r="Q33" s="1507" t="str">
        <f t="shared" si="11"/>
        <v>建筑类型</v>
      </c>
      <c r="R33" s="3735" t="s">
        <v>13</v>
      </c>
      <c r="S33" s="3157">
        <f t="shared" si="12"/>
        <v>100</v>
      </c>
      <c r="T33" s="3735" t="s">
        <v>13</v>
      </c>
      <c r="U33" s="3157">
        <f t="shared" si="13"/>
        <v>100</v>
      </c>
      <c r="V33" s="3735" t="s">
        <v>13</v>
      </c>
      <c r="W33" s="3157">
        <f t="shared" si="14"/>
        <v>100</v>
      </c>
      <c r="X33" s="909"/>
      <c r="Y33" s="4547" t="s">
        <v>1603</v>
      </c>
      <c r="Z33" s="907" t="str">
        <f t="shared" si="15"/>
        <v>建筑类型</v>
      </c>
      <c r="AA33" s="907">
        <f t="shared" si="3"/>
        <v>1</v>
      </c>
      <c r="AB33" s="907">
        <f t="shared" si="4"/>
        <v>1</v>
      </c>
      <c r="AC33" s="1416">
        <f t="shared" si="5"/>
        <v>1</v>
      </c>
    </row>
    <row r="34" spans="1:29" s="279" customFormat="1" ht="15">
      <c r="A34" s="277"/>
      <c r="B34" s="252" t="s">
        <v>1604</v>
      </c>
      <c r="C34" s="278"/>
      <c r="D34" s="2900">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45"/>
      <c r="Q34" s="2864" t="str">
        <f t="shared" si="11"/>
        <v>项目建筑规模</v>
      </c>
      <c r="R34" s="3736" t="s">
        <v>13</v>
      </c>
      <c r="S34" s="3158" t="e">
        <f t="shared" si="12"/>
        <v>#N/A</v>
      </c>
      <c r="T34" s="3736" t="s">
        <v>13</v>
      </c>
      <c r="U34" s="3158" t="e">
        <f t="shared" si="13"/>
        <v>#N/A</v>
      </c>
      <c r="V34" s="3736" t="s">
        <v>13</v>
      </c>
      <c r="W34" s="3158" t="e">
        <f t="shared" si="14"/>
        <v>#N/A</v>
      </c>
      <c r="X34" s="484"/>
      <c r="Y34" s="4547"/>
      <c r="Z34" s="485" t="str">
        <f t="shared" si="15"/>
        <v>项目建筑规模</v>
      </c>
      <c r="AA34" s="907" t="e">
        <f t="shared" si="3"/>
        <v>#N/A</v>
      </c>
      <c r="AB34" s="907" t="e">
        <f t="shared" si="4"/>
        <v>#N/A</v>
      </c>
      <c r="AC34" s="1416" t="e">
        <f t="shared" si="5"/>
        <v>#N/A</v>
      </c>
    </row>
    <row r="35" spans="1:29" ht="15">
      <c r="A35" s="280"/>
      <c r="B35" s="252" t="s">
        <v>1605</v>
      </c>
      <c r="C35" s="275"/>
      <c r="D35" s="2902">
        <v>100</v>
      </c>
      <c r="E35" s="275"/>
      <c r="F35" s="908">
        <f>SUMIF(106:106,E35,107:107)-SUMIF(106:106,C35,107:107)+100</f>
        <v>100</v>
      </c>
      <c r="G35" s="275"/>
      <c r="H35" s="3751">
        <f>SUMIF(106:106,G35,107:107)-SUMIF(106:106,C35,107:107)+100</f>
        <v>100</v>
      </c>
      <c r="I35" s="275"/>
      <c r="J35" s="3751">
        <f>SUMIF(106:106,I35,107:107)-SUMIF(106:106,C35,107:107)+100</f>
        <v>100</v>
      </c>
      <c r="K35" s="394"/>
      <c r="L35" s="1980"/>
      <c r="M35" s="1975"/>
      <c r="N35" s="1975"/>
      <c r="O35" s="1975"/>
      <c r="P35" s="4545"/>
      <c r="Q35" s="1507" t="str">
        <f t="shared" si="11"/>
        <v>建筑结构</v>
      </c>
      <c r="R35" s="3735" t="s">
        <v>13</v>
      </c>
      <c r="S35" s="3157">
        <f t="shared" si="12"/>
        <v>100</v>
      </c>
      <c r="T35" s="3735" t="s">
        <v>13</v>
      </c>
      <c r="U35" s="3157">
        <f t="shared" si="13"/>
        <v>100</v>
      </c>
      <c r="V35" s="3735" t="s">
        <v>13</v>
      </c>
      <c r="W35" s="3157">
        <f t="shared" si="14"/>
        <v>100</v>
      </c>
      <c r="X35" s="909"/>
      <c r="Y35" s="4547"/>
      <c r="Z35" s="907" t="str">
        <f t="shared" si="15"/>
        <v>建筑结构</v>
      </c>
      <c r="AA35" s="907">
        <f t="shared" si="3"/>
        <v>1</v>
      </c>
      <c r="AB35" s="907">
        <f t="shared" si="4"/>
        <v>1</v>
      </c>
      <c r="AC35" s="1416">
        <f t="shared" si="5"/>
        <v>1</v>
      </c>
    </row>
    <row r="36" spans="1:29" ht="15">
      <c r="A36" s="280"/>
      <c r="B36" s="252" t="s">
        <v>1692</v>
      </c>
      <c r="C36" s="275"/>
      <c r="D36" s="2902">
        <v>100</v>
      </c>
      <c r="E36" s="275"/>
      <c r="F36" s="908">
        <f>SUMIF(108:108,E36,109:109)-SUMIF(108:108,C36,109:109)+100</f>
        <v>100</v>
      </c>
      <c r="G36" s="275"/>
      <c r="H36" s="3751">
        <f>SUMIF(108:108,G36,109:109)-SUMIF(108:108,C36,109:109)+100</f>
        <v>100</v>
      </c>
      <c r="I36" s="275"/>
      <c r="J36" s="3751">
        <f>SUMIF(108:108,I36,109:109)-SUMIF(108:108,C36,109:109)+100</f>
        <v>100</v>
      </c>
      <c r="K36" s="394"/>
      <c r="L36" s="1980"/>
      <c r="M36" s="1975"/>
      <c r="N36" s="1975"/>
      <c r="O36" s="1975"/>
      <c r="P36" s="4545"/>
      <c r="Q36" s="1507" t="str">
        <f t="shared" si="11"/>
        <v>公共部分装修</v>
      </c>
      <c r="R36" s="3735" t="s">
        <v>13</v>
      </c>
      <c r="S36" s="3157">
        <f t="shared" si="12"/>
        <v>100</v>
      </c>
      <c r="T36" s="3735" t="s">
        <v>13</v>
      </c>
      <c r="U36" s="3157">
        <f t="shared" si="13"/>
        <v>100</v>
      </c>
      <c r="V36" s="3735" t="s">
        <v>13</v>
      </c>
      <c r="W36" s="3157">
        <f t="shared" si="14"/>
        <v>100</v>
      </c>
      <c r="X36" s="909"/>
      <c r="Y36" s="4547"/>
      <c r="Z36" s="907" t="str">
        <f t="shared" si="15"/>
        <v>公共部分装修</v>
      </c>
      <c r="AA36" s="907">
        <f t="shared" si="3"/>
        <v>1</v>
      </c>
      <c r="AB36" s="907">
        <f t="shared" si="4"/>
        <v>1</v>
      </c>
      <c r="AC36" s="1416">
        <f t="shared" si="5"/>
        <v>1</v>
      </c>
    </row>
    <row r="37" spans="1:29" ht="15">
      <c r="A37" s="280"/>
      <c r="B37" s="252" t="s">
        <v>1693</v>
      </c>
      <c r="C37" s="282"/>
      <c r="D37" s="2902">
        <v>100</v>
      </c>
      <c r="E37" s="282"/>
      <c r="F37" s="908" t="e">
        <f>LOOKUP(E37,111:111,112:112)-LOOKUP(C37,111:111,112:112)+100</f>
        <v>#N/A</v>
      </c>
      <c r="G37" s="282"/>
      <c r="H37" s="908" t="e">
        <f>LOOKUP(G37,111:111,112:112)-LOOKUP(C37,111:111,112:112)+100</f>
        <v>#N/A</v>
      </c>
      <c r="I37" s="282"/>
      <c r="J37" s="3751" t="e">
        <f>LOOKUP(I37,111:111,112:112)-LOOKUP(C37,111:111,112:112)+100</f>
        <v>#N/A</v>
      </c>
      <c r="K37" s="394"/>
      <c r="L37" s="1980"/>
      <c r="M37" s="1975"/>
      <c r="N37" s="1975"/>
      <c r="O37" s="1975"/>
      <c r="P37" s="4545"/>
      <c r="Q37" s="1507" t="str">
        <f t="shared" si="11"/>
        <v>成新度</v>
      </c>
      <c r="R37" s="3735" t="s">
        <v>13</v>
      </c>
      <c r="S37" s="3157" t="e">
        <f t="shared" si="12"/>
        <v>#N/A</v>
      </c>
      <c r="T37" s="3735" t="s">
        <v>13</v>
      </c>
      <c r="U37" s="3157" t="e">
        <f t="shared" si="13"/>
        <v>#N/A</v>
      </c>
      <c r="V37" s="3735" t="s">
        <v>13</v>
      </c>
      <c r="W37" s="3157" t="e">
        <f t="shared" si="14"/>
        <v>#N/A</v>
      </c>
      <c r="X37" s="909"/>
      <c r="Y37" s="4547"/>
      <c r="Z37" s="907" t="str">
        <f t="shared" si="15"/>
        <v>成新度</v>
      </c>
      <c r="AA37" s="907" t="e">
        <f t="shared" si="3"/>
        <v>#N/A</v>
      </c>
      <c r="AB37" s="907" t="e">
        <f t="shared" si="4"/>
        <v>#N/A</v>
      </c>
      <c r="AC37" s="1416" t="e">
        <f t="shared" si="5"/>
        <v>#N/A</v>
      </c>
    </row>
    <row r="38" spans="1:29" s="46" customFormat="1" ht="15">
      <c r="A38" s="281"/>
      <c r="B38" s="252" t="s">
        <v>1725</v>
      </c>
      <c r="C38" s="275"/>
      <c r="D38" s="2900">
        <v>100</v>
      </c>
      <c r="E38" s="275"/>
      <c r="F38" s="908">
        <f>SUMIF(113:113,E38,114:114)-SUMIF(113:113,C38,114:114)+100</f>
        <v>100</v>
      </c>
      <c r="G38" s="275"/>
      <c r="H38" s="3751">
        <f>SUMIF(113:113,G38,114:114)-SUMIF(113:113,C38,114:114)+100</f>
        <v>100</v>
      </c>
      <c r="I38" s="275"/>
      <c r="J38" s="3751">
        <f>SUMIF(113:113,I38,114:114)-SUMIF(113:113,C38,114:114)+100</f>
        <v>100</v>
      </c>
      <c r="K38" s="394"/>
      <c r="L38" s="1976"/>
      <c r="M38" s="1929"/>
      <c r="N38" s="1929"/>
      <c r="O38" s="1929"/>
      <c r="P38" s="4545"/>
      <c r="Q38" s="1698" t="str">
        <f t="shared" si="11"/>
        <v>写字楼等级</v>
      </c>
      <c r="R38" s="3633" t="s">
        <v>13</v>
      </c>
      <c r="S38" s="3156">
        <f t="shared" si="12"/>
        <v>100</v>
      </c>
      <c r="T38" s="3633" t="s">
        <v>13</v>
      </c>
      <c r="U38" s="3156">
        <f t="shared" si="13"/>
        <v>100</v>
      </c>
      <c r="V38" s="3633" t="s">
        <v>13</v>
      </c>
      <c r="W38" s="3156">
        <f t="shared" si="14"/>
        <v>100</v>
      </c>
      <c r="X38" s="482"/>
      <c r="Y38" s="4547"/>
      <c r="Z38" s="28" t="str">
        <f t="shared" si="15"/>
        <v>写字楼等级</v>
      </c>
      <c r="AA38" s="28">
        <f t="shared" si="3"/>
        <v>1</v>
      </c>
      <c r="AB38" s="28">
        <f t="shared" si="4"/>
        <v>1</v>
      </c>
      <c r="AC38" s="545">
        <f t="shared" si="5"/>
        <v>1</v>
      </c>
    </row>
    <row r="39" spans="1:29" ht="15">
      <c r="A39" s="280"/>
      <c r="B39" s="252" t="s">
        <v>1726</v>
      </c>
      <c r="C39" s="275"/>
      <c r="D39" s="2902">
        <v>100</v>
      </c>
      <c r="E39" s="275"/>
      <c r="F39" s="908">
        <f>SUMIF(115:115,E39,116:116)-SUMIF(115:115,C39,116:116)+100</f>
        <v>100</v>
      </c>
      <c r="G39" s="275"/>
      <c r="H39" s="3751">
        <f>SUMIF(115:115,G39,116:116)-SUMIF(115:115,C39,116:116)+100</f>
        <v>100</v>
      </c>
      <c r="I39" s="275"/>
      <c r="J39" s="3751">
        <f>SUMIF(115:115,I39,116:116)-SUMIF(115:115,C39,116:116)+100</f>
        <v>100</v>
      </c>
      <c r="K39" s="394"/>
      <c r="L39" s="1980"/>
      <c r="M39" s="1975"/>
      <c r="N39" s="1975"/>
      <c r="O39" s="1975"/>
      <c r="P39" s="4545" t="s">
        <v>1603</v>
      </c>
      <c r="Q39" s="1507" t="str">
        <f t="shared" si="11"/>
        <v>物业管理</v>
      </c>
      <c r="R39" s="3735" t="s">
        <v>13</v>
      </c>
      <c r="S39" s="3157">
        <f t="shared" si="12"/>
        <v>100</v>
      </c>
      <c r="T39" s="3735" t="s">
        <v>13</v>
      </c>
      <c r="U39" s="3157">
        <f t="shared" si="13"/>
        <v>100</v>
      </c>
      <c r="V39" s="3735" t="s">
        <v>13</v>
      </c>
      <c r="W39" s="3157">
        <f t="shared" si="14"/>
        <v>100</v>
      </c>
      <c r="X39" s="909"/>
      <c r="Y39" s="4547" t="s">
        <v>1603</v>
      </c>
      <c r="Z39" s="907" t="str">
        <f t="shared" si="15"/>
        <v>物业管理</v>
      </c>
      <c r="AA39" s="907">
        <f t="shared" si="3"/>
        <v>1</v>
      </c>
      <c r="AB39" s="907">
        <f t="shared" si="4"/>
        <v>1</v>
      </c>
      <c r="AC39" s="1416">
        <f t="shared" si="5"/>
        <v>1</v>
      </c>
    </row>
    <row r="40" spans="1:29" ht="15">
      <c r="A40" s="280"/>
      <c r="B40" s="252" t="s">
        <v>1694</v>
      </c>
      <c r="C40" s="275"/>
      <c r="D40" s="2902">
        <v>100</v>
      </c>
      <c r="E40" s="275"/>
      <c r="F40" s="908">
        <f>SUMIF(117:117,E40,118:118)-SUMIF(117:117,C40,118:118)+100</f>
        <v>100</v>
      </c>
      <c r="G40" s="275"/>
      <c r="H40" s="3751">
        <f>SUMIF(117:117,G40,118:118)-SUMIF(117:117,C40,118:118)+100</f>
        <v>100</v>
      </c>
      <c r="I40" s="275"/>
      <c r="J40" s="3751">
        <f>SUMIF(117:117,I40,118:118)-SUMIF(117:117,C40,118:118)+100</f>
        <v>100</v>
      </c>
      <c r="K40" s="394"/>
      <c r="L40" s="1980"/>
      <c r="M40" s="1975"/>
      <c r="N40" s="1975"/>
      <c r="O40" s="1975"/>
      <c r="P40" s="4545"/>
      <c r="Q40" s="1507" t="str">
        <f t="shared" si="11"/>
        <v>市政基础设施</v>
      </c>
      <c r="R40" s="3735" t="s">
        <v>13</v>
      </c>
      <c r="S40" s="3157">
        <f t="shared" si="12"/>
        <v>100</v>
      </c>
      <c r="T40" s="3735" t="s">
        <v>13</v>
      </c>
      <c r="U40" s="3157">
        <f t="shared" si="13"/>
        <v>100</v>
      </c>
      <c r="V40" s="3735" t="s">
        <v>13</v>
      </c>
      <c r="W40" s="3157">
        <f t="shared" si="14"/>
        <v>100</v>
      </c>
      <c r="X40" s="909"/>
      <c r="Y40" s="4547"/>
      <c r="Z40" s="907" t="str">
        <f t="shared" si="15"/>
        <v>市政基础设施</v>
      </c>
      <c r="AA40" s="907">
        <f t="shared" si="3"/>
        <v>1</v>
      </c>
      <c r="AB40" s="907">
        <f t="shared" si="4"/>
        <v>1</v>
      </c>
      <c r="AC40" s="1416">
        <f t="shared" si="5"/>
        <v>1</v>
      </c>
    </row>
    <row r="41" spans="1:29" ht="15">
      <c r="A41" s="280"/>
      <c r="B41" s="252" t="s">
        <v>1696</v>
      </c>
      <c r="C41" s="398"/>
      <c r="D41" s="2902">
        <v>100</v>
      </c>
      <c r="E41" s="398"/>
      <c r="F41" s="908">
        <f>SUMIF(119:119,E41,120:120)-SUMIF(119:119,C41,120:120)+100</f>
        <v>100</v>
      </c>
      <c r="G41" s="398"/>
      <c r="H41" s="3751">
        <f>SUMIF(119:119,G41,120:120)-SUMIF(119:119,C41,120:120)+100</f>
        <v>100</v>
      </c>
      <c r="I41" s="398"/>
      <c r="J41" s="3751">
        <f>SUMIF(119:119,I41,120:120)-SUMIF(119:119,C41,120:120)+100</f>
        <v>100</v>
      </c>
      <c r="K41" s="394"/>
      <c r="L41" s="1980"/>
      <c r="M41" s="1975"/>
      <c r="N41" s="1975"/>
      <c r="O41" s="1975"/>
      <c r="P41" s="4545"/>
      <c r="Q41" s="1507" t="str">
        <f t="shared" si="11"/>
        <v>层高</v>
      </c>
      <c r="R41" s="3735" t="s">
        <v>13</v>
      </c>
      <c r="S41" s="3157">
        <f t="shared" si="12"/>
        <v>100</v>
      </c>
      <c r="T41" s="3735" t="s">
        <v>13</v>
      </c>
      <c r="U41" s="3157">
        <f t="shared" si="13"/>
        <v>100</v>
      </c>
      <c r="V41" s="3735" t="s">
        <v>13</v>
      </c>
      <c r="W41" s="3157">
        <f t="shared" si="14"/>
        <v>100</v>
      </c>
      <c r="X41" s="909"/>
      <c r="Y41" s="4547"/>
      <c r="Z41" s="907" t="str">
        <f t="shared" si="15"/>
        <v>层高</v>
      </c>
      <c r="AA41" s="907">
        <f t="shared" si="3"/>
        <v>1</v>
      </c>
      <c r="AB41" s="907">
        <f t="shared" si="4"/>
        <v>1</v>
      </c>
      <c r="AC41" s="1416">
        <f t="shared" si="5"/>
        <v>1</v>
      </c>
    </row>
    <row r="42" spans="1:29" s="279" customFormat="1" ht="15">
      <c r="A42" s="277"/>
      <c r="B42" s="908" t="s">
        <v>1727</v>
      </c>
      <c r="C42" s="259"/>
      <c r="D42" s="2902">
        <v>100</v>
      </c>
      <c r="E42" s="259"/>
      <c r="F42" s="908">
        <f>SUMIF(121:121,E42,122:122)-SUMIF(121:121,C42,122:122)+100</f>
        <v>100</v>
      </c>
      <c r="G42" s="259"/>
      <c r="H42" s="3751">
        <f>SUMIF(121:121,G42,122:122)-SUMIF(121:121,C42,122:122)+100</f>
        <v>100</v>
      </c>
      <c r="I42" s="259"/>
      <c r="J42" s="3751">
        <f>SUMIF(121:121,I42,122:122)-SUMIF(121:121,C42,122:122)+100</f>
        <v>100</v>
      </c>
      <c r="K42" s="395"/>
      <c r="L42" s="1979"/>
      <c r="M42" s="1981"/>
      <c r="N42" s="1981"/>
      <c r="O42" s="1981"/>
      <c r="P42" s="4545"/>
      <c r="Q42" s="2864" t="str">
        <f t="shared" si="11"/>
        <v>单套建筑面积</v>
      </c>
      <c r="R42" s="3736" t="s">
        <v>13</v>
      </c>
      <c r="S42" s="3158">
        <f t="shared" si="12"/>
        <v>100</v>
      </c>
      <c r="T42" s="3736" t="s">
        <v>13</v>
      </c>
      <c r="U42" s="3158">
        <f t="shared" si="13"/>
        <v>100</v>
      </c>
      <c r="V42" s="3736" t="s">
        <v>13</v>
      </c>
      <c r="W42" s="3158">
        <f t="shared" si="14"/>
        <v>100</v>
      </c>
      <c r="X42" s="484"/>
      <c r="Y42" s="4547"/>
      <c r="Z42" s="485" t="str">
        <f t="shared" si="15"/>
        <v>单套建筑面积</v>
      </c>
      <c r="AA42" s="907">
        <f t="shared" si="3"/>
        <v>1</v>
      </c>
      <c r="AB42" s="907">
        <f t="shared" si="4"/>
        <v>1</v>
      </c>
      <c r="AC42" s="1416">
        <f t="shared" si="5"/>
        <v>1</v>
      </c>
    </row>
    <row r="43" spans="1:29" ht="15">
      <c r="A43" s="280"/>
      <c r="B43" s="252" t="s">
        <v>1699</v>
      </c>
      <c r="C43" s="275"/>
      <c r="D43" s="2902">
        <v>100</v>
      </c>
      <c r="E43" s="275"/>
      <c r="F43" s="908">
        <f>SUMIF(123:123,E43,124:124)-SUMIF(123:123,C43,124:124)+100</f>
        <v>100</v>
      </c>
      <c r="G43" s="275"/>
      <c r="H43" s="3751">
        <f>SUMIF(123:123,G43,124:124)-SUMIF(123:123,C43,124:124)+100</f>
        <v>100</v>
      </c>
      <c r="I43" s="275"/>
      <c r="J43" s="3751">
        <f>SUMIF(123:123,I43,124:124)-SUMIF(123:123,C43,124:124)+100</f>
        <v>100</v>
      </c>
      <c r="K43" s="394"/>
      <c r="L43" s="1980"/>
      <c r="M43" s="1975"/>
      <c r="N43" s="1975"/>
      <c r="O43" s="1975"/>
      <c r="P43" s="4545"/>
      <c r="Q43" s="1507" t="str">
        <f t="shared" si="11"/>
        <v>内部装修</v>
      </c>
      <c r="R43" s="3735" t="s">
        <v>13</v>
      </c>
      <c r="S43" s="3157">
        <f t="shared" si="12"/>
        <v>100</v>
      </c>
      <c r="T43" s="3735" t="s">
        <v>13</v>
      </c>
      <c r="U43" s="3157">
        <f t="shared" si="13"/>
        <v>100</v>
      </c>
      <c r="V43" s="3735" t="s">
        <v>13</v>
      </c>
      <c r="W43" s="3157">
        <f t="shared" si="14"/>
        <v>100</v>
      </c>
      <c r="X43" s="909"/>
      <c r="Y43" s="4547"/>
      <c r="Z43" s="907" t="str">
        <f t="shared" si="15"/>
        <v>内部装修</v>
      </c>
      <c r="AA43" s="907">
        <f t="shared" si="3"/>
        <v>1</v>
      </c>
      <c r="AB43" s="907">
        <f t="shared" si="4"/>
        <v>1</v>
      </c>
      <c r="AC43" s="1416">
        <f t="shared" si="5"/>
        <v>1</v>
      </c>
    </row>
    <row r="44" spans="1:29" ht="15">
      <c r="A44" s="280"/>
      <c r="B44" s="252" t="s">
        <v>1614</v>
      </c>
      <c r="C44" s="275"/>
      <c r="D44" s="2902">
        <v>100</v>
      </c>
      <c r="E44" s="1369"/>
      <c r="F44" s="908">
        <f>SUMIF(125:125,E44,126:126)-SUMIF(125:125,C44,126:126)+100</f>
        <v>100</v>
      </c>
      <c r="G44" s="1369"/>
      <c r="H44" s="3751">
        <f>SUMIF(125:125,G44,126:126)-SUMIF(125:125,C44,126:126)+100</f>
        <v>100</v>
      </c>
      <c r="I44" s="1369"/>
      <c r="J44" s="3751">
        <f>SUMIF(125:125,I44,126:126)-SUMIF(125:125,C44,126:126)+100</f>
        <v>100</v>
      </c>
      <c r="K44" s="394"/>
      <c r="L44" s="1980"/>
      <c r="M44" s="1975"/>
      <c r="N44" s="1975"/>
      <c r="O44" s="1975"/>
      <c r="P44" s="4545"/>
      <c r="Q44" s="1507" t="str">
        <f t="shared" si="11"/>
        <v>内部装修维护情况</v>
      </c>
      <c r="R44" s="3735" t="s">
        <v>13</v>
      </c>
      <c r="S44" s="3157">
        <f t="shared" si="12"/>
        <v>100</v>
      </c>
      <c r="T44" s="3735" t="s">
        <v>13</v>
      </c>
      <c r="U44" s="3157">
        <f t="shared" si="13"/>
        <v>100</v>
      </c>
      <c r="V44" s="3735" t="s">
        <v>13</v>
      </c>
      <c r="W44" s="3157">
        <f t="shared" si="14"/>
        <v>100</v>
      </c>
      <c r="X44" s="909"/>
      <c r="Y44" s="4547"/>
      <c r="Z44" s="907" t="str">
        <f t="shared" si="15"/>
        <v>内部装修维护情况</v>
      </c>
      <c r="AA44" s="907">
        <f t="shared" si="3"/>
        <v>1</v>
      </c>
      <c r="AB44" s="907">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45"/>
      <c r="Q45" s="1698">
        <f t="shared" si="11"/>
        <v>111</v>
      </c>
      <c r="R45" s="3633" t="s">
        <v>13</v>
      </c>
      <c r="S45" s="3156">
        <f t="shared" si="12"/>
        <v>100</v>
      </c>
      <c r="T45" s="3633" t="s">
        <v>13</v>
      </c>
      <c r="U45" s="3156">
        <f t="shared" si="13"/>
        <v>100</v>
      </c>
      <c r="V45" s="3633" t="s">
        <v>13</v>
      </c>
      <c r="W45" s="3156">
        <f t="shared" si="14"/>
        <v>100</v>
      </c>
      <c r="X45" s="482"/>
      <c r="Y45" s="4547"/>
      <c r="Z45" s="28">
        <f t="shared" si="15"/>
        <v>111</v>
      </c>
      <c r="AA45" s="28">
        <f t="shared" si="3"/>
        <v>1</v>
      </c>
      <c r="AB45" s="28">
        <f t="shared" si="4"/>
        <v>1</v>
      </c>
      <c r="AC45" s="545">
        <f t="shared" si="5"/>
        <v>1</v>
      </c>
    </row>
    <row r="46" spans="1:29" ht="15">
      <c r="A46" s="280"/>
      <c r="B46" s="761">
        <v>111</v>
      </c>
      <c r="C46" s="259"/>
      <c r="D46" s="2902">
        <v>100</v>
      </c>
      <c r="E46" s="258"/>
      <c r="F46" s="908">
        <f>SUMIF(129:129,E46,130:130)-SUMIF(129:129,C46,130:130)+100</f>
        <v>100</v>
      </c>
      <c r="G46" s="258"/>
      <c r="H46" s="3751">
        <f>SUMIF(129:129,G46,130:130)-SUMIF(129:129,C46,130:130)+100</f>
        <v>100</v>
      </c>
      <c r="I46" s="258"/>
      <c r="J46" s="3751">
        <f>SUMIF(129:129,I46,130:130)-SUMIF(129:129,C46,130:130)+100</f>
        <v>100</v>
      </c>
      <c r="K46" s="395"/>
      <c r="L46" s="1980"/>
      <c r="M46" s="1975"/>
      <c r="N46" s="1975"/>
      <c r="O46" s="1975"/>
      <c r="P46" s="4545"/>
      <c r="Q46" s="1507">
        <f t="shared" si="11"/>
        <v>111</v>
      </c>
      <c r="R46" s="3735" t="s">
        <v>13</v>
      </c>
      <c r="S46" s="3157">
        <f t="shared" si="12"/>
        <v>100</v>
      </c>
      <c r="T46" s="3735" t="s">
        <v>13</v>
      </c>
      <c r="U46" s="3157">
        <f t="shared" si="13"/>
        <v>100</v>
      </c>
      <c r="V46" s="3735" t="s">
        <v>13</v>
      </c>
      <c r="W46" s="3157">
        <f t="shared" si="14"/>
        <v>100</v>
      </c>
      <c r="X46" s="909"/>
      <c r="Y46" s="4547"/>
      <c r="Z46" s="907">
        <f t="shared" si="15"/>
        <v>111</v>
      </c>
      <c r="AA46" s="907">
        <f t="shared" si="3"/>
        <v>1</v>
      </c>
      <c r="AB46" s="907">
        <f t="shared" si="4"/>
        <v>1</v>
      </c>
      <c r="AC46" s="1416">
        <f t="shared" si="5"/>
        <v>1</v>
      </c>
    </row>
    <row r="47" spans="1:29" ht="15.75" thickBot="1">
      <c r="A47" s="285"/>
      <c r="B47" s="1361">
        <v>111</v>
      </c>
      <c r="C47" s="261"/>
      <c r="D47" s="2903">
        <v>100</v>
      </c>
      <c r="E47" s="258"/>
      <c r="F47" s="3752">
        <f>SUMIF(131:131,E47,132:132)-SUMIF(131:131,C47,132:132)+100</f>
        <v>100</v>
      </c>
      <c r="G47" s="258"/>
      <c r="H47" s="3748">
        <f>SUMIF(131:131,G47,132:132)-SUMIF(131:131,C47,132:132)+100</f>
        <v>100</v>
      </c>
      <c r="I47" s="258"/>
      <c r="J47" s="3748">
        <f>SUMIF(131:131,I47,132:132)-SUMIF(131:131,C47,132:132)+100</f>
        <v>100</v>
      </c>
      <c r="K47" s="395"/>
      <c r="L47" s="1980"/>
      <c r="M47" s="1975"/>
      <c r="N47" s="1975"/>
      <c r="O47" s="1975"/>
      <c r="P47" s="4546"/>
      <c r="Q47" s="1507">
        <f t="shared" si="11"/>
        <v>111</v>
      </c>
      <c r="R47" s="3735" t="s">
        <v>13</v>
      </c>
      <c r="S47" s="3157">
        <f t="shared" si="12"/>
        <v>100</v>
      </c>
      <c r="T47" s="3735" t="s">
        <v>13</v>
      </c>
      <c r="U47" s="3157">
        <f t="shared" si="13"/>
        <v>100</v>
      </c>
      <c r="V47" s="3735" t="s">
        <v>13</v>
      </c>
      <c r="W47" s="3157">
        <f t="shared" si="14"/>
        <v>100</v>
      </c>
      <c r="X47" s="909"/>
      <c r="Y47" s="4548"/>
      <c r="Z47" s="907">
        <f t="shared" si="15"/>
        <v>111</v>
      </c>
      <c r="AA47" s="907">
        <f t="shared" si="3"/>
        <v>1</v>
      </c>
      <c r="AB47" s="907">
        <f t="shared" si="4"/>
        <v>1</v>
      </c>
      <c r="AC47" s="1416">
        <f t="shared" si="5"/>
        <v>1</v>
      </c>
    </row>
    <row r="48" spans="1:29" ht="15">
      <c r="A48" s="286" t="s">
        <v>1615</v>
      </c>
      <c r="B48" s="287"/>
      <c r="C48" s="765" t="s">
        <v>0</v>
      </c>
      <c r="D48" s="288"/>
      <c r="E48" s="3205"/>
      <c r="F48" s="3153"/>
      <c r="G48" s="3206"/>
      <c r="H48" s="3154"/>
      <c r="I48" s="3205"/>
      <c r="J48" s="3154"/>
      <c r="K48" s="2862"/>
      <c r="L48" s="1982"/>
      <c r="M48" s="1975"/>
      <c r="N48" s="1975"/>
      <c r="O48" s="1975"/>
      <c r="P48" s="4516" t="str">
        <f>A48</f>
        <v>成交单价（元/平方米）</v>
      </c>
      <c r="Q48" s="4549"/>
      <c r="R48" s="4550">
        <f>E48</f>
        <v>0</v>
      </c>
      <c r="S48" s="4550"/>
      <c r="T48" s="4550">
        <f>G48</f>
        <v>0</v>
      </c>
      <c r="U48" s="4550"/>
      <c r="V48" s="4550">
        <f>I48</f>
        <v>0</v>
      </c>
      <c r="W48" s="4550"/>
      <c r="X48" s="265"/>
      <c r="Y48" s="486"/>
      <c r="Z48" s="265"/>
      <c r="AA48" s="265"/>
      <c r="AB48" s="265"/>
      <c r="AC48" s="404"/>
    </row>
    <row r="49" spans="1:29" ht="15.75" thickBot="1">
      <c r="A49" s="289" t="s">
        <v>1700</v>
      </c>
      <c r="B49" s="290"/>
      <c r="C49" s="3733" t="e">
        <f>R50</f>
        <v>#DIV/0!</v>
      </c>
      <c r="D49" s="3846" t="s">
        <v>2041</v>
      </c>
      <c r="E49" s="3744" t="e">
        <f>R49</f>
        <v>#DIV/0!</v>
      </c>
      <c r="F49" s="2801"/>
      <c r="G49" s="3733" t="e">
        <f>T49</f>
        <v>#DIV/0!</v>
      </c>
      <c r="H49" s="2801"/>
      <c r="I49" s="3744" t="e">
        <f>V49</f>
        <v>#DIV/0!</v>
      </c>
      <c r="J49" s="2801"/>
      <c r="K49" s="2855">
        <f>F49+H49+J49</f>
        <v>0</v>
      </c>
      <c r="L49" s="1982"/>
      <c r="M49" s="1975"/>
      <c r="N49" s="1975"/>
      <c r="O49" s="1975"/>
      <c r="P49" s="4516" t="str">
        <f>A49</f>
        <v>比较价值（元/平方米）</v>
      </c>
      <c r="Q49" s="4549"/>
      <c r="R49" s="4550" t="e">
        <f>IF(F1="售价",ROUND(PRODUCT(R48,AA7:AA47),0),ROUND(PRODUCT(R48,AA7:AA47),1))</f>
        <v>#DIV/0!</v>
      </c>
      <c r="S49" s="4550"/>
      <c r="T49" s="4550" t="e">
        <f>IF(F1="售价",ROUND(PRODUCT(T48,AB7:AB47),0),ROUND(PRODUCT(T48,AB7:AB47),1))</f>
        <v>#DIV/0!</v>
      </c>
      <c r="U49" s="4550"/>
      <c r="V49" s="4550" t="e">
        <f>IF(F1="售价",ROUND(PRODUCT(V48,AC7:AC47),0),ROUND(PRODUCT(V48,AC7:AC47),1))</f>
        <v>#DIV/0!</v>
      </c>
      <c r="W49" s="4550"/>
      <c r="X49" s="265"/>
      <c r="Y49" s="265"/>
      <c r="Z49" s="265"/>
      <c r="AA49" s="265"/>
      <c r="AB49" s="265"/>
      <c r="AC49" s="404"/>
    </row>
    <row r="50" spans="1:29" ht="15.75" thickBot="1">
      <c r="A50" s="291" t="s">
        <v>1701</v>
      </c>
      <c r="B50" s="292"/>
      <c r="C50" s="3745" t="e">
        <f>R50</f>
        <v>#DIV/0!</v>
      </c>
      <c r="D50" s="241"/>
      <c r="E50" s="241"/>
      <c r="F50" s="241"/>
      <c r="G50" s="241"/>
      <c r="H50" s="241"/>
      <c r="I50" s="241"/>
      <c r="J50" s="293"/>
      <c r="K50" s="487"/>
      <c r="L50" s="1982"/>
      <c r="M50" s="1975"/>
      <c r="N50" s="1975"/>
      <c r="O50" s="1975"/>
      <c r="P50" s="4615" t="str">
        <f>A50</f>
        <v>估价对象XX用房的比较价值（楼面单价，元/平方米）</v>
      </c>
      <c r="Q50" s="4616"/>
      <c r="R50" s="4617" t="e">
        <f>IF(F1="售价",ROUND(IF(D49="简单平均",AVERAGE(R49:V49),R49*F49+T49*H49+V49*J49),0),ROUND(IF(D49="简单平均",AVERAGE(R49:V49),R49*F49+T49*H49+V49*J49),1))</f>
        <v>#DIV/0!</v>
      </c>
      <c r="S50" s="4617"/>
      <c r="T50" s="4617"/>
      <c r="U50" s="4617"/>
      <c r="V50" s="4617"/>
      <c r="W50" s="4617"/>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2026-1</v>
      </c>
      <c r="D59" s="782">
        <f>EDATE(C59,-1)</f>
        <v>45992</v>
      </c>
      <c r="E59" s="782">
        <f>EDATE(D59,-1)</f>
        <v>45962</v>
      </c>
      <c r="F59" s="782">
        <f t="shared" ref="F59:O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f t="shared" si="16"/>
        <v>45689</v>
      </c>
      <c r="O59" s="782">
        <f t="shared" si="16"/>
        <v>45658</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3865</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7" customWidth="1"/>
    <col min="17" max="17" width="19.5" style="3187" customWidth="1"/>
    <col min="18" max="18" width="6.125" style="3187" customWidth="1"/>
    <col min="19" max="19" width="4.375" style="3187" customWidth="1"/>
    <col min="20" max="20" width="6.125" style="3187" customWidth="1"/>
    <col min="21" max="21" width="4.375" style="3187" customWidth="1"/>
    <col min="22" max="22" width="6.125" style="3187" customWidth="1"/>
    <col min="23" max="23" width="4.375" style="318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5"/>
      <c r="Q1" s="3185"/>
      <c r="R1" s="3185"/>
      <c r="S1" s="3185"/>
      <c r="T1" s="3185"/>
      <c r="U1" s="3185"/>
      <c r="V1" s="3185"/>
      <c r="W1" s="3185"/>
      <c r="X1" s="812"/>
      <c r="Y1" s="812"/>
      <c r="Z1" s="812"/>
      <c r="AA1" s="812"/>
      <c r="AB1" s="812"/>
      <c r="AC1" s="820"/>
    </row>
    <row r="2" spans="1:29" s="233" customFormat="1" ht="28.5" customHeight="1" thickTop="1" thickBot="1">
      <c r="A2" s="809" t="s">
        <v>1431</v>
      </c>
      <c r="B2" s="3714">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138.79</v>
      </c>
      <c r="E3" s="3847" t="s">
        <v>3466</v>
      </c>
      <c r="F3" s="3848">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ht="15">
      <c r="A4" s="235" t="s">
        <v>1676</v>
      </c>
      <c r="B4" s="236"/>
      <c r="C4" s="4603" t="s">
        <v>1677</v>
      </c>
      <c r="D4" s="4604"/>
      <c r="E4" s="4605" t="s">
        <v>1678</v>
      </c>
      <c r="F4" s="4606"/>
      <c r="G4" s="4603" t="s">
        <v>1679</v>
      </c>
      <c r="H4" s="4604"/>
      <c r="I4" s="4603" t="s">
        <v>1680</v>
      </c>
      <c r="J4" s="4604"/>
      <c r="K4" s="393" t="s">
        <v>1681</v>
      </c>
      <c r="L4" s="592"/>
      <c r="M4" s="593"/>
      <c r="N4" s="593"/>
      <c r="O4" s="593"/>
      <c r="P4" s="4522" t="s">
        <v>1682</v>
      </c>
      <c r="Q4" s="4523"/>
      <c r="R4" s="4504" t="s">
        <v>1678</v>
      </c>
      <c r="S4" s="4505"/>
      <c r="T4" s="4504" t="s">
        <v>1679</v>
      </c>
      <c r="U4" s="4505"/>
      <c r="V4" s="4530" t="s">
        <v>1680</v>
      </c>
      <c r="W4" s="4530"/>
      <c r="X4" s="909"/>
      <c r="Y4" s="4533" t="s">
        <v>1682</v>
      </c>
      <c r="Z4" s="4534"/>
      <c r="AA4" s="4498" t="s">
        <v>1678</v>
      </c>
      <c r="AB4" s="4499" t="s">
        <v>1679</v>
      </c>
      <c r="AC4" s="4498" t="s">
        <v>1680</v>
      </c>
    </row>
    <row r="5" spans="1:29" ht="15">
      <c r="A5" s="238"/>
      <c r="B5" s="239"/>
      <c r="C5" s="4594" t="s">
        <v>1580</v>
      </c>
      <c r="D5" s="4595"/>
      <c r="E5" s="4592" t="s">
        <v>1581</v>
      </c>
      <c r="F5" s="4593"/>
      <c r="G5" s="4594" t="s">
        <v>1582</v>
      </c>
      <c r="H5" s="4595"/>
      <c r="I5" s="4594" t="s">
        <v>1583</v>
      </c>
      <c r="J5" s="4595"/>
      <c r="K5" s="393"/>
      <c r="L5" s="592"/>
      <c r="M5" s="593"/>
      <c r="N5" s="593"/>
      <c r="O5" s="593"/>
      <c r="P5" s="4524"/>
      <c r="Q5" s="4525"/>
      <c r="R5" s="4506"/>
      <c r="S5" s="4507"/>
      <c r="T5" s="4506"/>
      <c r="U5" s="4507"/>
      <c r="V5" s="4530"/>
      <c r="W5" s="4530"/>
      <c r="X5" s="909"/>
      <c r="Y5" s="4535"/>
      <c r="Z5" s="4536"/>
      <c r="AA5" s="4499"/>
      <c r="AB5" s="4499"/>
      <c r="AC5" s="4499"/>
    </row>
    <row r="6" spans="1:29" ht="15.75" thickBot="1">
      <c r="A6" s="240"/>
      <c r="B6" s="241"/>
      <c r="C6" s="4596" t="s">
        <v>1584</v>
      </c>
      <c r="D6" s="4597"/>
      <c r="E6" s="4598" t="s">
        <v>1584</v>
      </c>
      <c r="F6" s="4599"/>
      <c r="G6" s="4596" t="s">
        <v>1584</v>
      </c>
      <c r="H6" s="4597"/>
      <c r="I6" s="4596" t="s">
        <v>1584</v>
      </c>
      <c r="J6" s="4597"/>
      <c r="K6" s="393" t="s">
        <v>1585</v>
      </c>
      <c r="L6" s="592"/>
      <c r="M6" s="593"/>
      <c r="N6" s="593"/>
      <c r="O6" s="593"/>
      <c r="P6" s="4526"/>
      <c r="Q6" s="4527"/>
      <c r="R6" s="4506"/>
      <c r="S6" s="4507"/>
      <c r="T6" s="4528"/>
      <c r="U6" s="4529"/>
      <c r="V6" s="4530"/>
      <c r="W6" s="4530"/>
      <c r="X6" s="909"/>
      <c r="Y6" s="4537"/>
      <c r="Z6" s="4538"/>
      <c r="AA6" s="4500"/>
      <c r="AB6" s="4500"/>
      <c r="AC6" s="4500"/>
    </row>
    <row r="7" spans="1:29" s="46" customFormat="1" ht="15.75" thickBot="1">
      <c r="A7" s="242" t="s">
        <v>1586</v>
      </c>
      <c r="B7" s="243"/>
      <c r="C7" s="244">
        <f>'数据-取费表'!B2</f>
        <v>46050</v>
      </c>
      <c r="D7" s="2898">
        <v>100</v>
      </c>
      <c r="E7" s="245"/>
      <c r="F7" s="3747">
        <f>SUMIF(52:52,YEAR(E7)&amp;"-"&amp;MONTH(E7),53:53)</f>
        <v>0</v>
      </c>
      <c r="G7" s="245"/>
      <c r="H7" s="3753">
        <f>SUMIF(52:52,YEAR(G7)&amp;"-"&amp;MONTH(G7),53:53)</f>
        <v>0</v>
      </c>
      <c r="I7" s="245"/>
      <c r="J7" s="3753">
        <f>SUMIF(52:52,YEAR(I7)&amp;"-"&amp;MONTH(I7),53:53)</f>
        <v>0</v>
      </c>
      <c r="K7" s="22"/>
      <c r="L7" s="594"/>
      <c r="M7" s="595"/>
      <c r="N7" s="595"/>
      <c r="O7" s="595"/>
      <c r="P7" s="4531" t="s">
        <v>1587</v>
      </c>
      <c r="Q7" s="4539"/>
      <c r="R7" s="3759" t="s">
        <v>13</v>
      </c>
      <c r="S7" s="3542">
        <f t="shared" ref="S7:S15" si="0">F7</f>
        <v>0</v>
      </c>
      <c r="T7" s="3759" t="s">
        <v>13</v>
      </c>
      <c r="U7" s="3542">
        <f t="shared" ref="U7:U15" si="1">H7</f>
        <v>0</v>
      </c>
      <c r="V7" s="3759" t="s">
        <v>13</v>
      </c>
      <c r="W7" s="3542">
        <f t="shared" ref="W7:W15" si="2">J7</f>
        <v>0</v>
      </c>
      <c r="X7" s="482"/>
      <c r="Y7" s="4502" t="s">
        <v>1587</v>
      </c>
      <c r="Z7" s="4503"/>
      <c r="AA7" s="28" t="e">
        <f>D7/F7</f>
        <v>#DIV/0!</v>
      </c>
      <c r="AB7" s="28" t="e">
        <f>D7/H7</f>
        <v>#DIV/0!</v>
      </c>
      <c r="AC7" s="28" t="e">
        <f>D7/J7</f>
        <v>#DIV/0!</v>
      </c>
    </row>
    <row r="8" spans="1:29" s="46" customFormat="1" ht="15.75" thickBot="1">
      <c r="A8" s="242" t="s">
        <v>1588</v>
      </c>
      <c r="B8" s="243"/>
      <c r="C8" s="246"/>
      <c r="D8" s="2898">
        <v>100</v>
      </c>
      <c r="E8" s="246"/>
      <c r="F8" s="3747">
        <f>SUMIF(55:55,E8,56:56)-SUMIF(55:55,C8,56:56)+100</f>
        <v>100</v>
      </c>
      <c r="G8" s="246"/>
      <c r="H8" s="3753">
        <f>SUMIF(55:55,G8,56:56)-SUMIF(55:55,C8,56:56)+100</f>
        <v>100</v>
      </c>
      <c r="I8" s="246"/>
      <c r="J8" s="3753">
        <f>SUMIF(55:55,I8,56:56)-SUMIF(55:55,C8,56:56)+100</f>
        <v>100</v>
      </c>
      <c r="K8" s="22"/>
      <c r="L8" s="594"/>
      <c r="M8" s="595"/>
      <c r="N8" s="595"/>
      <c r="O8" s="595"/>
      <c r="P8" s="4531" t="s">
        <v>1590</v>
      </c>
      <c r="Q8" s="4532"/>
      <c r="R8" s="3759" t="s">
        <v>13</v>
      </c>
      <c r="S8" s="3542">
        <f t="shared" si="0"/>
        <v>100</v>
      </c>
      <c r="T8" s="3759" t="s">
        <v>13</v>
      </c>
      <c r="U8" s="3542">
        <f t="shared" si="1"/>
        <v>100</v>
      </c>
      <c r="V8" s="3759" t="s">
        <v>13</v>
      </c>
      <c r="W8" s="3542">
        <f t="shared" si="2"/>
        <v>100</v>
      </c>
      <c r="X8" s="482"/>
      <c r="Y8" s="4502" t="s">
        <v>1590</v>
      </c>
      <c r="Z8" s="4503"/>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49" t="s">
        <v>1593</v>
      </c>
      <c r="Q9" s="1698" t="str">
        <f t="shared" ref="Q9:Q15" si="6">B9</f>
        <v>用途</v>
      </c>
      <c r="R9" s="3759" t="s">
        <v>13</v>
      </c>
      <c r="S9" s="3542">
        <f t="shared" si="0"/>
        <v>100</v>
      </c>
      <c r="T9" s="3759" t="s">
        <v>13</v>
      </c>
      <c r="U9" s="3542">
        <f t="shared" si="1"/>
        <v>100</v>
      </c>
      <c r="V9" s="3759" t="s">
        <v>13</v>
      </c>
      <c r="W9" s="3542">
        <f t="shared" si="2"/>
        <v>100</v>
      </c>
      <c r="X9" s="482"/>
      <c r="Y9" s="4517" t="s">
        <v>1594</v>
      </c>
      <c r="Z9" s="28" t="str">
        <f t="shared" ref="Z9:Z15" si="7">Q9</f>
        <v>用途</v>
      </c>
      <c r="AA9" s="28">
        <f t="shared" si="3"/>
        <v>1</v>
      </c>
      <c r="AB9" s="28">
        <f t="shared" si="4"/>
        <v>1</v>
      </c>
      <c r="AC9" s="28">
        <f t="shared" si="5"/>
        <v>1</v>
      </c>
    </row>
    <row r="10" spans="1:29" s="253" customFormat="1" ht="27">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49"/>
      <c r="Q10" s="1698" t="str">
        <f t="shared" si="6"/>
        <v>土地使用年限（年）</v>
      </c>
      <c r="R10" s="3759" t="s">
        <v>13</v>
      </c>
      <c r="S10" s="3542">
        <f t="shared" si="0"/>
        <v>100</v>
      </c>
      <c r="T10" s="3759" t="s">
        <v>13</v>
      </c>
      <c r="U10" s="3542">
        <f t="shared" si="1"/>
        <v>100</v>
      </c>
      <c r="V10" s="3759" t="s">
        <v>13</v>
      </c>
      <c r="W10" s="3542">
        <f t="shared" si="2"/>
        <v>100</v>
      </c>
      <c r="X10" s="482"/>
      <c r="Y10" s="4517"/>
      <c r="Z10" s="28" t="str">
        <f t="shared" si="7"/>
        <v>土地使用年限（年）</v>
      </c>
      <c r="AA10" s="28">
        <f t="shared" si="3"/>
        <v>1</v>
      </c>
      <c r="AB10" s="28">
        <f t="shared" si="4"/>
        <v>1</v>
      </c>
      <c r="AC10" s="28">
        <f t="shared" si="5"/>
        <v>1</v>
      </c>
    </row>
    <row r="11" spans="1:29" ht="1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49"/>
      <c r="Q11" s="1698" t="str">
        <f t="shared" si="6"/>
        <v>容积率</v>
      </c>
      <c r="R11" s="3759" t="s">
        <v>13</v>
      </c>
      <c r="S11" s="3542">
        <f t="shared" si="0"/>
        <v>100</v>
      </c>
      <c r="T11" s="3759" t="s">
        <v>13</v>
      </c>
      <c r="U11" s="3542">
        <f t="shared" si="1"/>
        <v>100</v>
      </c>
      <c r="V11" s="3759" t="s">
        <v>13</v>
      </c>
      <c r="W11" s="3542">
        <f t="shared" si="2"/>
        <v>100</v>
      </c>
      <c r="X11" s="482"/>
      <c r="Y11" s="4517"/>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49"/>
      <c r="Q12" s="1698">
        <f t="shared" si="6"/>
        <v>111</v>
      </c>
      <c r="R12" s="3759" t="s">
        <v>13</v>
      </c>
      <c r="S12" s="3542">
        <f t="shared" si="0"/>
        <v>100</v>
      </c>
      <c r="T12" s="3759" t="s">
        <v>13</v>
      </c>
      <c r="U12" s="3542">
        <f t="shared" si="1"/>
        <v>100</v>
      </c>
      <c r="V12" s="3759" t="s">
        <v>13</v>
      </c>
      <c r="W12" s="3542">
        <f t="shared" si="2"/>
        <v>100</v>
      </c>
      <c r="X12" s="482"/>
      <c r="Y12" s="4517"/>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1">
        <f>SUMIF(66:66,G13,67:67)-SUMIF(66:66,C13,67:67)+100</f>
        <v>100</v>
      </c>
      <c r="I13" s="278"/>
      <c r="J13" s="3751">
        <f>SUMIF(66:66,I13,67:67)-SUMIF(66:66,C13,67:67)+100</f>
        <v>100</v>
      </c>
      <c r="K13" s="395"/>
      <c r="L13" s="602"/>
      <c r="M13" s="593"/>
      <c r="N13" s="593"/>
      <c r="O13" s="601"/>
      <c r="P13" s="4549"/>
      <c r="Q13" s="1698">
        <f t="shared" si="6"/>
        <v>111</v>
      </c>
      <c r="R13" s="3759" t="s">
        <v>13</v>
      </c>
      <c r="S13" s="3542">
        <f t="shared" si="0"/>
        <v>100</v>
      </c>
      <c r="T13" s="3759" t="s">
        <v>13</v>
      </c>
      <c r="U13" s="3542">
        <f t="shared" si="1"/>
        <v>100</v>
      </c>
      <c r="V13" s="3759" t="s">
        <v>13</v>
      </c>
      <c r="W13" s="3542">
        <f t="shared" si="2"/>
        <v>100</v>
      </c>
      <c r="X13" s="482"/>
      <c r="Y13" s="4517"/>
      <c r="Z13" s="28">
        <f t="shared" si="7"/>
        <v>111</v>
      </c>
      <c r="AA13" s="28">
        <f t="shared" si="3"/>
        <v>1</v>
      </c>
      <c r="AB13" s="28">
        <f t="shared" si="4"/>
        <v>1</v>
      </c>
      <c r="AC13" s="28">
        <f t="shared" si="5"/>
        <v>1</v>
      </c>
    </row>
    <row r="14" spans="1:29" ht="15.75" thickBot="1">
      <c r="A14" s="260"/>
      <c r="B14" s="1361">
        <v>111</v>
      </c>
      <c r="C14" s="261"/>
      <c r="D14" s="2903">
        <v>100</v>
      </c>
      <c r="E14" s="261"/>
      <c r="F14" s="3748">
        <f>SUMIF(68:68,E14,69:69)-SUMIF(68:68,C14,69:69)+100</f>
        <v>100</v>
      </c>
      <c r="G14" s="1423"/>
      <c r="H14" s="3748">
        <f>SUMIF(68:68,G14,69:69)-SUMIF(68:68,C14,69:69)+100</f>
        <v>100</v>
      </c>
      <c r="I14" s="278"/>
      <c r="J14" s="3748">
        <f>SUMIF(68:68,I14,69:69)-SUMIF(68:68,C14,69:69)+100</f>
        <v>100</v>
      </c>
      <c r="K14" s="395"/>
      <c r="L14" s="602"/>
      <c r="M14" s="593"/>
      <c r="N14" s="593"/>
      <c r="O14" s="601"/>
      <c r="P14" s="4549"/>
      <c r="Q14" s="1698">
        <f t="shared" si="6"/>
        <v>111</v>
      </c>
      <c r="R14" s="3759" t="s">
        <v>13</v>
      </c>
      <c r="S14" s="3542">
        <f t="shared" si="0"/>
        <v>100</v>
      </c>
      <c r="T14" s="3759" t="s">
        <v>13</v>
      </c>
      <c r="U14" s="3542">
        <f t="shared" si="1"/>
        <v>100</v>
      </c>
      <c r="V14" s="3759" t="s">
        <v>13</v>
      </c>
      <c r="W14" s="3542">
        <f t="shared" si="2"/>
        <v>100</v>
      </c>
      <c r="X14" s="482"/>
      <c r="Y14" s="4517"/>
      <c r="Z14" s="28">
        <f t="shared" si="7"/>
        <v>111</v>
      </c>
      <c r="AA14" s="28">
        <f t="shared" si="3"/>
        <v>1</v>
      </c>
      <c r="AB14" s="28">
        <f t="shared" si="4"/>
        <v>1</v>
      </c>
      <c r="AC14" s="28">
        <f t="shared" si="5"/>
        <v>1</v>
      </c>
    </row>
    <row r="15" spans="1:29" ht="15">
      <c r="A15" s="262" t="s">
        <v>1597</v>
      </c>
      <c r="B15" s="32" t="s">
        <v>1734</v>
      </c>
      <c r="C15" s="1424">
        <f>估价对象房地状况!G3</f>
        <v>0</v>
      </c>
      <c r="D15" s="2904">
        <v>100</v>
      </c>
      <c r="E15" s="263"/>
      <c r="F15" s="3755">
        <f>SUMIF(70:70,E16,71:71)-SUMIF(70:70,C16,71:71)+100</f>
        <v>100</v>
      </c>
      <c r="G15" s="264"/>
      <c r="H15" s="3749">
        <f>SUMIF(70:70,G16,71:71)-SUMIF(70:70,C16,71:71)+100</f>
        <v>100</v>
      </c>
      <c r="I15" s="263"/>
      <c r="J15" s="3749">
        <f>SUMIF(70:70,I16,71:71)-SUMIF(70:70,C16,71:71)+100</f>
        <v>100</v>
      </c>
      <c r="K15" s="396"/>
      <c r="L15" s="602"/>
      <c r="M15" s="593"/>
      <c r="N15" s="593"/>
      <c r="O15" s="601"/>
      <c r="P15" s="4618" t="s">
        <v>1598</v>
      </c>
      <c r="Q15" s="1507" t="str">
        <f t="shared" si="6"/>
        <v>产业集聚程度</v>
      </c>
      <c r="R15" s="3760" t="s">
        <v>13</v>
      </c>
      <c r="S15" s="3762">
        <f t="shared" si="0"/>
        <v>100</v>
      </c>
      <c r="T15" s="3760" t="s">
        <v>13</v>
      </c>
      <c r="U15" s="3762">
        <f t="shared" si="1"/>
        <v>100</v>
      </c>
      <c r="V15" s="3760" t="s">
        <v>13</v>
      </c>
      <c r="W15" s="3762">
        <f t="shared" si="2"/>
        <v>100</v>
      </c>
      <c r="X15" s="909"/>
      <c r="Y15" s="4542" t="s">
        <v>1598</v>
      </c>
      <c r="Z15" s="907" t="str">
        <f t="shared" si="7"/>
        <v>产业集聚程度</v>
      </c>
      <c r="AA15" s="907">
        <f t="shared" si="3"/>
        <v>1</v>
      </c>
      <c r="AB15" s="907">
        <f t="shared" si="4"/>
        <v>1</v>
      </c>
      <c r="AC15" s="907">
        <f t="shared" si="5"/>
        <v>1</v>
      </c>
    </row>
    <row r="16" spans="1:29" ht="15">
      <c r="A16" s="254"/>
      <c r="B16" s="265"/>
      <c r="C16" s="266"/>
      <c r="D16" s="2905"/>
      <c r="E16" s="266"/>
      <c r="F16" s="3756"/>
      <c r="G16" s="266"/>
      <c r="H16" s="268"/>
      <c r="I16" s="266"/>
      <c r="J16" s="267"/>
      <c r="K16" s="397"/>
      <c r="L16" s="602"/>
      <c r="M16" s="593"/>
      <c r="N16" s="593"/>
      <c r="O16" s="601"/>
      <c r="P16" s="4619"/>
      <c r="Q16" s="1507"/>
      <c r="R16" s="3760"/>
      <c r="S16" s="3762"/>
      <c r="T16" s="3760"/>
      <c r="U16" s="3762"/>
      <c r="V16" s="3760"/>
      <c r="W16" s="3762"/>
      <c r="X16" s="909"/>
      <c r="Y16" s="4543"/>
      <c r="Z16" s="907"/>
      <c r="AA16" s="907">
        <v>1</v>
      </c>
      <c r="AB16" s="907">
        <v>1</v>
      </c>
      <c r="AC16" s="907">
        <v>1</v>
      </c>
    </row>
    <row r="17" spans="1:29" ht="15">
      <c r="A17" s="254"/>
      <c r="B17" s="269" t="s">
        <v>1237</v>
      </c>
      <c r="C17" s="1364">
        <f>估价对象房地状况!G4</f>
        <v>0</v>
      </c>
      <c r="D17" s="2906">
        <v>100</v>
      </c>
      <c r="E17" s="270"/>
      <c r="F17" s="3757">
        <f>SUMIF(72:72,E18,73:73)-SUMIF(72:72,C18,73:73)+100</f>
        <v>100</v>
      </c>
      <c r="G17" s="271"/>
      <c r="H17" s="3750">
        <f>SUMIF(72:72,G18,73:73)-SUMIF(72:72,C18,73:73)+100</f>
        <v>100</v>
      </c>
      <c r="I17" s="270"/>
      <c r="J17" s="3750">
        <f>SUMIF(72:72,I18,73:73)-SUMIF(72:72,C18,73:73)+100</f>
        <v>100</v>
      </c>
      <c r="K17" s="396"/>
      <c r="L17" s="602"/>
      <c r="M17" s="593"/>
      <c r="N17" s="593"/>
      <c r="O17" s="601"/>
      <c r="P17" s="4619"/>
      <c r="Q17" s="1507" t="str">
        <f>B17</f>
        <v>交通便捷度</v>
      </c>
      <c r="R17" s="3760" t="s">
        <v>13</v>
      </c>
      <c r="S17" s="3762">
        <f>F17</f>
        <v>100</v>
      </c>
      <c r="T17" s="3760" t="s">
        <v>13</v>
      </c>
      <c r="U17" s="3762">
        <f>H17</f>
        <v>100</v>
      </c>
      <c r="V17" s="3760" t="s">
        <v>13</v>
      </c>
      <c r="W17" s="3762">
        <f>J17</f>
        <v>100</v>
      </c>
      <c r="X17" s="909"/>
      <c r="Y17" s="4543"/>
      <c r="Z17" s="907" t="str">
        <f>Q17</f>
        <v>交通便捷度</v>
      </c>
      <c r="AA17" s="907">
        <f t="shared" si="3"/>
        <v>1</v>
      </c>
      <c r="AB17" s="907">
        <f t="shared" si="4"/>
        <v>1</v>
      </c>
      <c r="AC17" s="907">
        <f t="shared" si="5"/>
        <v>1</v>
      </c>
    </row>
    <row r="18" spans="1:29" ht="15">
      <c r="A18" s="254"/>
      <c r="B18" s="272"/>
      <c r="C18" s="1365"/>
      <c r="D18" s="2906"/>
      <c r="E18" s="1367"/>
      <c r="F18" s="3757"/>
      <c r="G18" s="1366"/>
      <c r="H18" s="267"/>
      <c r="I18" s="1367"/>
      <c r="J18" s="267"/>
      <c r="K18" s="397"/>
      <c r="L18" s="602"/>
      <c r="M18" s="593"/>
      <c r="N18" s="593"/>
      <c r="O18" s="601"/>
      <c r="P18" s="4619"/>
      <c r="Q18" s="1507"/>
      <c r="R18" s="3760"/>
      <c r="S18" s="3762"/>
      <c r="T18" s="3760"/>
      <c r="U18" s="3762"/>
      <c r="V18" s="3760"/>
      <c r="W18" s="3762"/>
      <c r="X18" s="909"/>
      <c r="Y18" s="4543"/>
      <c r="Z18" s="907"/>
      <c r="AA18" s="907">
        <v>1</v>
      </c>
      <c r="AB18" s="907">
        <v>1</v>
      </c>
      <c r="AC18" s="907">
        <v>1</v>
      </c>
    </row>
    <row r="19" spans="1:29" ht="15">
      <c r="A19" s="254"/>
      <c r="B19" s="269" t="s">
        <v>1719</v>
      </c>
      <c r="C19" s="1364">
        <f>估价对象房地状况!G5</f>
        <v>0</v>
      </c>
      <c r="D19" s="2907">
        <v>100</v>
      </c>
      <c r="E19" s="273"/>
      <c r="F19" s="3758">
        <f>SUMIF(74:74,E20,75:75)-SUMIF(74:74,C20,75:75)+100</f>
        <v>100</v>
      </c>
      <c r="G19" s="274"/>
      <c r="H19" s="268">
        <f>SUMIF(74:74,G20,75:75)-SUMIF(74:74,C20,75:75)+100</f>
        <v>100</v>
      </c>
      <c r="I19" s="273"/>
      <c r="J19" s="268">
        <f>SUMIF(74:74,I20,75:75)-SUMIF(74:74,C20,75:75)+100</f>
        <v>100</v>
      </c>
      <c r="K19" s="396"/>
      <c r="L19" s="602"/>
      <c r="M19" s="593"/>
      <c r="N19" s="593"/>
      <c r="O19" s="601"/>
      <c r="P19" s="4619"/>
      <c r="Q19" s="1507" t="str">
        <f>B19</f>
        <v>公共配套设施</v>
      </c>
      <c r="R19" s="3760" t="s">
        <v>13</v>
      </c>
      <c r="S19" s="3762">
        <f>F19</f>
        <v>100</v>
      </c>
      <c r="T19" s="3760" t="s">
        <v>13</v>
      </c>
      <c r="U19" s="3762">
        <f>H19</f>
        <v>100</v>
      </c>
      <c r="V19" s="3760" t="s">
        <v>13</v>
      </c>
      <c r="W19" s="3762">
        <f>J19</f>
        <v>100</v>
      </c>
      <c r="X19" s="909"/>
      <c r="Y19" s="4543"/>
      <c r="Z19" s="907" t="str">
        <f>Q19</f>
        <v>公共配套设施</v>
      </c>
      <c r="AA19" s="907">
        <f t="shared" si="3"/>
        <v>1</v>
      </c>
      <c r="AB19" s="907">
        <f t="shared" si="4"/>
        <v>1</v>
      </c>
      <c r="AC19" s="907">
        <f t="shared" si="5"/>
        <v>1</v>
      </c>
    </row>
    <row r="20" spans="1:29" ht="15">
      <c r="A20" s="254"/>
      <c r="B20" s="272"/>
      <c r="C20" s="266"/>
      <c r="D20" s="2905"/>
      <c r="E20" s="1363"/>
      <c r="F20" s="3756"/>
      <c r="G20" s="1362"/>
      <c r="H20" s="267"/>
      <c r="I20" s="1363"/>
      <c r="J20" s="267"/>
      <c r="K20" s="397"/>
      <c r="L20" s="602"/>
      <c r="M20" s="593"/>
      <c r="N20" s="593"/>
      <c r="O20" s="601"/>
      <c r="P20" s="4619"/>
      <c r="Q20" s="1507"/>
      <c r="R20" s="3760"/>
      <c r="S20" s="3762"/>
      <c r="T20" s="3760"/>
      <c r="U20" s="3762"/>
      <c r="V20" s="3760"/>
      <c r="W20" s="3762"/>
      <c r="X20" s="909"/>
      <c r="Y20" s="4543"/>
      <c r="Z20" s="907"/>
      <c r="AA20" s="907">
        <v>1</v>
      </c>
      <c r="AB20" s="907">
        <v>1</v>
      </c>
      <c r="AC20" s="907">
        <v>1</v>
      </c>
    </row>
    <row r="21" spans="1:29" ht="15">
      <c r="A21" s="254"/>
      <c r="B21" s="759" t="s">
        <v>1720</v>
      </c>
      <c r="C21" s="1364">
        <f>估价对象房地状况!G6</f>
        <v>0</v>
      </c>
      <c r="D21" s="2906">
        <v>100</v>
      </c>
      <c r="E21" s="273"/>
      <c r="F21" s="3758">
        <f>SUMIF(76:76,E22,77:77)-SUMIF(76:76,C22,77:77)+100</f>
        <v>100</v>
      </c>
      <c r="G21" s="274"/>
      <c r="H21" s="268">
        <f>SUMIF(76:76,G22,77:77)-SUMIF(76:76,C22,77:77)+100</f>
        <v>100</v>
      </c>
      <c r="I21" s="273"/>
      <c r="J21" s="268">
        <f>SUMIF(76:76,I22,77:77)-SUMIF(76:76,C22,77:77)+100</f>
        <v>100</v>
      </c>
      <c r="K21" s="396"/>
      <c r="L21" s="602"/>
      <c r="M21" s="593"/>
      <c r="N21" s="593"/>
      <c r="O21" s="601"/>
      <c r="P21" s="4619"/>
      <c r="Q21" s="1507" t="str">
        <f>B21</f>
        <v>基础设施水平</v>
      </c>
      <c r="R21" s="3760" t="s">
        <v>13</v>
      </c>
      <c r="S21" s="3762">
        <f>F21</f>
        <v>100</v>
      </c>
      <c r="T21" s="3760" t="s">
        <v>13</v>
      </c>
      <c r="U21" s="3762">
        <f>H21</f>
        <v>100</v>
      </c>
      <c r="V21" s="3760" t="s">
        <v>13</v>
      </c>
      <c r="W21" s="3762">
        <f>J21</f>
        <v>100</v>
      </c>
      <c r="X21" s="909"/>
      <c r="Y21" s="4543"/>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6"/>
      <c r="G22" s="266"/>
      <c r="H22" s="267"/>
      <c r="I22" s="266"/>
      <c r="J22" s="267"/>
      <c r="K22" s="758"/>
      <c r="L22" s="602"/>
      <c r="M22" s="593"/>
      <c r="N22" s="593"/>
      <c r="O22" s="601"/>
      <c r="P22" s="4619"/>
      <c r="Q22" s="1507"/>
      <c r="R22" s="3760"/>
      <c r="S22" s="3762"/>
      <c r="T22" s="3760"/>
      <c r="U22" s="3762"/>
      <c r="V22" s="3760"/>
      <c r="W22" s="3762"/>
      <c r="X22" s="909"/>
      <c r="Y22" s="4543"/>
      <c r="Z22" s="907"/>
      <c r="AA22" s="907">
        <v>1</v>
      </c>
      <c r="AB22" s="907">
        <v>1</v>
      </c>
      <c r="AC22" s="907">
        <v>1</v>
      </c>
    </row>
    <row r="23" spans="1:29" ht="15">
      <c r="A23" s="254"/>
      <c r="B23" s="269" t="s">
        <v>1721</v>
      </c>
      <c r="C23" s="1364">
        <f>估价对象房地状况!G7</f>
        <v>0</v>
      </c>
      <c r="D23" s="2906">
        <v>100</v>
      </c>
      <c r="E23" s="270"/>
      <c r="F23" s="3757">
        <f>SUMIF(78:78,E24,79:79)-SUMIF(78:78,C24,79:79)+100</f>
        <v>100</v>
      </c>
      <c r="G23" s="271"/>
      <c r="H23" s="268">
        <f>SUMIF(78:78,G24,79:79)-SUMIF(78:78,C24,79:79)+100</f>
        <v>100</v>
      </c>
      <c r="I23" s="270"/>
      <c r="J23" s="268">
        <f>SUMIF(78:78,I24,79:79)-SUMIF(78:78,C24,79:79)+100</f>
        <v>100</v>
      </c>
      <c r="K23" s="396"/>
      <c r="L23" s="602"/>
      <c r="M23" s="593"/>
      <c r="N23" s="593"/>
      <c r="O23" s="601"/>
      <c r="P23" s="4619"/>
      <c r="Q23" s="1507" t="str">
        <f>B23</f>
        <v>环境质量</v>
      </c>
      <c r="R23" s="3760" t="s">
        <v>13</v>
      </c>
      <c r="S23" s="3762">
        <f>F23</f>
        <v>100</v>
      </c>
      <c r="T23" s="3760" t="s">
        <v>13</v>
      </c>
      <c r="U23" s="3762">
        <f>H23</f>
        <v>100</v>
      </c>
      <c r="V23" s="3760" t="s">
        <v>13</v>
      </c>
      <c r="W23" s="3762">
        <f>J23</f>
        <v>100</v>
      </c>
      <c r="X23" s="909"/>
      <c r="Y23" s="4543"/>
      <c r="Z23" s="907" t="str">
        <f>Q23</f>
        <v>环境质量</v>
      </c>
      <c r="AA23" s="907">
        <f t="shared" si="3"/>
        <v>1</v>
      </c>
      <c r="AB23" s="907">
        <f t="shared" si="4"/>
        <v>1</v>
      </c>
      <c r="AC23" s="907">
        <f t="shared" si="5"/>
        <v>1</v>
      </c>
    </row>
    <row r="24" spans="1:29" ht="15">
      <c r="A24" s="254"/>
      <c r="B24" s="759"/>
      <c r="C24" s="266"/>
      <c r="D24" s="2905"/>
      <c r="E24" s="1363"/>
      <c r="F24" s="3756"/>
      <c r="G24" s="1362"/>
      <c r="H24" s="267"/>
      <c r="I24" s="1363"/>
      <c r="J24" s="267"/>
      <c r="K24" s="397"/>
      <c r="L24" s="602"/>
      <c r="M24" s="593"/>
      <c r="N24" s="593"/>
      <c r="O24" s="601"/>
      <c r="P24" s="4619"/>
      <c r="Q24" s="1507"/>
      <c r="R24" s="3760"/>
      <c r="S24" s="3762"/>
      <c r="T24" s="3760"/>
      <c r="U24" s="3762"/>
      <c r="V24" s="3760"/>
      <c r="W24" s="3762"/>
      <c r="X24" s="909"/>
      <c r="Y24" s="4543"/>
      <c r="Z24" s="907"/>
      <c r="AA24" s="907">
        <v>1</v>
      </c>
      <c r="AB24" s="907">
        <v>1</v>
      </c>
      <c r="AC24" s="907">
        <v>1</v>
      </c>
    </row>
    <row r="25" spans="1:29" ht="15">
      <c r="A25" s="238"/>
      <c r="B25" s="761">
        <v>111</v>
      </c>
      <c r="C25" s="259">
        <v>111</v>
      </c>
      <c r="D25" s="2902">
        <v>100</v>
      </c>
      <c r="E25" s="259"/>
      <c r="F25" s="908">
        <f>SUMIF(80:80,E25,81:81)-SUMIF(80:80,C25,81:81)+100</f>
        <v>100</v>
      </c>
      <c r="G25" s="259"/>
      <c r="H25" s="3751">
        <f>SUMIF(80:80,G25,81:81)-SUMIF(80:80,C25,81:81)+100</f>
        <v>100</v>
      </c>
      <c r="I25" s="259"/>
      <c r="J25" s="3751">
        <f>SUMIF(80:80,I25,81:81)-SUMIF(80:80,C25,81:81)+100</f>
        <v>100</v>
      </c>
      <c r="K25" s="395"/>
      <c r="L25" s="602"/>
      <c r="M25" s="593"/>
      <c r="N25" s="593"/>
      <c r="O25" s="601"/>
      <c r="P25" s="4619"/>
      <c r="Q25" s="1507">
        <f>B25</f>
        <v>111</v>
      </c>
      <c r="R25" s="3760" t="s">
        <v>13</v>
      </c>
      <c r="S25" s="3762">
        <f>F25</f>
        <v>100</v>
      </c>
      <c r="T25" s="3760" t="s">
        <v>13</v>
      </c>
      <c r="U25" s="3762">
        <f>H25</f>
        <v>100</v>
      </c>
      <c r="V25" s="3760" t="s">
        <v>13</v>
      </c>
      <c r="W25" s="3762">
        <f>J25</f>
        <v>100</v>
      </c>
      <c r="X25" s="909"/>
      <c r="Y25" s="4543"/>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1">
        <f>SUMIF(82:82,G26,83:83)-SUMIF(82:82,C26,83:83)+100</f>
        <v>100</v>
      </c>
      <c r="I26" s="259"/>
      <c r="J26" s="3751">
        <f>SUMIF(82:82,I26,83:83)-SUMIF(82:82,C26,83:83)+100</f>
        <v>100</v>
      </c>
      <c r="K26" s="395"/>
      <c r="L26" s="602"/>
      <c r="M26" s="593"/>
      <c r="N26" s="593"/>
      <c r="O26" s="601"/>
      <c r="P26" s="4619"/>
      <c r="Q26" s="1507">
        <f t="shared" ref="Q26:Q40" si="11">B26</f>
        <v>111</v>
      </c>
      <c r="R26" s="3760" t="s">
        <v>13</v>
      </c>
      <c r="S26" s="3762">
        <f>F26</f>
        <v>100</v>
      </c>
      <c r="T26" s="3760" t="s">
        <v>13</v>
      </c>
      <c r="U26" s="3762">
        <f>H26</f>
        <v>100</v>
      </c>
      <c r="V26" s="3760" t="s">
        <v>13</v>
      </c>
      <c r="W26" s="3762">
        <f>J26</f>
        <v>100</v>
      </c>
      <c r="X26" s="909"/>
      <c r="Y26" s="4543"/>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19"/>
      <c r="Q27" s="1698">
        <f t="shared" si="11"/>
        <v>111</v>
      </c>
      <c r="R27" s="3759" t="s">
        <v>13</v>
      </c>
      <c r="S27" s="3542">
        <f>F27</f>
        <v>100</v>
      </c>
      <c r="T27" s="3759" t="s">
        <v>13</v>
      </c>
      <c r="U27" s="3542">
        <f>H27</f>
        <v>100</v>
      </c>
      <c r="V27" s="3759" t="s">
        <v>13</v>
      </c>
      <c r="W27" s="3542">
        <f>J27</f>
        <v>100</v>
      </c>
      <c r="X27" s="482"/>
      <c r="Y27" s="4543"/>
      <c r="Z27" s="28">
        <f>Q27</f>
        <v>111</v>
      </c>
      <c r="AA27" s="907">
        <f>D27/F27</f>
        <v>1</v>
      </c>
      <c r="AB27" s="907">
        <f>D27/H27</f>
        <v>1</v>
      </c>
      <c r="AC27" s="907">
        <f>D27/J27</f>
        <v>1</v>
      </c>
    </row>
    <row r="28" spans="1:29" ht="15.75" thickBot="1">
      <c r="A28" s="260"/>
      <c r="B28" s="761">
        <v>111</v>
      </c>
      <c r="C28" s="261">
        <v>111</v>
      </c>
      <c r="D28" s="2903">
        <v>100</v>
      </c>
      <c r="E28" s="259"/>
      <c r="F28" s="3752">
        <f>SUMIF(86:86,E28,87:87)-SUMIF(86:86,C28,87:87)+100</f>
        <v>100</v>
      </c>
      <c r="G28" s="278"/>
      <c r="H28" s="3748">
        <f>SUMIF(86:86,G28,87:87)-SUMIF(86:86,C28,87:87)+100</f>
        <v>100</v>
      </c>
      <c r="I28" s="278"/>
      <c r="J28" s="3748">
        <f>SUMIF(86:86,I28,87:87)-SUMIF(86:86,C28,87:87)+100</f>
        <v>100</v>
      </c>
      <c r="K28" s="395"/>
      <c r="L28" s="602"/>
      <c r="M28" s="593"/>
      <c r="N28" s="593"/>
      <c r="O28" s="601"/>
      <c r="P28" s="4619"/>
      <c r="Q28" s="1507">
        <f t="shared" si="11"/>
        <v>111</v>
      </c>
      <c r="R28" s="3760" t="s">
        <v>13</v>
      </c>
      <c r="S28" s="3762">
        <f t="shared" ref="S28:S40" si="12">F28</f>
        <v>100</v>
      </c>
      <c r="T28" s="3760" t="s">
        <v>13</v>
      </c>
      <c r="U28" s="3762">
        <f t="shared" ref="U28:U40" si="13">H28</f>
        <v>100</v>
      </c>
      <c r="V28" s="3760" t="s">
        <v>13</v>
      </c>
      <c r="W28" s="3762">
        <f t="shared" ref="W28:W40" si="14">J28</f>
        <v>100</v>
      </c>
      <c r="X28" s="909"/>
      <c r="Y28" s="4543"/>
      <c r="Z28" s="907">
        <f t="shared" ref="Z28:Z40" si="15">Q28</f>
        <v>111</v>
      </c>
      <c r="AA28" s="907">
        <f t="shared" si="3"/>
        <v>1</v>
      </c>
      <c r="AB28" s="907">
        <f t="shared" si="4"/>
        <v>1</v>
      </c>
      <c r="AC28" s="907">
        <f t="shared" si="5"/>
        <v>1</v>
      </c>
    </row>
    <row r="29" spans="1:29" ht="28.5">
      <c r="A29" s="276" t="s">
        <v>1601</v>
      </c>
      <c r="B29" s="34" t="s">
        <v>1724</v>
      </c>
      <c r="C29" s="1420"/>
      <c r="D29" s="2909">
        <v>100</v>
      </c>
      <c r="E29" s="1420"/>
      <c r="F29" s="908">
        <f>SUMIF(88:88,E29,89:89)-SUMIF(88:88,C29,89:89)+100</f>
        <v>100</v>
      </c>
      <c r="G29" s="1420"/>
      <c r="H29" s="3751">
        <f>SUMIF(88:88,G29,89:89)-SUMIF(88:88,C29,89:89)+100</f>
        <v>100</v>
      </c>
      <c r="I29" s="1420"/>
      <c r="J29" s="3754">
        <f>SUMIF(88:88,I29,89:89)-SUMIF(88:88,C29,89:89)+100</f>
        <v>100</v>
      </c>
      <c r="K29" s="394"/>
      <c r="L29" s="602"/>
      <c r="M29" s="593"/>
      <c r="N29" s="593"/>
      <c r="O29" s="601"/>
      <c r="P29" s="4620" t="s">
        <v>1603</v>
      </c>
      <c r="Q29" s="1507" t="str">
        <f t="shared" si="11"/>
        <v>建筑类型</v>
      </c>
      <c r="R29" s="3760" t="s">
        <v>13</v>
      </c>
      <c r="S29" s="3762">
        <f t="shared" si="12"/>
        <v>100</v>
      </c>
      <c r="T29" s="3760" t="s">
        <v>13</v>
      </c>
      <c r="U29" s="3762">
        <f t="shared" si="13"/>
        <v>100</v>
      </c>
      <c r="V29" s="3760" t="s">
        <v>13</v>
      </c>
      <c r="W29" s="3762">
        <f t="shared" si="14"/>
        <v>100</v>
      </c>
      <c r="X29" s="909"/>
      <c r="Y29" s="4547" t="s">
        <v>1603</v>
      </c>
      <c r="Z29" s="907" t="str">
        <f t="shared" si="15"/>
        <v>建筑类型</v>
      </c>
      <c r="AA29" s="907">
        <f t="shared" si="3"/>
        <v>1</v>
      </c>
      <c r="AB29" s="907">
        <f t="shared" si="4"/>
        <v>1</v>
      </c>
      <c r="AC29" s="907">
        <f t="shared" si="5"/>
        <v>1</v>
      </c>
    </row>
    <row r="30" spans="1:29" s="279" customFormat="1" ht="1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21"/>
      <c r="Q30" s="2864" t="str">
        <f t="shared" si="11"/>
        <v>项目建筑规模</v>
      </c>
      <c r="R30" s="3761" t="s">
        <v>13</v>
      </c>
      <c r="S30" s="3763" t="e">
        <f t="shared" si="12"/>
        <v>#N/A</v>
      </c>
      <c r="T30" s="3761" t="s">
        <v>13</v>
      </c>
      <c r="U30" s="3763" t="e">
        <f t="shared" si="13"/>
        <v>#N/A</v>
      </c>
      <c r="V30" s="3761" t="s">
        <v>13</v>
      </c>
      <c r="W30" s="3763" t="e">
        <f t="shared" si="14"/>
        <v>#N/A</v>
      </c>
      <c r="X30" s="484"/>
      <c r="Y30" s="4547"/>
      <c r="Z30" s="485" t="str">
        <f t="shared" si="15"/>
        <v>项目建筑规模</v>
      </c>
      <c r="AA30" s="907" t="e">
        <f t="shared" si="3"/>
        <v>#N/A</v>
      </c>
      <c r="AB30" s="907" t="e">
        <f t="shared" si="4"/>
        <v>#N/A</v>
      </c>
      <c r="AC30" s="907" t="e">
        <f t="shared" si="5"/>
        <v>#N/A</v>
      </c>
    </row>
    <row r="31" spans="1:29" ht="15">
      <c r="A31" s="280"/>
      <c r="B31" s="252" t="s">
        <v>1605</v>
      </c>
      <c r="C31" s="275"/>
      <c r="D31" s="2902">
        <v>100</v>
      </c>
      <c r="E31" s="275"/>
      <c r="F31" s="908">
        <f>SUMIF(93:93,E31,94:94)-SUMIF(93:93,C31,94:94)+100</f>
        <v>100</v>
      </c>
      <c r="G31" s="275"/>
      <c r="H31" s="3751">
        <f>SUMIF(93:93,G31,94:94)-SUMIF(93:93,C31,94:94)+100</f>
        <v>100</v>
      </c>
      <c r="I31" s="275"/>
      <c r="J31" s="3751">
        <f>SUMIF(93:93,I31,94:94)-SUMIF(93:93,C31,94:94)+100</f>
        <v>100</v>
      </c>
      <c r="K31" s="394"/>
      <c r="L31" s="602"/>
      <c r="M31" s="593"/>
      <c r="N31" s="593"/>
      <c r="O31" s="601"/>
      <c r="P31" s="4621"/>
      <c r="Q31" s="1507" t="str">
        <f t="shared" si="11"/>
        <v>建筑结构</v>
      </c>
      <c r="R31" s="3760" t="s">
        <v>13</v>
      </c>
      <c r="S31" s="3762">
        <f t="shared" si="12"/>
        <v>100</v>
      </c>
      <c r="T31" s="3760" t="s">
        <v>13</v>
      </c>
      <c r="U31" s="3762">
        <f t="shared" si="13"/>
        <v>100</v>
      </c>
      <c r="V31" s="3760" t="s">
        <v>13</v>
      </c>
      <c r="W31" s="3762">
        <f t="shared" si="14"/>
        <v>100</v>
      </c>
      <c r="X31" s="909"/>
      <c r="Y31" s="4547"/>
      <c r="Z31" s="907" t="str">
        <f t="shared" si="15"/>
        <v>建筑结构</v>
      </c>
      <c r="AA31" s="907">
        <f t="shared" si="3"/>
        <v>1</v>
      </c>
      <c r="AB31" s="907">
        <f t="shared" si="4"/>
        <v>1</v>
      </c>
      <c r="AC31" s="907">
        <f t="shared" si="5"/>
        <v>1</v>
      </c>
    </row>
    <row r="32" spans="1:29" ht="15">
      <c r="A32" s="280"/>
      <c r="B32" s="252" t="s">
        <v>1692</v>
      </c>
      <c r="C32" s="275"/>
      <c r="D32" s="2902">
        <v>100</v>
      </c>
      <c r="E32" s="275"/>
      <c r="F32" s="908">
        <f>SUMIF(95:95,E32,96:96)-SUMIF(95:95,C32,96:96)+100</f>
        <v>100</v>
      </c>
      <c r="G32" s="275"/>
      <c r="H32" s="3751">
        <f>SUMIF(95:95,G32,96:96)-SUMIF(95:95,C32,96:96)+100</f>
        <v>100</v>
      </c>
      <c r="I32" s="275"/>
      <c r="J32" s="3751">
        <f>SUMIF(95:95,I32,96:96)-SUMIF(95:95,C32,96:96)+100</f>
        <v>100</v>
      </c>
      <c r="K32" s="394"/>
      <c r="L32" s="602"/>
      <c r="M32" s="593"/>
      <c r="N32" s="593"/>
      <c r="O32" s="601"/>
      <c r="P32" s="4621"/>
      <c r="Q32" s="1507" t="str">
        <f t="shared" si="11"/>
        <v>公共部分装修</v>
      </c>
      <c r="R32" s="3760" t="s">
        <v>13</v>
      </c>
      <c r="S32" s="3762">
        <f t="shared" si="12"/>
        <v>100</v>
      </c>
      <c r="T32" s="3760" t="s">
        <v>13</v>
      </c>
      <c r="U32" s="3762">
        <f t="shared" si="13"/>
        <v>100</v>
      </c>
      <c r="V32" s="3760" t="s">
        <v>13</v>
      </c>
      <c r="W32" s="3762">
        <f t="shared" si="14"/>
        <v>100</v>
      </c>
      <c r="X32" s="909"/>
      <c r="Y32" s="4547"/>
      <c r="Z32" s="907" t="str">
        <f t="shared" si="15"/>
        <v>公共部分装修</v>
      </c>
      <c r="AA32" s="907">
        <f t="shared" si="3"/>
        <v>1</v>
      </c>
      <c r="AB32" s="907">
        <f t="shared" si="4"/>
        <v>1</v>
      </c>
      <c r="AC32" s="907">
        <f t="shared" si="5"/>
        <v>1</v>
      </c>
    </row>
    <row r="33" spans="1:29" ht="15">
      <c r="A33" s="280"/>
      <c r="B33" s="252" t="s">
        <v>1693</v>
      </c>
      <c r="C33" s="278"/>
      <c r="D33" s="2902">
        <v>100</v>
      </c>
      <c r="E33" s="282"/>
      <c r="F33" s="908" t="e">
        <f>LOOKUP(E33,98:98,99:99)-LOOKUP(C33,98:98,99:99)+100</f>
        <v>#N/A</v>
      </c>
      <c r="G33" s="282"/>
      <c r="H33" s="908" t="e">
        <f>LOOKUP(G33,98:98,99:99)-LOOKUP(C33,98:98,99:99)+100</f>
        <v>#N/A</v>
      </c>
      <c r="I33" s="282"/>
      <c r="J33" s="3751" t="e">
        <f>LOOKUP(I33,98:98,99:99)-LOOKUP(C33,98:98,99:99)+100</f>
        <v>#N/A</v>
      </c>
      <c r="K33" s="394"/>
      <c r="L33" s="602"/>
      <c r="M33" s="593"/>
      <c r="N33" s="593"/>
      <c r="O33" s="601"/>
      <c r="P33" s="4621"/>
      <c r="Q33" s="1507" t="str">
        <f t="shared" si="11"/>
        <v>成新度</v>
      </c>
      <c r="R33" s="3760" t="s">
        <v>13</v>
      </c>
      <c r="S33" s="3762" t="e">
        <f t="shared" si="12"/>
        <v>#N/A</v>
      </c>
      <c r="T33" s="3760" t="s">
        <v>13</v>
      </c>
      <c r="U33" s="3762" t="e">
        <f t="shared" si="13"/>
        <v>#N/A</v>
      </c>
      <c r="V33" s="3760" t="s">
        <v>13</v>
      </c>
      <c r="W33" s="3762" t="e">
        <f t="shared" si="14"/>
        <v>#N/A</v>
      </c>
      <c r="X33" s="909"/>
      <c r="Y33" s="4547"/>
      <c r="Z33" s="907" t="str">
        <f t="shared" si="15"/>
        <v>成新度</v>
      </c>
      <c r="AA33" s="907" t="e">
        <f t="shared" si="3"/>
        <v>#N/A</v>
      </c>
      <c r="AB33" s="907" t="e">
        <f t="shared" si="4"/>
        <v>#N/A</v>
      </c>
      <c r="AC33" s="907" t="e">
        <f t="shared" si="5"/>
        <v>#N/A</v>
      </c>
    </row>
    <row r="34" spans="1:29" s="46" customFormat="1" ht="15">
      <c r="A34" s="281"/>
      <c r="B34" s="252" t="s">
        <v>1726</v>
      </c>
      <c r="C34" s="275"/>
      <c r="D34" s="2900">
        <v>100</v>
      </c>
      <c r="E34" s="275"/>
      <c r="F34" s="908">
        <f>SUMIF(100:100,E34,101:101)-SUMIF(100:100,C34,101:101)+100</f>
        <v>100</v>
      </c>
      <c r="G34" s="275"/>
      <c r="H34" s="3751">
        <f>SUMIF(100:100,G34,101:101)-SUMIF(100:100,C34,101:101)+100</f>
        <v>100</v>
      </c>
      <c r="I34" s="275"/>
      <c r="J34" s="3751">
        <f>SUMIF(100:100,I34,101:101)-SUMIF(100:100,C34,101:101)+100</f>
        <v>100</v>
      </c>
      <c r="K34" s="394"/>
      <c r="L34" s="594"/>
      <c r="M34" s="595"/>
      <c r="N34" s="595"/>
      <c r="O34" s="596"/>
      <c r="P34" s="4621"/>
      <c r="Q34" s="1698" t="str">
        <f t="shared" si="11"/>
        <v>物业管理</v>
      </c>
      <c r="R34" s="3759" t="s">
        <v>13</v>
      </c>
      <c r="S34" s="3542">
        <f t="shared" si="12"/>
        <v>100</v>
      </c>
      <c r="T34" s="3759" t="s">
        <v>13</v>
      </c>
      <c r="U34" s="3542">
        <f t="shared" si="13"/>
        <v>100</v>
      </c>
      <c r="V34" s="3759" t="s">
        <v>13</v>
      </c>
      <c r="W34" s="3542">
        <f t="shared" si="14"/>
        <v>100</v>
      </c>
      <c r="X34" s="482"/>
      <c r="Y34" s="4547"/>
      <c r="Z34" s="28" t="str">
        <f t="shared" si="15"/>
        <v>物业管理</v>
      </c>
      <c r="AA34" s="28">
        <f t="shared" si="3"/>
        <v>1</v>
      </c>
      <c r="AB34" s="28">
        <f t="shared" si="4"/>
        <v>1</v>
      </c>
      <c r="AC34" s="28">
        <f t="shared" si="5"/>
        <v>1</v>
      </c>
    </row>
    <row r="35" spans="1:29" ht="15">
      <c r="A35" s="280"/>
      <c r="B35" s="252" t="s">
        <v>1694</v>
      </c>
      <c r="C35" s="275"/>
      <c r="D35" s="2902">
        <v>100</v>
      </c>
      <c r="E35" s="275"/>
      <c r="F35" s="908">
        <f>SUMIF(102:102,E35,103:103)-SUMIF(102:102,C35,103:103)+100</f>
        <v>100</v>
      </c>
      <c r="G35" s="275"/>
      <c r="H35" s="3751">
        <f>SUMIF(102:102,G35,103:103)-SUMIF(102:102,C35,103:103)+100</f>
        <v>100</v>
      </c>
      <c r="I35" s="275"/>
      <c r="J35" s="3751">
        <f>SUMIF(102:102,I35,103:103)-SUMIF(102:102,C35,103:103)+100</f>
        <v>100</v>
      </c>
      <c r="K35" s="394"/>
      <c r="L35" s="602"/>
      <c r="M35" s="593"/>
      <c r="N35" s="593"/>
      <c r="O35" s="601"/>
      <c r="P35" s="4621" t="s">
        <v>1603</v>
      </c>
      <c r="Q35" s="1507" t="str">
        <f t="shared" si="11"/>
        <v>市政基础设施</v>
      </c>
      <c r="R35" s="3760" t="s">
        <v>13</v>
      </c>
      <c r="S35" s="3762">
        <f t="shared" si="12"/>
        <v>100</v>
      </c>
      <c r="T35" s="3760" t="s">
        <v>13</v>
      </c>
      <c r="U35" s="3762">
        <f t="shared" si="13"/>
        <v>100</v>
      </c>
      <c r="V35" s="3760" t="s">
        <v>13</v>
      </c>
      <c r="W35" s="3762">
        <f t="shared" si="14"/>
        <v>100</v>
      </c>
      <c r="X35" s="909"/>
      <c r="Y35" s="4547" t="s">
        <v>1603</v>
      </c>
      <c r="Z35" s="907" t="str">
        <f t="shared" si="15"/>
        <v>市政基础设施</v>
      </c>
      <c r="AA35" s="907">
        <f t="shared" si="3"/>
        <v>1</v>
      </c>
      <c r="AB35" s="907">
        <f t="shared" si="4"/>
        <v>1</v>
      </c>
      <c r="AC35" s="907">
        <f t="shared" si="5"/>
        <v>1</v>
      </c>
    </row>
    <row r="36" spans="1:29" ht="15">
      <c r="A36" s="280"/>
      <c r="B36" s="252" t="s">
        <v>1699</v>
      </c>
      <c r="C36" s="275"/>
      <c r="D36" s="2902">
        <v>100</v>
      </c>
      <c r="E36" s="275"/>
      <c r="F36" s="908">
        <f>SUMIF(104:104,E36,105:105)-SUMIF(104:104,C36,105:105)+100</f>
        <v>100</v>
      </c>
      <c r="G36" s="275"/>
      <c r="H36" s="3751">
        <f>SUMIF(104:104,G36,105:105)-SUMIF(104:104,C36,105:105)+100</f>
        <v>100</v>
      </c>
      <c r="I36" s="275"/>
      <c r="J36" s="3751">
        <f>SUMIF(104:104,I36,105:105)-SUMIF(104:104,C36,105:105)+100</f>
        <v>100</v>
      </c>
      <c r="K36" s="394"/>
      <c r="L36" s="602"/>
      <c r="M36" s="593"/>
      <c r="N36" s="593"/>
      <c r="O36" s="601"/>
      <c r="P36" s="4621"/>
      <c r="Q36" s="1507" t="str">
        <f t="shared" si="11"/>
        <v>内部装修</v>
      </c>
      <c r="R36" s="3760" t="s">
        <v>13</v>
      </c>
      <c r="S36" s="3762">
        <f t="shared" si="12"/>
        <v>100</v>
      </c>
      <c r="T36" s="3760" t="s">
        <v>13</v>
      </c>
      <c r="U36" s="3762">
        <f t="shared" si="13"/>
        <v>100</v>
      </c>
      <c r="V36" s="3760" t="s">
        <v>13</v>
      </c>
      <c r="W36" s="3762">
        <f t="shared" si="14"/>
        <v>100</v>
      </c>
      <c r="X36" s="909"/>
      <c r="Y36" s="4547"/>
      <c r="Z36" s="907" t="str">
        <f t="shared" si="15"/>
        <v>内部装修</v>
      </c>
      <c r="AA36" s="907">
        <f t="shared" si="3"/>
        <v>1</v>
      </c>
      <c r="AB36" s="907">
        <f t="shared" si="4"/>
        <v>1</v>
      </c>
      <c r="AC36" s="907">
        <f t="shared" si="5"/>
        <v>1</v>
      </c>
    </row>
    <row r="37" spans="1:29" ht="15">
      <c r="A37" s="280"/>
      <c r="B37" s="252" t="s">
        <v>1735</v>
      </c>
      <c r="C37" s="398"/>
      <c r="D37" s="2902">
        <v>100</v>
      </c>
      <c r="E37" s="398"/>
      <c r="F37" s="908">
        <f>SUMIF(106:106,E37,107:107)-SUMIF(106:106,C37,107:107)+100</f>
        <v>100</v>
      </c>
      <c r="G37" s="398"/>
      <c r="H37" s="3751">
        <f>SUMIF(106:106,G37,107:107)-SUMIF(106:106,C37,107:107)+100</f>
        <v>100</v>
      </c>
      <c r="I37" s="398"/>
      <c r="J37" s="3751">
        <f>SUMIF(106:106,I37,107:107)-SUMIF(106:106,C37,107:107)+100</f>
        <v>100</v>
      </c>
      <c r="K37" s="394"/>
      <c r="L37" s="602"/>
      <c r="M37" s="593"/>
      <c r="N37" s="593"/>
      <c r="O37" s="601"/>
      <c r="P37" s="4621"/>
      <c r="Q37" s="1507" t="str">
        <f t="shared" si="11"/>
        <v>内部装修状况</v>
      </c>
      <c r="R37" s="3760" t="s">
        <v>13</v>
      </c>
      <c r="S37" s="3762">
        <f t="shared" si="12"/>
        <v>100</v>
      </c>
      <c r="T37" s="3760" t="s">
        <v>13</v>
      </c>
      <c r="U37" s="3762">
        <f t="shared" si="13"/>
        <v>100</v>
      </c>
      <c r="V37" s="3760" t="s">
        <v>13</v>
      </c>
      <c r="W37" s="3762">
        <f t="shared" si="14"/>
        <v>100</v>
      </c>
      <c r="X37" s="909"/>
      <c r="Y37" s="4547"/>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1">
        <f>SUMIF(108:108,G38,109:109)-SUMIF(108:108,C38,109:109)+100</f>
        <v>100</v>
      </c>
      <c r="I38" s="278"/>
      <c r="J38" s="3751">
        <f>SUMIF(108:108,I38,109:1038)-SUMIF(108:108,C38,109:109)+100</f>
        <v>100</v>
      </c>
      <c r="K38" s="395"/>
      <c r="L38" s="600"/>
      <c r="M38" s="603"/>
      <c r="N38" s="603"/>
      <c r="O38" s="604"/>
      <c r="P38" s="4621"/>
      <c r="Q38" s="2864">
        <f t="shared" si="11"/>
        <v>111</v>
      </c>
      <c r="R38" s="3761" t="s">
        <v>13</v>
      </c>
      <c r="S38" s="3763">
        <f t="shared" si="12"/>
        <v>100</v>
      </c>
      <c r="T38" s="3761" t="s">
        <v>13</v>
      </c>
      <c r="U38" s="3763">
        <f t="shared" si="13"/>
        <v>100</v>
      </c>
      <c r="V38" s="3761" t="s">
        <v>13</v>
      </c>
      <c r="W38" s="3763">
        <f t="shared" si="14"/>
        <v>100</v>
      </c>
      <c r="X38" s="484"/>
      <c r="Y38" s="4547"/>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1">
        <f>SUMIF(110:110,G39,111:111)-SUMIF(110:110,C39,111:111)+100</f>
        <v>100</v>
      </c>
      <c r="I39" s="278"/>
      <c r="J39" s="3751">
        <f>SUMIF(110:110,I39,111:111)-SUMIF(110:110,C39,111:111)+100</f>
        <v>100</v>
      </c>
      <c r="K39" s="395"/>
      <c r="L39" s="602"/>
      <c r="M39" s="593"/>
      <c r="N39" s="593"/>
      <c r="O39" s="601"/>
      <c r="P39" s="4621"/>
      <c r="Q39" s="1507">
        <f t="shared" si="11"/>
        <v>111</v>
      </c>
      <c r="R39" s="3760" t="s">
        <v>13</v>
      </c>
      <c r="S39" s="3762">
        <f t="shared" si="12"/>
        <v>100</v>
      </c>
      <c r="T39" s="3760" t="s">
        <v>13</v>
      </c>
      <c r="U39" s="3762">
        <f t="shared" si="13"/>
        <v>100</v>
      </c>
      <c r="V39" s="3760" t="s">
        <v>13</v>
      </c>
      <c r="W39" s="3762">
        <f t="shared" si="14"/>
        <v>100</v>
      </c>
      <c r="X39" s="909"/>
      <c r="Y39" s="4547"/>
      <c r="Z39" s="907">
        <f t="shared" si="15"/>
        <v>111</v>
      </c>
      <c r="AA39" s="907">
        <f t="shared" si="3"/>
        <v>1</v>
      </c>
      <c r="AB39" s="907">
        <f t="shared" si="4"/>
        <v>1</v>
      </c>
      <c r="AC39" s="907">
        <f t="shared" si="5"/>
        <v>1</v>
      </c>
    </row>
    <row r="40" spans="1:29" ht="15.75" thickBot="1">
      <c r="A40" s="285"/>
      <c r="B40" s="1361">
        <v>111</v>
      </c>
      <c r="C40" s="261"/>
      <c r="D40" s="2903">
        <v>100</v>
      </c>
      <c r="E40" s="259"/>
      <c r="F40" s="3752">
        <f>SUMIF(112:112,E40,113:113)-SUMIF(112:112,C40,113:113)+100</f>
        <v>100</v>
      </c>
      <c r="G40" s="278"/>
      <c r="H40" s="3748">
        <f>SUMIF(112:112,G40,113:113)-SUMIF(112:112,C40,113:113)+100</f>
        <v>100</v>
      </c>
      <c r="I40" s="278"/>
      <c r="J40" s="3748">
        <f>SUMIF(112:112,I40,113:113)-SUMIF(112:112,C40,113:113)+100</f>
        <v>100</v>
      </c>
      <c r="K40" s="395"/>
      <c r="L40" s="602"/>
      <c r="M40" s="593"/>
      <c r="N40" s="593"/>
      <c r="O40" s="601"/>
      <c r="P40" s="4622"/>
      <c r="Q40" s="1507">
        <f t="shared" si="11"/>
        <v>111</v>
      </c>
      <c r="R40" s="3760" t="s">
        <v>13</v>
      </c>
      <c r="S40" s="3762">
        <f t="shared" si="12"/>
        <v>100</v>
      </c>
      <c r="T40" s="3760" t="s">
        <v>13</v>
      </c>
      <c r="U40" s="3762">
        <f t="shared" si="13"/>
        <v>100</v>
      </c>
      <c r="V40" s="3760" t="s">
        <v>13</v>
      </c>
      <c r="W40" s="3762">
        <f t="shared" si="14"/>
        <v>100</v>
      </c>
      <c r="X40" s="909"/>
      <c r="Y40" s="4548"/>
      <c r="Z40" s="907">
        <f t="shared" si="15"/>
        <v>111</v>
      </c>
      <c r="AA40" s="907">
        <f t="shared" si="3"/>
        <v>1</v>
      </c>
      <c r="AB40" s="907">
        <f t="shared" si="4"/>
        <v>1</v>
      </c>
      <c r="AC40" s="907">
        <f t="shared" si="5"/>
        <v>1</v>
      </c>
    </row>
    <row r="41" spans="1:29" ht="15">
      <c r="A41" s="286" t="s">
        <v>1615</v>
      </c>
      <c r="B41" s="287"/>
      <c r="C41" s="765" t="s">
        <v>0</v>
      </c>
      <c r="D41" s="288"/>
      <c r="E41" s="3205"/>
      <c r="F41" s="3153"/>
      <c r="G41" s="3206"/>
      <c r="H41" s="3154"/>
      <c r="I41" s="3205"/>
      <c r="J41" s="3154"/>
      <c r="K41" s="2862"/>
      <c r="L41" s="605"/>
      <c r="M41" s="593"/>
      <c r="N41" s="593"/>
      <c r="O41" s="593"/>
      <c r="P41" s="4549" t="str">
        <f>A41</f>
        <v>成交单价（元/平方米）</v>
      </c>
      <c r="Q41" s="4549"/>
      <c r="R41" s="4550">
        <f>E41</f>
        <v>0</v>
      </c>
      <c r="S41" s="4550"/>
      <c r="T41" s="4550">
        <f>G41</f>
        <v>0</v>
      </c>
      <c r="U41" s="4550"/>
      <c r="V41" s="4550">
        <f>I41</f>
        <v>0</v>
      </c>
      <c r="W41" s="4550"/>
      <c r="X41" s="265"/>
      <c r="Y41" s="486"/>
      <c r="Z41" s="265"/>
      <c r="AA41" s="265"/>
      <c r="AB41" s="265"/>
      <c r="AC41" s="265"/>
    </row>
    <row r="42" spans="1:29" ht="15.75" thickBot="1">
      <c r="A42" s="289" t="s">
        <v>1700</v>
      </c>
      <c r="B42" s="290"/>
      <c r="C42" s="3733" t="e">
        <f>R43</f>
        <v>#DIV/0!</v>
      </c>
      <c r="D42" s="3846" t="s">
        <v>2041</v>
      </c>
      <c r="E42" s="2885" t="e">
        <f>R42</f>
        <v>#DIV/0!</v>
      </c>
      <c r="F42" s="2801"/>
      <c r="G42" s="2884" t="e">
        <f>T42</f>
        <v>#DIV/0!</v>
      </c>
      <c r="H42" s="2801"/>
      <c r="I42" s="2885" t="e">
        <f>V42</f>
        <v>#DIV/0!</v>
      </c>
      <c r="J42" s="2801"/>
      <c r="K42" s="2855">
        <f>F42+H42+J42</f>
        <v>0</v>
      </c>
      <c r="L42" s="605"/>
      <c r="M42" s="593"/>
      <c r="N42" s="593"/>
      <c r="O42" s="593"/>
      <c r="P42" s="4549" t="str">
        <f>A42</f>
        <v>比较价值（元/平方米）</v>
      </c>
      <c r="Q42" s="4549"/>
      <c r="R42" s="4550" t="e">
        <f>IF(F1="售价",ROUND(PRODUCT(R41,AA7:AA40),0),ROUND(PRODUCT(R41,AA7:AA40),1))</f>
        <v>#DIV/0!</v>
      </c>
      <c r="S42" s="4550"/>
      <c r="T42" s="4550" t="e">
        <f>IF(F1="售价",ROUND(PRODUCT(T41,AB7:AB40),0),ROUND(PRODUCT(T41,AB7:AB40),1))</f>
        <v>#DIV/0!</v>
      </c>
      <c r="U42" s="4550"/>
      <c r="V42" s="4550" t="e">
        <f>IF(F1="售价",ROUND(PRODUCT(V41,AC7:AC40),0),ROUND(PRODUCT(V41,AC7:AC40),1))</f>
        <v>#DIV/0!</v>
      </c>
      <c r="W42" s="4550"/>
      <c r="X42" s="265"/>
      <c r="Y42" s="265"/>
      <c r="Z42" s="265"/>
      <c r="AA42" s="265"/>
      <c r="AB42" s="265"/>
      <c r="AC42" s="265"/>
    </row>
    <row r="43" spans="1:29" ht="15.75" thickBot="1">
      <c r="A43" s="291" t="s">
        <v>1701</v>
      </c>
      <c r="B43" s="292"/>
      <c r="C43" s="3745" t="e">
        <f>R43</f>
        <v>#DIV/0!</v>
      </c>
      <c r="D43" s="241"/>
      <c r="E43" s="241"/>
      <c r="F43" s="241"/>
      <c r="G43" s="241"/>
      <c r="H43" s="241"/>
      <c r="I43" s="241"/>
      <c r="J43" s="241"/>
      <c r="K43" s="487"/>
      <c r="L43" s="605"/>
      <c r="M43" s="593"/>
      <c r="N43" s="593"/>
      <c r="O43" s="593"/>
      <c r="P43" s="4551" t="str">
        <f>A43</f>
        <v>估价对象XX用房的比较价值（楼面单价，元/平方米）</v>
      </c>
      <c r="Q43" s="4552"/>
      <c r="R43" s="4553" t="e">
        <f>IF(F1="售价",ROUND(IF(D42="简单平均",AVERAGE(R42:V42),R42*F42+T42*H42+V42*J42),0),ROUND(IF(D42="简单平均",AVERAGE(R42:V42),R42*F42+T42*H42+V42*J42),1))</f>
        <v>#DIV/0!</v>
      </c>
      <c r="S43" s="4553"/>
      <c r="T43" s="4553"/>
      <c r="U43" s="4553"/>
      <c r="V43" s="4553"/>
      <c r="W43" s="4553"/>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9"/>
      <c r="Q51" s="3190"/>
    </row>
    <row r="52" spans="1:23" s="305" customFormat="1" ht="15">
      <c r="A52" s="303" t="s">
        <v>1586</v>
      </c>
      <c r="B52" s="304"/>
      <c r="C52" s="781" t="str">
        <f>YEAR(C7)&amp;"-"&amp;MONTH(C7)</f>
        <v>2026-1</v>
      </c>
      <c r="D52" s="782">
        <f>EDATE(C52,-1)</f>
        <v>45992</v>
      </c>
      <c r="E52" s="782">
        <f t="shared" ref="E52:O52" si="16">EDATE(D52,-1)</f>
        <v>45962</v>
      </c>
      <c r="F52" s="782">
        <f t="shared" si="16"/>
        <v>45931</v>
      </c>
      <c r="G52" s="782">
        <f t="shared" si="16"/>
        <v>45901</v>
      </c>
      <c r="H52" s="782">
        <f t="shared" si="16"/>
        <v>45870</v>
      </c>
      <c r="I52" s="782">
        <f t="shared" si="16"/>
        <v>45839</v>
      </c>
      <c r="J52" s="782">
        <f t="shared" si="16"/>
        <v>45809</v>
      </c>
      <c r="K52" s="782">
        <f t="shared" si="16"/>
        <v>45778</v>
      </c>
      <c r="L52" s="782">
        <f t="shared" si="16"/>
        <v>45748</v>
      </c>
      <c r="M52" s="782">
        <f t="shared" si="16"/>
        <v>45717</v>
      </c>
      <c r="N52" s="782">
        <f t="shared" si="16"/>
        <v>45689</v>
      </c>
      <c r="O52" s="782">
        <f t="shared" si="16"/>
        <v>45658</v>
      </c>
      <c r="P52" s="3191"/>
      <c r="Q52" s="3191"/>
      <c r="R52" s="3191"/>
      <c r="S52" s="3191"/>
      <c r="T52" s="3191"/>
      <c r="U52" s="3191"/>
      <c r="V52" s="3191"/>
      <c r="W52" s="3191"/>
    </row>
    <row r="53" spans="1:23" s="46" customFormat="1" ht="15">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5.75" thickBot="1">
      <c r="A54" s="312" t="s">
        <v>1623</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ht="15">
      <c r="A55" s="318" t="s">
        <v>1588</v>
      </c>
      <c r="B55" s="307"/>
      <c r="C55" s="319" t="s">
        <v>1683</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5.7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1626</v>
      </c>
      <c r="B57" s="322" t="s">
        <v>1592</v>
      </c>
      <c r="C57" s="323">
        <f>C9</f>
        <v>0</v>
      </c>
      <c r="D57" s="324"/>
      <c r="E57" s="324"/>
      <c r="F57" s="324"/>
      <c r="G57" s="324"/>
      <c r="H57" s="324"/>
      <c r="I57" s="324"/>
      <c r="J57" s="324"/>
      <c r="K57" s="325"/>
      <c r="L57" s="326"/>
      <c r="M57" s="327"/>
      <c r="N57" s="611"/>
      <c r="O57" s="611"/>
      <c r="P57" s="3193"/>
      <c r="Q57" s="3190"/>
    </row>
    <row r="58" spans="1:23" ht="15.75" thickBot="1">
      <c r="A58" s="254"/>
      <c r="B58" s="328"/>
      <c r="C58" s="329">
        <v>100</v>
      </c>
      <c r="D58" s="329"/>
      <c r="E58" s="329"/>
      <c r="F58" s="329"/>
      <c r="G58" s="329"/>
      <c r="H58" s="329"/>
      <c r="I58" s="329"/>
      <c r="J58" s="329"/>
      <c r="K58" s="329"/>
      <c r="L58" s="329"/>
      <c r="M58" s="330"/>
      <c r="N58" s="612"/>
      <c r="O58" s="612"/>
      <c r="P58" s="3193"/>
      <c r="Q58" s="3190"/>
    </row>
    <row r="59" spans="1:23" ht="27.75" thickTop="1">
      <c r="A59" s="254"/>
      <c r="B59" s="331" t="s">
        <v>1595</v>
      </c>
      <c r="C59" s="372"/>
      <c r="D59" s="372"/>
      <c r="E59" s="372"/>
      <c r="F59" s="372"/>
      <c r="G59" s="372"/>
      <c r="H59" s="372"/>
      <c r="I59" s="372"/>
      <c r="J59" s="372"/>
      <c r="K59" s="373"/>
      <c r="L59" s="374"/>
      <c r="M59" s="375"/>
      <c r="N59" s="611"/>
      <c r="O59" s="611"/>
      <c r="P59" s="3193"/>
      <c r="Q59" s="3190"/>
    </row>
    <row r="60" spans="1:23" ht="15.75" thickBot="1">
      <c r="A60" s="254"/>
      <c r="B60" s="336" t="s">
        <v>3865</v>
      </c>
      <c r="C60" s="329"/>
      <c r="D60" s="329"/>
      <c r="E60" s="329"/>
      <c r="F60" s="329"/>
      <c r="G60" s="329"/>
      <c r="H60" s="329"/>
      <c r="I60" s="329"/>
      <c r="J60" s="329"/>
      <c r="K60" s="329"/>
      <c r="L60" s="329"/>
      <c r="M60" s="330"/>
      <c r="N60" s="612"/>
      <c r="O60" s="612"/>
      <c r="P60" s="3193"/>
      <c r="Q60" s="3190"/>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ht="15">
      <c r="A62" s="254"/>
      <c r="B62" s="341"/>
      <c r="C62" s="342">
        <v>0</v>
      </c>
      <c r="D62" s="342">
        <v>0.5</v>
      </c>
      <c r="E62" s="342">
        <v>1</v>
      </c>
      <c r="F62" s="342">
        <v>1.5</v>
      </c>
      <c r="G62" s="342">
        <v>2</v>
      </c>
      <c r="H62" s="342"/>
      <c r="I62" s="342"/>
      <c r="J62" s="342"/>
      <c r="K62" s="343"/>
      <c r="L62" s="344"/>
      <c r="M62" s="345"/>
      <c r="N62" s="611"/>
      <c r="O62" s="611"/>
      <c r="P62" s="3193"/>
      <c r="Q62" s="3190"/>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5.7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5.7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5.7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5.7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5.7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5.7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3"/>
      <c r="Q70" s="3190"/>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3"/>
      <c r="Q72" s="3190"/>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3"/>
      <c r="Q74" s="3190"/>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3"/>
      <c r="Q76" s="3190"/>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3"/>
      <c r="Q78" s="3190"/>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5.7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5.7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5.7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5.7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5.7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5.7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5.75" thickTop="1">
      <c r="A86" s="254"/>
      <c r="B86" s="339">
        <f>B28</f>
        <v>111</v>
      </c>
      <c r="C86" s="20"/>
      <c r="D86" s="20"/>
      <c r="E86" s="20"/>
      <c r="F86" s="20"/>
      <c r="G86" s="376"/>
      <c r="H86" s="376"/>
      <c r="I86" s="376"/>
      <c r="J86" s="376"/>
      <c r="K86" s="377"/>
      <c r="L86" s="378"/>
      <c r="M86" s="379"/>
      <c r="N86" s="611"/>
      <c r="O86" s="611"/>
      <c r="P86" s="3193"/>
      <c r="Q86" s="3190"/>
    </row>
    <row r="87" spans="1:23" ht="15.75" thickBot="1">
      <c r="A87" s="260"/>
      <c r="B87" s="360"/>
      <c r="C87" s="361"/>
      <c r="D87" s="361"/>
      <c r="E87" s="361"/>
      <c r="F87" s="361"/>
      <c r="G87" s="380"/>
      <c r="H87" s="380"/>
      <c r="I87" s="380"/>
      <c r="J87" s="380"/>
      <c r="K87" s="380"/>
      <c r="L87" s="380"/>
      <c r="M87" s="381"/>
      <c r="N87" s="612"/>
      <c r="O87" s="612"/>
      <c r="P87" s="3193"/>
      <c r="Q87" s="3190"/>
    </row>
    <row r="88" spans="1:23">
      <c r="A88" s="262" t="s">
        <v>1601</v>
      </c>
      <c r="B88" s="322" t="s">
        <v>1643</v>
      </c>
      <c r="C88" s="324"/>
      <c r="D88" s="324"/>
      <c r="E88" s="324"/>
      <c r="F88" s="324"/>
      <c r="G88" s="324"/>
      <c r="H88" s="324"/>
      <c r="I88" s="324"/>
      <c r="J88" s="324"/>
      <c r="K88" s="325"/>
      <c r="L88" s="326"/>
      <c r="M88" s="327"/>
      <c r="N88" s="611"/>
      <c r="O88" s="611"/>
      <c r="P88" s="3193"/>
      <c r="Q88" s="3190"/>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5.7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5" thickTop="1">
      <c r="A93" s="280"/>
      <c r="B93" s="331" t="s">
        <v>1645</v>
      </c>
      <c r="C93" s="347"/>
      <c r="D93" s="347"/>
      <c r="E93" s="372"/>
      <c r="F93" s="372"/>
      <c r="G93" s="372"/>
      <c r="H93" s="372"/>
      <c r="I93" s="372"/>
      <c r="J93" s="372"/>
      <c r="K93" s="373"/>
      <c r="L93" s="374"/>
      <c r="M93" s="375"/>
      <c r="N93" s="611"/>
      <c r="O93" s="611"/>
      <c r="P93" s="3193"/>
      <c r="Q93" s="3190"/>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5" thickTop="1">
      <c r="A95" s="280"/>
      <c r="B95" s="331" t="s">
        <v>1647</v>
      </c>
      <c r="C95" s="347"/>
      <c r="D95" s="347"/>
      <c r="E95" s="347"/>
      <c r="F95" s="372"/>
      <c r="G95" s="372"/>
      <c r="H95" s="372"/>
      <c r="I95" s="372"/>
      <c r="J95" s="372"/>
      <c r="K95" s="373"/>
      <c r="L95" s="374"/>
      <c r="M95" s="375"/>
      <c r="N95" s="611"/>
      <c r="O95" s="611"/>
      <c r="P95" s="3193"/>
      <c r="Q95" s="3190"/>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5" thickTop="1">
      <c r="A100" s="277"/>
      <c r="B100" s="331" t="s">
        <v>1648</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5" thickTop="1">
      <c r="A102" s="280"/>
      <c r="B102" s="331" t="s">
        <v>1649</v>
      </c>
      <c r="C102" s="347"/>
      <c r="D102" s="347"/>
      <c r="E102" s="347"/>
      <c r="F102" s="347"/>
      <c r="G102" s="347"/>
      <c r="H102" s="372"/>
      <c r="I102" s="372"/>
      <c r="J102" s="372"/>
      <c r="K102" s="373"/>
      <c r="L102" s="374"/>
      <c r="M102" s="375"/>
      <c r="N102" s="611"/>
      <c r="O102" s="611"/>
      <c r="P102" s="3193"/>
      <c r="Q102" s="3190"/>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5" thickTop="1">
      <c r="A104" s="280"/>
      <c r="B104" s="331" t="s">
        <v>1651</v>
      </c>
      <c r="C104" s="347"/>
      <c r="D104" s="347"/>
      <c r="E104" s="347"/>
      <c r="F104" s="347"/>
      <c r="G104" s="347"/>
      <c r="H104" s="372"/>
      <c r="I104" s="372"/>
      <c r="J104" s="372"/>
      <c r="K104" s="373"/>
      <c r="L104" s="374"/>
      <c r="M104" s="375"/>
      <c r="N104" s="611"/>
      <c r="O104" s="611"/>
      <c r="P104" s="3193"/>
      <c r="Q104" s="3190"/>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8"/>
      <c r="Q106" s="3199"/>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5.7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5" thickTop="1">
      <c r="A110" s="280"/>
      <c r="B110" s="331">
        <f>B39</f>
        <v>111</v>
      </c>
      <c r="C110" s="347"/>
      <c r="D110" s="347"/>
      <c r="E110" s="347"/>
      <c r="F110" s="347"/>
      <c r="G110" s="347"/>
      <c r="H110" s="348"/>
      <c r="I110" s="348"/>
      <c r="J110" s="348"/>
      <c r="K110" s="348"/>
      <c r="L110" s="349"/>
      <c r="M110" s="350"/>
      <c r="N110" s="611"/>
      <c r="O110" s="611"/>
      <c r="P110" s="3193"/>
      <c r="Q110" s="3190"/>
    </row>
    <row r="111" spans="1:23" ht="15.75" thickBot="1">
      <c r="A111" s="254"/>
      <c r="B111" s="336"/>
      <c r="C111" s="352"/>
      <c r="D111" s="329"/>
      <c r="E111" s="329"/>
      <c r="F111" s="329"/>
      <c r="G111" s="352"/>
      <c r="H111" s="354"/>
      <c r="I111" s="354"/>
      <c r="J111" s="354"/>
      <c r="K111" s="354"/>
      <c r="L111" s="354"/>
      <c r="M111" s="355"/>
      <c r="N111" s="612"/>
      <c r="O111" s="612"/>
      <c r="P111" s="3193"/>
      <c r="Q111" s="3190"/>
    </row>
    <row r="112" spans="1:23" ht="15" thickTop="1">
      <c r="A112" s="280"/>
      <c r="B112" s="339">
        <f>B40</f>
        <v>111</v>
      </c>
      <c r="C112" s="20"/>
      <c r="D112" s="20"/>
      <c r="E112" s="20"/>
      <c r="F112" s="20"/>
      <c r="G112" s="376"/>
      <c r="H112" s="376"/>
      <c r="I112" s="376"/>
      <c r="J112" s="376"/>
      <c r="K112" s="20"/>
      <c r="L112" s="320"/>
      <c r="M112" s="379"/>
      <c r="N112" s="611"/>
      <c r="O112" s="611"/>
      <c r="P112" s="3193"/>
      <c r="Q112" s="3190"/>
    </row>
    <row r="113" spans="1:17" ht="15.7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3210</v>
      </c>
      <c r="C1" s="812" t="s">
        <v>1569</v>
      </c>
      <c r="D1" s="813"/>
      <c r="E1" s="2475"/>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1675</v>
      </c>
      <c r="D3" s="2880">
        <f>SUMIF('数据-汇总表'!$C19:$C33,D1,'数据-汇总表'!$E19:$E33)</f>
        <v>0</v>
      </c>
      <c r="E3" s="234" t="s">
        <v>1739</v>
      </c>
      <c r="F3" s="392">
        <f>SUMIF('数据-取费表'!A5:A15,D1,'数据-取费表'!AH5:AH15)</f>
        <v>0</v>
      </c>
      <c r="G3" s="3847" t="s">
        <v>3466</v>
      </c>
      <c r="H3" s="3848">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603" t="s">
        <v>1677</v>
      </c>
      <c r="D4" s="4604"/>
      <c r="E4" s="4605" t="s">
        <v>1678</v>
      </c>
      <c r="F4" s="4606"/>
      <c r="G4" s="4603" t="s">
        <v>1679</v>
      </c>
      <c r="H4" s="4604"/>
      <c r="I4" s="4603" t="s">
        <v>1680</v>
      </c>
      <c r="J4" s="4604"/>
      <c r="K4" s="393" t="s">
        <v>1681</v>
      </c>
      <c r="L4" s="1974"/>
      <c r="M4" s="1975"/>
      <c r="N4" s="1975"/>
      <c r="O4" s="1975"/>
      <c r="P4" s="4624" t="s">
        <v>1682</v>
      </c>
      <c r="Q4" s="4625"/>
      <c r="R4" s="4533" t="s">
        <v>1678</v>
      </c>
      <c r="S4" s="4534"/>
      <c r="T4" s="4533" t="s">
        <v>1679</v>
      </c>
      <c r="U4" s="4534"/>
      <c r="V4" s="4501" t="s">
        <v>1680</v>
      </c>
      <c r="W4" s="4501"/>
      <c r="X4" s="909"/>
      <c r="Y4" s="4533" t="s">
        <v>1682</v>
      </c>
      <c r="Z4" s="4534"/>
      <c r="AA4" s="4498" t="s">
        <v>1678</v>
      </c>
      <c r="AB4" s="4499" t="s">
        <v>1679</v>
      </c>
      <c r="AC4" s="4498" t="s">
        <v>1680</v>
      </c>
    </row>
    <row r="5" spans="1:29" ht="15">
      <c r="A5" s="238"/>
      <c r="B5" s="239"/>
      <c r="C5" s="4594" t="s">
        <v>1580</v>
      </c>
      <c r="D5" s="4595"/>
      <c r="E5" s="4592" t="s">
        <v>1581</v>
      </c>
      <c r="F5" s="4593"/>
      <c r="G5" s="4594" t="s">
        <v>1582</v>
      </c>
      <c r="H5" s="4595"/>
      <c r="I5" s="4594" t="s">
        <v>1583</v>
      </c>
      <c r="J5" s="4595"/>
      <c r="K5" s="393"/>
      <c r="L5" s="1974"/>
      <c r="M5" s="1975"/>
      <c r="N5" s="1975"/>
      <c r="O5" s="1975"/>
      <c r="P5" s="4626"/>
      <c r="Q5" s="4627"/>
      <c r="R5" s="4535"/>
      <c r="S5" s="4536"/>
      <c r="T5" s="4535"/>
      <c r="U5" s="4536"/>
      <c r="V5" s="4501"/>
      <c r="W5" s="4501"/>
      <c r="X5" s="909"/>
      <c r="Y5" s="4535"/>
      <c r="Z5" s="4536"/>
      <c r="AA5" s="4499"/>
      <c r="AB5" s="4499"/>
      <c r="AC5" s="4499"/>
    </row>
    <row r="6" spans="1:29" ht="15.75" thickBot="1">
      <c r="A6" s="240"/>
      <c r="B6" s="241"/>
      <c r="C6" s="4596" t="s">
        <v>1584</v>
      </c>
      <c r="D6" s="4597"/>
      <c r="E6" s="4598" t="s">
        <v>1584</v>
      </c>
      <c r="F6" s="4599"/>
      <c r="G6" s="4596" t="s">
        <v>1584</v>
      </c>
      <c r="H6" s="4597"/>
      <c r="I6" s="4596" t="s">
        <v>1584</v>
      </c>
      <c r="J6" s="4597"/>
      <c r="K6" s="393" t="s">
        <v>1585</v>
      </c>
      <c r="L6" s="1974"/>
      <c r="M6" s="1975"/>
      <c r="N6" s="1975"/>
      <c r="O6" s="1975"/>
      <c r="P6" s="4628"/>
      <c r="Q6" s="4629"/>
      <c r="R6" s="4535"/>
      <c r="S6" s="4536"/>
      <c r="T6" s="4537"/>
      <c r="U6" s="4538"/>
      <c r="V6" s="4501"/>
      <c r="W6" s="4501"/>
      <c r="X6" s="909"/>
      <c r="Y6" s="4537"/>
      <c r="Z6" s="4538"/>
      <c r="AA6" s="4500"/>
      <c r="AB6" s="4500"/>
      <c r="AC6" s="4500"/>
    </row>
    <row r="7" spans="1:29" s="46" customFormat="1" ht="15.75" thickBot="1">
      <c r="A7" s="242" t="s">
        <v>1586</v>
      </c>
      <c r="B7" s="243"/>
      <c r="C7" s="244">
        <f>'数据-取费表'!B2</f>
        <v>46050</v>
      </c>
      <c r="D7" s="2898">
        <v>100</v>
      </c>
      <c r="E7" s="245"/>
      <c r="F7" s="3747">
        <f>SUMIF(48:48,YEAR(E7)&amp;"-"&amp;MONTH(E7),49:49)</f>
        <v>0</v>
      </c>
      <c r="G7" s="245"/>
      <c r="H7" s="3753">
        <f>SUMIF(48:48,YEAR(G7)&amp;"-"&amp;MONTH(G7),49:49)</f>
        <v>0</v>
      </c>
      <c r="I7" s="245"/>
      <c r="J7" s="3753">
        <f>SUMIF(48:48,YEAR(I7)&amp;"-"&amp;MONTH(I7),49:49)</f>
        <v>0</v>
      </c>
      <c r="K7" s="22"/>
      <c r="L7" s="1976"/>
      <c r="M7" s="1929"/>
      <c r="N7" s="1929"/>
      <c r="O7" s="1929"/>
      <c r="P7" s="4502" t="s">
        <v>1587</v>
      </c>
      <c r="Q7" s="4630"/>
      <c r="R7" s="3766" t="s">
        <v>13</v>
      </c>
      <c r="S7" s="3769">
        <f t="shared" ref="S7:S14" si="0">F7</f>
        <v>0</v>
      </c>
      <c r="T7" s="3766" t="s">
        <v>13</v>
      </c>
      <c r="U7" s="3769">
        <f t="shared" ref="U7:U14" si="1">H7</f>
        <v>0</v>
      </c>
      <c r="V7" s="3766" t="s">
        <v>13</v>
      </c>
      <c r="W7" s="3769">
        <f t="shared" ref="W7:W14" si="2">J7</f>
        <v>0</v>
      </c>
      <c r="X7" s="482"/>
      <c r="Y7" s="4502" t="s">
        <v>1587</v>
      </c>
      <c r="Z7" s="4503"/>
      <c r="AA7" s="28" t="e">
        <f>D7/F7</f>
        <v>#DIV/0!</v>
      </c>
      <c r="AB7" s="28" t="e">
        <f>D7/H7</f>
        <v>#DIV/0!</v>
      </c>
      <c r="AC7" s="28" t="e">
        <f>D7/J7</f>
        <v>#DIV/0!</v>
      </c>
    </row>
    <row r="8" spans="1:29" s="46" customFormat="1" ht="15.75" thickBot="1">
      <c r="A8" s="242" t="s">
        <v>1588</v>
      </c>
      <c r="B8" s="243"/>
      <c r="C8" s="246"/>
      <c r="D8" s="2898">
        <v>100</v>
      </c>
      <c r="E8" s="246"/>
      <c r="F8" s="3747">
        <f>SUMIF(51:51,E8,52:52)-SUMIF(51:51,C8,52:52)+100</f>
        <v>100</v>
      </c>
      <c r="G8" s="246"/>
      <c r="H8" s="3753">
        <f>SUMIF(51:51,G8,52:52)-SUMIF(51:51,C8,52:52)+100</f>
        <v>100</v>
      </c>
      <c r="I8" s="246"/>
      <c r="J8" s="3753">
        <f>SUMIF(51:51,I8,52:52)-SUMIF(51:51,C8,52:52)+100</f>
        <v>100</v>
      </c>
      <c r="K8" s="22"/>
      <c r="L8" s="1976"/>
      <c r="M8" s="1929"/>
      <c r="N8" s="1929"/>
      <c r="O8" s="1929"/>
      <c r="P8" s="4502" t="s">
        <v>1590</v>
      </c>
      <c r="Q8" s="4503"/>
      <c r="R8" s="3766" t="s">
        <v>13</v>
      </c>
      <c r="S8" s="3769">
        <f t="shared" si="0"/>
        <v>100</v>
      </c>
      <c r="T8" s="3766" t="s">
        <v>13</v>
      </c>
      <c r="U8" s="3769">
        <f t="shared" si="1"/>
        <v>100</v>
      </c>
      <c r="V8" s="3766" t="s">
        <v>13</v>
      </c>
      <c r="W8" s="3769">
        <f t="shared" si="2"/>
        <v>100</v>
      </c>
      <c r="X8" s="482"/>
      <c r="Y8" s="4502" t="s">
        <v>1590</v>
      </c>
      <c r="Z8" s="4503"/>
      <c r="AA8" s="28">
        <f t="shared" ref="AA8:AA36" si="3">D8/F8</f>
        <v>1</v>
      </c>
      <c r="AB8" s="28">
        <f t="shared" ref="AB8:AB36" si="4">D8/H8</f>
        <v>1</v>
      </c>
      <c r="AC8" s="28">
        <f t="shared" ref="AC8:AC36" si="5">D8/J8</f>
        <v>1</v>
      </c>
    </row>
    <row r="9" spans="1:29" s="46" customFormat="1">
      <c r="A9" s="31" t="s">
        <v>1591</v>
      </c>
      <c r="B9" s="412" t="s">
        <v>1592</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23" t="s">
        <v>1593</v>
      </c>
      <c r="Q9" s="389" t="str">
        <f t="shared" ref="Q9:Q14" si="6">B9</f>
        <v>用途</v>
      </c>
      <c r="R9" s="3766" t="s">
        <v>13</v>
      </c>
      <c r="S9" s="3769">
        <f t="shared" si="0"/>
        <v>100</v>
      </c>
      <c r="T9" s="3766" t="s">
        <v>13</v>
      </c>
      <c r="U9" s="3769">
        <f t="shared" si="1"/>
        <v>100</v>
      </c>
      <c r="V9" s="3766" t="s">
        <v>13</v>
      </c>
      <c r="W9" s="3769">
        <f t="shared" si="2"/>
        <v>100</v>
      </c>
      <c r="X9" s="482"/>
      <c r="Y9" s="4517" t="s">
        <v>1594</v>
      </c>
      <c r="Z9" s="28" t="str">
        <f t="shared" ref="Z9:Z14" si="7">Q9</f>
        <v>用途</v>
      </c>
      <c r="AA9" s="28">
        <f t="shared" si="3"/>
        <v>1</v>
      </c>
      <c r="AB9" s="28">
        <f t="shared" si="4"/>
        <v>1</v>
      </c>
      <c r="AC9" s="28">
        <f t="shared" si="5"/>
        <v>1</v>
      </c>
    </row>
    <row r="10" spans="1:29" s="253" customFormat="1" ht="27">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23"/>
      <c r="Q10" s="389" t="str">
        <f t="shared" si="6"/>
        <v>土地使用年限（年）</v>
      </c>
      <c r="R10" s="3766" t="s">
        <v>13</v>
      </c>
      <c r="S10" s="3769">
        <f t="shared" si="0"/>
        <v>100</v>
      </c>
      <c r="T10" s="3766" t="s">
        <v>13</v>
      </c>
      <c r="U10" s="3769">
        <f t="shared" si="1"/>
        <v>100</v>
      </c>
      <c r="V10" s="3766" t="s">
        <v>13</v>
      </c>
      <c r="W10" s="3769">
        <f t="shared" si="2"/>
        <v>100</v>
      </c>
      <c r="X10" s="482"/>
      <c r="Y10" s="4517"/>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23"/>
      <c r="Q11" s="389">
        <f t="shared" si="6"/>
        <v>111</v>
      </c>
      <c r="R11" s="3766" t="s">
        <v>13</v>
      </c>
      <c r="S11" s="3769">
        <f t="shared" si="0"/>
        <v>100</v>
      </c>
      <c r="T11" s="3766" t="s">
        <v>13</v>
      </c>
      <c r="U11" s="3769">
        <f t="shared" si="1"/>
        <v>100</v>
      </c>
      <c r="V11" s="3766" t="s">
        <v>13</v>
      </c>
      <c r="W11" s="3769">
        <f t="shared" si="2"/>
        <v>100</v>
      </c>
      <c r="X11" s="482"/>
      <c r="Y11" s="4517"/>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23"/>
      <c r="Q12" s="389">
        <f t="shared" si="6"/>
        <v>111</v>
      </c>
      <c r="R12" s="3766" t="s">
        <v>13</v>
      </c>
      <c r="S12" s="3769">
        <f t="shared" si="0"/>
        <v>100</v>
      </c>
      <c r="T12" s="3766" t="s">
        <v>13</v>
      </c>
      <c r="U12" s="3769">
        <f t="shared" si="1"/>
        <v>100</v>
      </c>
      <c r="V12" s="3766" t="s">
        <v>13</v>
      </c>
      <c r="W12" s="3769">
        <f t="shared" si="2"/>
        <v>100</v>
      </c>
      <c r="X12" s="482"/>
      <c r="Y12" s="4517"/>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1">
        <f>SUMIF(61:61,G13,62:62)-SUMIF(61:61,C13,62:62)+100</f>
        <v>100</v>
      </c>
      <c r="I13" s="258"/>
      <c r="J13" s="3751">
        <f>SUMIF(61:61,I13,62:62)-SUMIF(61:61,C13,62:62)+100</f>
        <v>100</v>
      </c>
      <c r="K13" s="395"/>
      <c r="L13" s="1980"/>
      <c r="M13" s="1975"/>
      <c r="N13" s="1975"/>
      <c r="O13" s="1975"/>
      <c r="P13" s="4623"/>
      <c r="Q13" s="389">
        <f t="shared" si="6"/>
        <v>111</v>
      </c>
      <c r="R13" s="3766" t="s">
        <v>13</v>
      </c>
      <c r="S13" s="3769">
        <f t="shared" si="0"/>
        <v>100</v>
      </c>
      <c r="T13" s="3766" t="s">
        <v>13</v>
      </c>
      <c r="U13" s="3769">
        <f t="shared" si="1"/>
        <v>100</v>
      </c>
      <c r="V13" s="3766" t="s">
        <v>13</v>
      </c>
      <c r="W13" s="3769">
        <f t="shared" si="2"/>
        <v>100</v>
      </c>
      <c r="X13" s="482"/>
      <c r="Y13" s="4517"/>
      <c r="Z13" s="28">
        <f t="shared" si="7"/>
        <v>111</v>
      </c>
      <c r="AA13" s="28">
        <f t="shared" si="3"/>
        <v>1</v>
      </c>
      <c r="AB13" s="28">
        <f t="shared" si="4"/>
        <v>1</v>
      </c>
      <c r="AC13" s="28">
        <f t="shared" si="5"/>
        <v>1</v>
      </c>
    </row>
    <row r="14" spans="1:29" ht="15">
      <c r="A14" s="235" t="s">
        <v>1597</v>
      </c>
      <c r="B14" s="403" t="s">
        <v>1740</v>
      </c>
      <c r="C14" s="1424">
        <f>IF(B1="工业",估价对象房地状况!G4,估价对象房地状况!C6)</f>
        <v>0</v>
      </c>
      <c r="D14" s="2904">
        <v>100</v>
      </c>
      <c r="E14" s="263"/>
      <c r="F14" s="3755">
        <f>SUMIF(63:63,E15,64:64)-SUMIF(63:63,C15,64:64)+100</f>
        <v>100</v>
      </c>
      <c r="G14" s="264"/>
      <c r="H14" s="3749">
        <f>SUMIF(63:63,G15,64:64)-SUMIF(63:63,C15,64:64)+100</f>
        <v>100</v>
      </c>
      <c r="I14" s="263"/>
      <c r="J14" s="3749">
        <f>SUMIF(63:63,I15,64:64)-SUMIF(63:63,C15,64:64)+100</f>
        <v>100</v>
      </c>
      <c r="K14" s="396"/>
      <c r="L14" s="1980"/>
      <c r="M14" s="1975"/>
      <c r="N14" s="1975"/>
      <c r="O14" s="1975"/>
      <c r="P14" s="4542" t="s">
        <v>1598</v>
      </c>
      <c r="Q14" s="906" t="str">
        <f t="shared" si="6"/>
        <v>交通便捷度</v>
      </c>
      <c r="R14" s="3767" t="s">
        <v>13</v>
      </c>
      <c r="S14" s="3770">
        <f t="shared" si="0"/>
        <v>100</v>
      </c>
      <c r="T14" s="3767" t="s">
        <v>13</v>
      </c>
      <c r="U14" s="3770">
        <f t="shared" si="1"/>
        <v>100</v>
      </c>
      <c r="V14" s="3767" t="s">
        <v>13</v>
      </c>
      <c r="W14" s="3770">
        <f t="shared" si="2"/>
        <v>100</v>
      </c>
      <c r="X14" s="909"/>
      <c r="Y14" s="4542" t="s">
        <v>1598</v>
      </c>
      <c r="Z14" s="907" t="str">
        <f t="shared" si="7"/>
        <v>交通便捷度</v>
      </c>
      <c r="AA14" s="907">
        <f t="shared" si="3"/>
        <v>1</v>
      </c>
      <c r="AB14" s="907">
        <f t="shared" si="4"/>
        <v>1</v>
      </c>
      <c r="AC14" s="907">
        <f t="shared" si="5"/>
        <v>1</v>
      </c>
    </row>
    <row r="15" spans="1:29" ht="15">
      <c r="A15" s="238"/>
      <c r="B15" s="419"/>
      <c r="C15" s="266"/>
      <c r="D15" s="2905"/>
      <c r="E15" s="266"/>
      <c r="F15" s="3756"/>
      <c r="G15" s="266"/>
      <c r="H15" s="268"/>
      <c r="I15" s="266"/>
      <c r="J15" s="267"/>
      <c r="K15" s="397"/>
      <c r="L15" s="1980"/>
      <c r="M15" s="1975"/>
      <c r="N15" s="1975"/>
      <c r="O15" s="1975"/>
      <c r="P15" s="4543"/>
      <c r="Q15" s="906"/>
      <c r="R15" s="3767"/>
      <c r="S15" s="3770"/>
      <c r="T15" s="3767"/>
      <c r="U15" s="3770"/>
      <c r="V15" s="3767"/>
      <c r="W15" s="3770"/>
      <c r="X15" s="909"/>
      <c r="Y15" s="4543"/>
      <c r="Z15" s="907"/>
      <c r="AA15" s="907">
        <v>1</v>
      </c>
      <c r="AB15" s="907">
        <v>1</v>
      </c>
      <c r="AC15" s="907">
        <v>1</v>
      </c>
    </row>
    <row r="16" spans="1:29" ht="15">
      <c r="A16" s="238"/>
      <c r="B16" s="405" t="s">
        <v>1719</v>
      </c>
      <c r="C16" s="1364">
        <f>IF(B1="工业",估价对象房地状况!G5,估价对象房地状况!C7)</f>
        <v>0</v>
      </c>
      <c r="D16" s="2907">
        <v>100</v>
      </c>
      <c r="E16" s="273"/>
      <c r="F16" s="3758">
        <f>SUMIF(65:65,E17,66:66)-SUMIF(65:65,C17,66:66)+100</f>
        <v>100</v>
      </c>
      <c r="G16" s="274"/>
      <c r="H16" s="3750">
        <f>SUMIF(65:65,G17,66:66)-SUMIF(65:65,C17,66:66)+100</f>
        <v>100</v>
      </c>
      <c r="I16" s="273"/>
      <c r="J16" s="3750">
        <f>SUMIF(65:65,I17,66:66)-SUMIF(65:65,C17,66:66)+100</f>
        <v>100</v>
      </c>
      <c r="K16" s="396"/>
      <c r="L16" s="1980"/>
      <c r="M16" s="1975"/>
      <c r="N16" s="1975"/>
      <c r="O16" s="1975"/>
      <c r="P16" s="4543"/>
      <c r="Q16" s="906" t="str">
        <f>B16</f>
        <v>公共配套设施</v>
      </c>
      <c r="R16" s="3767" t="s">
        <v>13</v>
      </c>
      <c r="S16" s="3770">
        <f>F16</f>
        <v>100</v>
      </c>
      <c r="T16" s="3767" t="s">
        <v>13</v>
      </c>
      <c r="U16" s="3770">
        <f>H16</f>
        <v>100</v>
      </c>
      <c r="V16" s="3767" t="s">
        <v>13</v>
      </c>
      <c r="W16" s="3770">
        <f>J16</f>
        <v>100</v>
      </c>
      <c r="X16" s="909"/>
      <c r="Y16" s="4543"/>
      <c r="Z16" s="907" t="str">
        <f>Q16</f>
        <v>公共配套设施</v>
      </c>
      <c r="AA16" s="907">
        <f t="shared" si="3"/>
        <v>1</v>
      </c>
      <c r="AB16" s="907">
        <f t="shared" si="4"/>
        <v>1</v>
      </c>
      <c r="AC16" s="907">
        <f t="shared" si="5"/>
        <v>1</v>
      </c>
    </row>
    <row r="17" spans="1:29" ht="15">
      <c r="A17" s="238"/>
      <c r="B17" s="406"/>
      <c r="C17" s="1365"/>
      <c r="D17" s="2905"/>
      <c r="E17" s="266"/>
      <c r="F17" s="3756"/>
      <c r="G17" s="266"/>
      <c r="H17" s="267"/>
      <c r="I17" s="266"/>
      <c r="J17" s="267"/>
      <c r="K17" s="397"/>
      <c r="L17" s="1980"/>
      <c r="M17" s="1975"/>
      <c r="N17" s="1975"/>
      <c r="O17" s="1975"/>
      <c r="P17" s="4543"/>
      <c r="Q17" s="906"/>
      <c r="R17" s="3767"/>
      <c r="S17" s="3770"/>
      <c r="T17" s="3767"/>
      <c r="U17" s="3770"/>
      <c r="V17" s="3767"/>
      <c r="W17" s="3770"/>
      <c r="X17" s="909"/>
      <c r="Y17" s="4543"/>
      <c r="Z17" s="907"/>
      <c r="AA17" s="907">
        <v>1</v>
      </c>
      <c r="AB17" s="907">
        <v>1</v>
      </c>
      <c r="AC17" s="907">
        <v>1</v>
      </c>
    </row>
    <row r="18" spans="1:29" ht="15">
      <c r="A18" s="238"/>
      <c r="B18" s="407" t="s">
        <v>1720</v>
      </c>
      <c r="C18" s="1364">
        <f>IF(B1="工业",估价对象房地状况!G6,估价对象房地状况!C8)</f>
        <v>0</v>
      </c>
      <c r="D18" s="2906">
        <v>100</v>
      </c>
      <c r="E18" s="270"/>
      <c r="F18" s="3758">
        <f>SUMIF(67:67,E19,68:68)-SUMIF(67:67,C19,68:68)+100</f>
        <v>100</v>
      </c>
      <c r="G18" s="271"/>
      <c r="H18" s="3750">
        <f>SUMIF(67:67,G19,68:68)-SUMIF(67:67,C19,68:68)+100</f>
        <v>100</v>
      </c>
      <c r="I18" s="270"/>
      <c r="J18" s="3750">
        <f>SUMIF(67:67,I19,68:68)-SUMIF(67:67,C19,68:68)+100</f>
        <v>100</v>
      </c>
      <c r="K18" s="396"/>
      <c r="L18" s="1980"/>
      <c r="M18" s="1975"/>
      <c r="N18" s="1975"/>
      <c r="O18" s="1975"/>
      <c r="P18" s="4543"/>
      <c r="Q18" s="906" t="str">
        <f>B18</f>
        <v>基础设施水平</v>
      </c>
      <c r="R18" s="3767" t="s">
        <v>13</v>
      </c>
      <c r="S18" s="3770">
        <f>F18</f>
        <v>100</v>
      </c>
      <c r="T18" s="3767" t="s">
        <v>13</v>
      </c>
      <c r="U18" s="3770">
        <f>H18</f>
        <v>100</v>
      </c>
      <c r="V18" s="3767" t="s">
        <v>13</v>
      </c>
      <c r="W18" s="3770">
        <f>J18</f>
        <v>100</v>
      </c>
      <c r="X18" s="909"/>
      <c r="Y18" s="4543"/>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57"/>
      <c r="G19" s="1365"/>
      <c r="H19" s="267"/>
      <c r="I19" s="266"/>
      <c r="J19" s="267"/>
      <c r="K19" s="758"/>
      <c r="L19" s="1980"/>
      <c r="M19" s="1975"/>
      <c r="N19" s="1975"/>
      <c r="O19" s="1975"/>
      <c r="P19" s="4543"/>
      <c r="Q19" s="906"/>
      <c r="R19" s="3767"/>
      <c r="S19" s="3770"/>
      <c r="T19" s="3767"/>
      <c r="U19" s="3770"/>
      <c r="V19" s="3767"/>
      <c r="W19" s="3770"/>
      <c r="X19" s="909"/>
      <c r="Y19" s="4543"/>
      <c r="Z19" s="907"/>
      <c r="AA19" s="907">
        <v>1</v>
      </c>
      <c r="AB19" s="907">
        <v>1</v>
      </c>
      <c r="AC19" s="907">
        <v>1</v>
      </c>
    </row>
    <row r="20" spans="1:29" ht="15">
      <c r="A20" s="238"/>
      <c r="B20" s="405" t="s">
        <v>1741</v>
      </c>
      <c r="C20" s="1364">
        <f>IF(B1="工业",估价对象房地状况!G7,估价对象房地状况!C9)</f>
        <v>0</v>
      </c>
      <c r="D20" s="2907">
        <v>100</v>
      </c>
      <c r="E20" s="273"/>
      <c r="F20" s="3758">
        <f>SUMIF(69:69,E21,70:70)-SUMIF(69:69,C21,70:70)+100</f>
        <v>100</v>
      </c>
      <c r="G20" s="274"/>
      <c r="H20" s="268">
        <f>SUMIF(69:69,G21,70:70)-SUMIF(69:69,C21,70:70)+100</f>
        <v>100</v>
      </c>
      <c r="I20" s="270"/>
      <c r="J20" s="268">
        <f>SUMIF(69:69,I21,70:70)-SUMIF(69:69,C21,70:70)+100</f>
        <v>100</v>
      </c>
      <c r="K20" s="396"/>
      <c r="L20" s="1980"/>
      <c r="M20" s="1975"/>
      <c r="N20" s="1975"/>
      <c r="O20" s="1975"/>
      <c r="P20" s="4543"/>
      <c r="Q20" s="906" t="str">
        <f>B20</f>
        <v>自然及人文环境</v>
      </c>
      <c r="R20" s="3767" t="s">
        <v>13</v>
      </c>
      <c r="S20" s="3770">
        <f>F20</f>
        <v>100</v>
      </c>
      <c r="T20" s="3767" t="s">
        <v>13</v>
      </c>
      <c r="U20" s="3770">
        <f>H20</f>
        <v>100</v>
      </c>
      <c r="V20" s="3767" t="s">
        <v>13</v>
      </c>
      <c r="W20" s="3770">
        <f>J20</f>
        <v>100</v>
      </c>
      <c r="X20" s="909"/>
      <c r="Y20" s="4543"/>
      <c r="Z20" s="907" t="str">
        <f>Q20</f>
        <v>自然及人文环境</v>
      </c>
      <c r="AA20" s="907">
        <f t="shared" si="3"/>
        <v>1</v>
      </c>
      <c r="AB20" s="907">
        <f t="shared" si="4"/>
        <v>1</v>
      </c>
      <c r="AC20" s="907">
        <f t="shared" si="5"/>
        <v>1</v>
      </c>
    </row>
    <row r="21" spans="1:29" ht="15">
      <c r="A21" s="238"/>
      <c r="B21" s="406"/>
      <c r="C21" s="266"/>
      <c r="D21" s="2905"/>
      <c r="E21" s="266"/>
      <c r="F21" s="3756"/>
      <c r="G21" s="266"/>
      <c r="H21" s="267"/>
      <c r="I21" s="266"/>
      <c r="J21" s="267"/>
      <c r="K21" s="397"/>
      <c r="L21" s="1980"/>
      <c r="M21" s="1975"/>
      <c r="N21" s="1975"/>
      <c r="O21" s="1975"/>
      <c r="P21" s="4543"/>
      <c r="Q21" s="906"/>
      <c r="R21" s="3767"/>
      <c r="S21" s="3770"/>
      <c r="T21" s="3767"/>
      <c r="U21" s="3770"/>
      <c r="V21" s="3767"/>
      <c r="W21" s="3770"/>
      <c r="X21" s="909"/>
      <c r="Y21" s="4543"/>
      <c r="Z21" s="907"/>
      <c r="AA21" s="907">
        <v>1</v>
      </c>
      <c r="AB21" s="907">
        <v>1</v>
      </c>
      <c r="AC21" s="907">
        <v>1</v>
      </c>
    </row>
    <row r="22" spans="1:29" ht="15">
      <c r="A22" s="238"/>
      <c r="B22" s="405" t="s">
        <v>1742</v>
      </c>
      <c r="C22" s="398"/>
      <c r="D22" s="2906">
        <v>100</v>
      </c>
      <c r="E22" s="398"/>
      <c r="F22" s="908">
        <f>SUMIF(71:71,E22,72:72)-SUMIF(71:71,C22,72:72)+100</f>
        <v>100</v>
      </c>
      <c r="G22" s="398"/>
      <c r="H22" s="3751">
        <f>SUMIF(71:71,G22,72:72)-SUMIF(71:71,C22,72:72)+100</f>
        <v>100</v>
      </c>
      <c r="I22" s="398"/>
      <c r="J22" s="3751">
        <f>SUMIF(71:71,I22,72:72)-SUMIF(71:71,C22,72:72)+100</f>
        <v>100</v>
      </c>
      <c r="K22" s="394"/>
      <c r="L22" s="1980"/>
      <c r="M22" s="1975"/>
      <c r="N22" s="1975"/>
      <c r="O22" s="1975"/>
      <c r="P22" s="4543"/>
      <c r="Q22" s="906" t="str">
        <f>B22</f>
        <v>楼层</v>
      </c>
      <c r="R22" s="3767" t="s">
        <v>13</v>
      </c>
      <c r="S22" s="3770">
        <f>F22</f>
        <v>100</v>
      </c>
      <c r="T22" s="3767" t="s">
        <v>13</v>
      </c>
      <c r="U22" s="3770">
        <f>H22</f>
        <v>100</v>
      </c>
      <c r="V22" s="3767" t="s">
        <v>13</v>
      </c>
      <c r="W22" s="3770">
        <f>J22</f>
        <v>100</v>
      </c>
      <c r="X22" s="909"/>
      <c r="Y22" s="4543"/>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1">
        <f>SUMIF(73:73,G23,74:74)-SUMIF(73:73,C23,74:74)+100</f>
        <v>100</v>
      </c>
      <c r="I23" s="258"/>
      <c r="J23" s="3751">
        <f>SUMIF(73:73,I23,74:74)-SUMIF(73:73,C23,74:74)+100</f>
        <v>100</v>
      </c>
      <c r="K23" s="395"/>
      <c r="L23" s="1980"/>
      <c r="M23" s="1975"/>
      <c r="N23" s="1975"/>
      <c r="O23" s="1975"/>
      <c r="P23" s="4543"/>
      <c r="Q23" s="906">
        <f>B23</f>
        <v>111</v>
      </c>
      <c r="R23" s="3767" t="s">
        <v>13</v>
      </c>
      <c r="S23" s="3770">
        <f>F23</f>
        <v>100</v>
      </c>
      <c r="T23" s="3767" t="s">
        <v>13</v>
      </c>
      <c r="U23" s="3770">
        <f>H23</f>
        <v>100</v>
      </c>
      <c r="V23" s="3767" t="s">
        <v>13</v>
      </c>
      <c r="W23" s="3770">
        <f>J23</f>
        <v>100</v>
      </c>
      <c r="X23" s="909"/>
      <c r="Y23" s="4543"/>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1">
        <f>SUMIF(75:75,G24,76:76)-SUMIF(75:75,C24,76:76)+100</f>
        <v>100</v>
      </c>
      <c r="I24" s="258"/>
      <c r="J24" s="3751">
        <f>SUMIF(75:75,I24,76:76)-SUMIF(75:75,C24,76:76)+100</f>
        <v>100</v>
      </c>
      <c r="K24" s="395"/>
      <c r="L24" s="1980"/>
      <c r="M24" s="1975"/>
      <c r="N24" s="1975"/>
      <c r="O24" s="1975"/>
      <c r="P24" s="4543"/>
      <c r="Q24" s="906">
        <f t="shared" ref="Q24:Q36" si="11">B24</f>
        <v>111</v>
      </c>
      <c r="R24" s="3767" t="s">
        <v>13</v>
      </c>
      <c r="S24" s="3770">
        <f>F24</f>
        <v>100</v>
      </c>
      <c r="T24" s="3767" t="s">
        <v>13</v>
      </c>
      <c r="U24" s="3770">
        <f>H24</f>
        <v>100</v>
      </c>
      <c r="V24" s="3767" t="s">
        <v>13</v>
      </c>
      <c r="W24" s="3770">
        <f>J24</f>
        <v>100</v>
      </c>
      <c r="X24" s="909"/>
      <c r="Y24" s="4543"/>
      <c r="Z24" s="907">
        <f>Q24</f>
        <v>111</v>
      </c>
      <c r="AA24" s="907">
        <f t="shared" si="3"/>
        <v>1</v>
      </c>
      <c r="AB24" s="907">
        <f t="shared" si="4"/>
        <v>1</v>
      </c>
      <c r="AC24" s="907">
        <f t="shared" si="5"/>
        <v>1</v>
      </c>
    </row>
    <row r="25" spans="1:29" s="46" customFormat="1" ht="15.75" thickBot="1">
      <c r="A25" s="306"/>
      <c r="B25" s="409">
        <v>111</v>
      </c>
      <c r="C25" s="261"/>
      <c r="D25" s="2910">
        <v>100</v>
      </c>
      <c r="E25" s="402"/>
      <c r="F25" s="3764">
        <f>SUMIF(77:77,E25,78:78)-SUMIF(77:77,C25,78:78)+100</f>
        <v>100</v>
      </c>
      <c r="G25" s="402"/>
      <c r="H25" s="3765">
        <f>SUMIF(77:77,G25,78:78)-SUMIF(77:77,C25,78:78)+100</f>
        <v>100</v>
      </c>
      <c r="I25" s="402"/>
      <c r="J25" s="3765">
        <f>SUMIF(77:77,I25,78:78)-SUMIF(77:77,C25,78:78)+100</f>
        <v>100</v>
      </c>
      <c r="K25" s="395"/>
      <c r="L25" s="1976"/>
      <c r="M25" s="1929"/>
      <c r="N25" s="1929"/>
      <c r="O25" s="1929"/>
      <c r="P25" s="4543"/>
      <c r="Q25" s="389">
        <f t="shared" si="11"/>
        <v>111</v>
      </c>
      <c r="R25" s="3766" t="s">
        <v>13</v>
      </c>
      <c r="S25" s="3769">
        <f>F25</f>
        <v>100</v>
      </c>
      <c r="T25" s="3766" t="s">
        <v>13</v>
      </c>
      <c r="U25" s="3769">
        <f>H25</f>
        <v>100</v>
      </c>
      <c r="V25" s="3766" t="s">
        <v>13</v>
      </c>
      <c r="W25" s="3769">
        <f>J25</f>
        <v>100</v>
      </c>
      <c r="X25" s="482"/>
      <c r="Y25" s="4543"/>
      <c r="Z25" s="28">
        <f>Q25</f>
        <v>111</v>
      </c>
      <c r="AA25" s="907">
        <f>D25/F25</f>
        <v>1</v>
      </c>
      <c r="AB25" s="907">
        <f>D25/H25</f>
        <v>1</v>
      </c>
      <c r="AC25" s="907">
        <f>D25/J25</f>
        <v>1</v>
      </c>
    </row>
    <row r="26" spans="1:29" ht="28.5">
      <c r="A26" s="420" t="s">
        <v>1601</v>
      </c>
      <c r="B26" s="33" t="s">
        <v>1743</v>
      </c>
      <c r="C26" s="1425" t="str">
        <f>B1</f>
        <v>车库</v>
      </c>
      <c r="D26" s="2905">
        <v>100</v>
      </c>
      <c r="E26" s="266"/>
      <c r="F26" s="3756">
        <f>SUMIF(79:79,E26,80:80)-SUMIF(79:79,C26,80:80)+100</f>
        <v>0</v>
      </c>
      <c r="G26" s="266"/>
      <c r="H26" s="267">
        <f>SUMIF(79:79,G26,80:80)-SUMIF(79:79,C26,80:80)+100</f>
        <v>0</v>
      </c>
      <c r="I26" s="266"/>
      <c r="J26" s="267">
        <f>SUMIF(79:79,I26,80:80)-SUMIF(79:79,C26,80:80)+100</f>
        <v>0</v>
      </c>
      <c r="K26" s="394"/>
      <c r="L26" s="1980"/>
      <c r="M26" s="1975"/>
      <c r="N26" s="1975"/>
      <c r="O26" s="1975"/>
      <c r="P26" s="4631" t="s">
        <v>1603</v>
      </c>
      <c r="Q26" s="906" t="str">
        <f t="shared" si="11"/>
        <v>配套类型</v>
      </c>
      <c r="R26" s="3767" t="s">
        <v>13</v>
      </c>
      <c r="S26" s="3770">
        <f t="shared" ref="S26:S36" si="12">F26</f>
        <v>0</v>
      </c>
      <c r="T26" s="3767" t="s">
        <v>13</v>
      </c>
      <c r="U26" s="3770">
        <f t="shared" ref="U26:U36" si="13">H26</f>
        <v>0</v>
      </c>
      <c r="V26" s="3767" t="s">
        <v>13</v>
      </c>
      <c r="W26" s="3770">
        <f t="shared" ref="W26:W36" si="14">J26</f>
        <v>0</v>
      </c>
      <c r="X26" s="909"/>
      <c r="Y26" s="4547"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900">
        <v>100</v>
      </c>
      <c r="E27" s="423"/>
      <c r="F27" s="908">
        <f>SUMIF(81:81,E27,82:82)-SUMIF(81:81,C27,82:82)+100</f>
        <v>100</v>
      </c>
      <c r="G27" s="423"/>
      <c r="H27" s="3751">
        <f>SUMIF(81:81,G27,82:82)-SUMIF(81:81,C27,82:82)+100</f>
        <v>100</v>
      </c>
      <c r="I27" s="423"/>
      <c r="J27" s="3751">
        <f>SUMIF(81:81,I27,82:82)-SUMIF(81:81,C27,82:82)+100</f>
        <v>100</v>
      </c>
      <c r="K27" s="395"/>
      <c r="L27" s="1979"/>
      <c r="M27" s="1981"/>
      <c r="N27" s="1981"/>
      <c r="O27" s="1981"/>
      <c r="P27" s="4547"/>
      <c r="Q27" s="483" t="str">
        <f t="shared" si="11"/>
        <v>项目停车位配比</v>
      </c>
      <c r="R27" s="3768" t="s">
        <v>13</v>
      </c>
      <c r="S27" s="3771">
        <f t="shared" si="12"/>
        <v>100</v>
      </c>
      <c r="T27" s="3768" t="s">
        <v>13</v>
      </c>
      <c r="U27" s="3771">
        <f t="shared" si="13"/>
        <v>100</v>
      </c>
      <c r="V27" s="3768" t="s">
        <v>13</v>
      </c>
      <c r="W27" s="3771">
        <f t="shared" si="14"/>
        <v>100</v>
      </c>
      <c r="X27" s="484"/>
      <c r="Y27" s="4547"/>
      <c r="Z27" s="485" t="str">
        <f t="shared" si="15"/>
        <v>项目停车位配比</v>
      </c>
      <c r="AA27" s="907">
        <f t="shared" si="3"/>
        <v>1</v>
      </c>
      <c r="AB27" s="907">
        <f t="shared" si="4"/>
        <v>1</v>
      </c>
      <c r="AC27" s="907">
        <f t="shared" si="5"/>
        <v>1</v>
      </c>
    </row>
    <row r="28" spans="1:29" ht="15">
      <c r="A28" s="424"/>
      <c r="B28" s="422" t="s">
        <v>1745</v>
      </c>
      <c r="C28" s="275"/>
      <c r="D28" s="2902">
        <v>100</v>
      </c>
      <c r="E28" s="275"/>
      <c r="F28" s="908">
        <f>SUMIF(83:83,E28,84:84)-SUMIF(83:83,C28,84:84)+100</f>
        <v>100</v>
      </c>
      <c r="G28" s="275"/>
      <c r="H28" s="3751">
        <f>SUMIF(83:83,G28,84:84)-SUMIF(83:83,C28,84:84)+100</f>
        <v>100</v>
      </c>
      <c r="I28" s="275"/>
      <c r="J28" s="3751">
        <f>SUMIF(83:83,I28,84:84)-SUMIF(83:83,C28,84:84)+100</f>
        <v>100</v>
      </c>
      <c r="K28" s="394"/>
      <c r="L28" s="1980"/>
      <c r="M28" s="1975"/>
      <c r="N28" s="1975"/>
      <c r="O28" s="1975"/>
      <c r="P28" s="4547"/>
      <c r="Q28" s="906" t="str">
        <f t="shared" si="11"/>
        <v>公共部分装修</v>
      </c>
      <c r="R28" s="3767" t="s">
        <v>13</v>
      </c>
      <c r="S28" s="3770">
        <f t="shared" si="12"/>
        <v>100</v>
      </c>
      <c r="T28" s="3767" t="s">
        <v>13</v>
      </c>
      <c r="U28" s="3770">
        <f t="shared" si="13"/>
        <v>100</v>
      </c>
      <c r="V28" s="3767" t="s">
        <v>13</v>
      </c>
      <c r="W28" s="3770">
        <f t="shared" si="14"/>
        <v>100</v>
      </c>
      <c r="X28" s="909"/>
      <c r="Y28" s="4547"/>
      <c r="Z28" s="907" t="str">
        <f t="shared" si="15"/>
        <v>公共部分装修</v>
      </c>
      <c r="AA28" s="907">
        <f t="shared" si="3"/>
        <v>1</v>
      </c>
      <c r="AB28" s="907">
        <f t="shared" si="4"/>
        <v>1</v>
      </c>
      <c r="AC28" s="907">
        <f t="shared" si="5"/>
        <v>1</v>
      </c>
    </row>
    <row r="29" spans="1:29" ht="15">
      <c r="A29" s="424"/>
      <c r="B29" s="422" t="s">
        <v>1746</v>
      </c>
      <c r="C29" s="282"/>
      <c r="D29" s="2902">
        <v>100</v>
      </c>
      <c r="E29" s="282"/>
      <c r="F29" s="908" t="e">
        <f>LOOKUP(E29,86:86,87:87)-LOOKUP(C29,86:86,87:87)+100</f>
        <v>#N/A</v>
      </c>
      <c r="G29" s="282"/>
      <c r="H29" s="908" t="e">
        <f>LOOKUP(G29,86:86,87:87)-LOOKUP(C29,86:86,87:87)+100</f>
        <v>#N/A</v>
      </c>
      <c r="I29" s="282"/>
      <c r="J29" s="3751" t="e">
        <f>LOOKUP(I29,86:86,87:87)-LOOKUP(C29,86:86,87:87)+100</f>
        <v>#N/A</v>
      </c>
      <c r="K29" s="394"/>
      <c r="L29" s="1980"/>
      <c r="M29" s="1975"/>
      <c r="N29" s="1975"/>
      <c r="O29" s="1975"/>
      <c r="P29" s="4547"/>
      <c r="Q29" s="906" t="str">
        <f t="shared" si="11"/>
        <v>成新率</v>
      </c>
      <c r="R29" s="3767" t="s">
        <v>13</v>
      </c>
      <c r="S29" s="3770" t="e">
        <f t="shared" si="12"/>
        <v>#N/A</v>
      </c>
      <c r="T29" s="3767" t="s">
        <v>13</v>
      </c>
      <c r="U29" s="3770" t="e">
        <f t="shared" si="13"/>
        <v>#N/A</v>
      </c>
      <c r="V29" s="3767" t="s">
        <v>13</v>
      </c>
      <c r="W29" s="3770" t="e">
        <f t="shared" si="14"/>
        <v>#N/A</v>
      </c>
      <c r="X29" s="909"/>
      <c r="Y29" s="4547"/>
      <c r="Z29" s="907" t="str">
        <f t="shared" si="15"/>
        <v>成新率</v>
      </c>
      <c r="AA29" s="907" t="e">
        <f t="shared" si="3"/>
        <v>#N/A</v>
      </c>
      <c r="AB29" s="907" t="e">
        <f t="shared" si="4"/>
        <v>#N/A</v>
      </c>
      <c r="AC29" s="907" t="e">
        <f t="shared" si="5"/>
        <v>#N/A</v>
      </c>
    </row>
    <row r="30" spans="1:29" ht="15">
      <c r="A30" s="424"/>
      <c r="B30" s="422" t="s">
        <v>1747</v>
      </c>
      <c r="C30" s="425"/>
      <c r="D30" s="2902">
        <v>100</v>
      </c>
      <c r="E30" s="425"/>
      <c r="F30" s="908">
        <f>SUMIF(88:88,E30,89:89)-SUMIF(88:88,C30,89:89)+100</f>
        <v>100</v>
      </c>
      <c r="G30" s="425"/>
      <c r="H30" s="3751">
        <f>SUMIF(88:88,E30,89:89)-SUMIF(88:88,C30,89:89)+100</f>
        <v>100</v>
      </c>
      <c r="I30" s="425"/>
      <c r="J30" s="3751">
        <f>SUMIF(88:88,E30,89:89)-SUMIF(88:88,C30,89:89)+100</f>
        <v>100</v>
      </c>
      <c r="K30" s="394"/>
      <c r="L30" s="1980"/>
      <c r="M30" s="1975"/>
      <c r="N30" s="1975"/>
      <c r="O30" s="1975"/>
      <c r="P30" s="4547"/>
      <c r="Q30" s="906" t="str">
        <f t="shared" si="11"/>
        <v>物业等级</v>
      </c>
      <c r="R30" s="3767" t="s">
        <v>13</v>
      </c>
      <c r="S30" s="3770">
        <f t="shared" si="12"/>
        <v>100</v>
      </c>
      <c r="T30" s="3767" t="s">
        <v>13</v>
      </c>
      <c r="U30" s="3770">
        <f t="shared" si="13"/>
        <v>100</v>
      </c>
      <c r="V30" s="3767" t="s">
        <v>13</v>
      </c>
      <c r="W30" s="3770">
        <f t="shared" si="14"/>
        <v>100</v>
      </c>
      <c r="X30" s="909"/>
      <c r="Y30" s="4547"/>
      <c r="Z30" s="907" t="str">
        <f t="shared" si="15"/>
        <v>物业等级</v>
      </c>
      <c r="AA30" s="907">
        <f t="shared" si="3"/>
        <v>1</v>
      </c>
      <c r="AB30" s="907">
        <f t="shared" si="4"/>
        <v>1</v>
      </c>
      <c r="AC30" s="907">
        <f t="shared" si="5"/>
        <v>1</v>
      </c>
    </row>
    <row r="31" spans="1:29" s="46" customFormat="1" ht="15">
      <c r="A31" s="426"/>
      <c r="B31" s="422" t="s">
        <v>1748</v>
      </c>
      <c r="C31" s="278"/>
      <c r="D31" s="2900">
        <v>100</v>
      </c>
      <c r="E31" s="278"/>
      <c r="F31" s="908" t="e">
        <f>LOOKUP(E31,91:91,92:92)-LOOKUP(C31,91:91,92:92)+100</f>
        <v>#N/A</v>
      </c>
      <c r="G31" s="278"/>
      <c r="H31" s="3751" t="e">
        <f>LOOKUP(G31,91:91,92:92)-LOOKUP(C31,91:91,92:92)+100</f>
        <v>#N/A</v>
      </c>
      <c r="I31" s="278"/>
      <c r="J31" s="3751" t="e">
        <f>LOOKUP(I31,91:91,92:92)-LOOKUP(C31,91:91,92:92)+100</f>
        <v>#N/A</v>
      </c>
      <c r="K31" s="394"/>
      <c r="L31" s="1976"/>
      <c r="M31" s="1929"/>
      <c r="N31" s="1929"/>
      <c r="O31" s="1929"/>
      <c r="P31" s="4547"/>
      <c r="Q31" s="389" t="str">
        <f t="shared" si="11"/>
        <v>停车位面积</v>
      </c>
      <c r="R31" s="3766" t="s">
        <v>13</v>
      </c>
      <c r="S31" s="3769" t="e">
        <f t="shared" si="12"/>
        <v>#N/A</v>
      </c>
      <c r="T31" s="3766" t="s">
        <v>13</v>
      </c>
      <c r="U31" s="3769" t="e">
        <f t="shared" si="13"/>
        <v>#N/A</v>
      </c>
      <c r="V31" s="3766" t="s">
        <v>13</v>
      </c>
      <c r="W31" s="3769" t="e">
        <f t="shared" si="14"/>
        <v>#N/A</v>
      </c>
      <c r="X31" s="482"/>
      <c r="Y31" s="4547"/>
      <c r="Z31" s="28" t="str">
        <f t="shared" si="15"/>
        <v>停车位面积</v>
      </c>
      <c r="AA31" s="28" t="e">
        <f t="shared" si="3"/>
        <v>#N/A</v>
      </c>
      <c r="AB31" s="28" t="e">
        <f t="shared" si="4"/>
        <v>#N/A</v>
      </c>
      <c r="AC31" s="28" t="e">
        <f t="shared" si="5"/>
        <v>#N/A</v>
      </c>
    </row>
    <row r="32" spans="1:29" ht="15">
      <c r="A32" s="424"/>
      <c r="B32" s="422" t="s">
        <v>1749</v>
      </c>
      <c r="C32" s="275"/>
      <c r="D32" s="2902">
        <v>100</v>
      </c>
      <c r="E32" s="275"/>
      <c r="F32" s="908">
        <f>SUMIF(93:93,E32,94:94)-SUMIF(93:93,C32,94:94)+100</f>
        <v>100</v>
      </c>
      <c r="G32" s="275"/>
      <c r="H32" s="3751">
        <f>SUMIF(93:93,G32,94:94)-SUMIF(93:93,C32,94:94)+100</f>
        <v>100</v>
      </c>
      <c r="I32" s="275"/>
      <c r="J32" s="3751">
        <f>SUMIF(93:93,I32,94:94)-SUMIF(93:93,C32,94:94)+100</f>
        <v>100</v>
      </c>
      <c r="K32" s="394"/>
      <c r="L32" s="1980"/>
      <c r="M32" s="1975"/>
      <c r="N32" s="1975"/>
      <c r="O32" s="1975"/>
      <c r="P32" s="4547" t="s">
        <v>1603</v>
      </c>
      <c r="Q32" s="906" t="str">
        <f t="shared" si="11"/>
        <v>车位类型</v>
      </c>
      <c r="R32" s="3767" t="s">
        <v>13</v>
      </c>
      <c r="S32" s="3770">
        <f t="shared" si="12"/>
        <v>100</v>
      </c>
      <c r="T32" s="3767" t="s">
        <v>13</v>
      </c>
      <c r="U32" s="3770">
        <f t="shared" si="13"/>
        <v>100</v>
      </c>
      <c r="V32" s="3767" t="s">
        <v>13</v>
      </c>
      <c r="W32" s="3770">
        <f t="shared" si="14"/>
        <v>100</v>
      </c>
      <c r="X32" s="909"/>
      <c r="Y32" s="4547" t="s">
        <v>1603</v>
      </c>
      <c r="Z32" s="907" t="str">
        <f t="shared" si="15"/>
        <v>车位类型</v>
      </c>
      <c r="AA32" s="907">
        <f t="shared" si="3"/>
        <v>1</v>
      </c>
      <c r="AB32" s="907">
        <f t="shared" si="4"/>
        <v>1</v>
      </c>
      <c r="AC32" s="907">
        <f t="shared" si="5"/>
        <v>1</v>
      </c>
    </row>
    <row r="33" spans="1:29" ht="15">
      <c r="A33" s="424"/>
      <c r="B33" s="422" t="s">
        <v>1750</v>
      </c>
      <c r="C33" s="275"/>
      <c r="D33" s="2902">
        <v>100</v>
      </c>
      <c r="E33" s="275"/>
      <c r="F33" s="908">
        <f>SUMIF(95:95,E33,96:96)-SUMIF(95:95,C33,96:96)+100</f>
        <v>100</v>
      </c>
      <c r="G33" s="275"/>
      <c r="H33" s="3751">
        <f>SUMIF(95:95,G33,96:96)-SUMIF(95:95,C33,96:96)+100</f>
        <v>100</v>
      </c>
      <c r="I33" s="275"/>
      <c r="J33" s="3751">
        <f>SUMIF(95:95,I33,96:96)-SUMIF(95:95,C33,96:96)+100</f>
        <v>100</v>
      </c>
      <c r="K33" s="394"/>
      <c r="L33" s="1980"/>
      <c r="M33" s="1975"/>
      <c r="N33" s="1975"/>
      <c r="O33" s="1975"/>
      <c r="P33" s="4547"/>
      <c r="Q33" s="906" t="str">
        <f t="shared" si="11"/>
        <v>是否直接入户</v>
      </c>
      <c r="R33" s="3767" t="s">
        <v>13</v>
      </c>
      <c r="S33" s="3770">
        <f t="shared" si="12"/>
        <v>100</v>
      </c>
      <c r="T33" s="3767" t="s">
        <v>13</v>
      </c>
      <c r="U33" s="3770">
        <f t="shared" si="13"/>
        <v>100</v>
      </c>
      <c r="V33" s="3767" t="s">
        <v>13</v>
      </c>
      <c r="W33" s="3770">
        <f t="shared" si="14"/>
        <v>100</v>
      </c>
      <c r="X33" s="909"/>
      <c r="Y33" s="4547"/>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1">
        <f>SUMIF(97:97,G34,98:98)-SUMIF(97:97,C34,98:98)+100</f>
        <v>100</v>
      </c>
      <c r="I34" s="258"/>
      <c r="J34" s="3751">
        <f>SUMIF(97:97,I34,98:98)-SUMIF(97:97,C34,98:98)+100</f>
        <v>100</v>
      </c>
      <c r="K34" s="395"/>
      <c r="L34" s="1980"/>
      <c r="M34" s="1975"/>
      <c r="N34" s="1975"/>
      <c r="O34" s="1975"/>
      <c r="P34" s="4547"/>
      <c r="Q34" s="906">
        <f t="shared" si="11"/>
        <v>111</v>
      </c>
      <c r="R34" s="3767" t="s">
        <v>13</v>
      </c>
      <c r="S34" s="3770">
        <f t="shared" si="12"/>
        <v>100</v>
      </c>
      <c r="T34" s="3767" t="s">
        <v>13</v>
      </c>
      <c r="U34" s="3770">
        <f t="shared" si="13"/>
        <v>100</v>
      </c>
      <c r="V34" s="3767" t="s">
        <v>13</v>
      </c>
      <c r="W34" s="3770">
        <f t="shared" si="14"/>
        <v>100</v>
      </c>
      <c r="X34" s="909"/>
      <c r="Y34" s="4547"/>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1">
        <f>SUMIF(99:99,G35,100:100)-SUMIF(99:99,C35,100:100)+100</f>
        <v>100</v>
      </c>
      <c r="I35" s="258"/>
      <c r="J35" s="3751">
        <f>SUMIF(99:99,I35,100:100)-SUMIF(99:99,C35,100:100)+100</f>
        <v>100</v>
      </c>
      <c r="K35" s="395"/>
      <c r="L35" s="1979"/>
      <c r="M35" s="1981"/>
      <c r="N35" s="1981"/>
      <c r="O35" s="1981"/>
      <c r="P35" s="4547"/>
      <c r="Q35" s="483">
        <f t="shared" si="11"/>
        <v>111</v>
      </c>
      <c r="R35" s="3768" t="s">
        <v>13</v>
      </c>
      <c r="S35" s="3771">
        <f t="shared" si="12"/>
        <v>100</v>
      </c>
      <c r="T35" s="3768" t="s">
        <v>13</v>
      </c>
      <c r="U35" s="3771">
        <f t="shared" si="13"/>
        <v>100</v>
      </c>
      <c r="V35" s="3768" t="s">
        <v>13</v>
      </c>
      <c r="W35" s="3771">
        <f t="shared" si="14"/>
        <v>100</v>
      </c>
      <c r="X35" s="484"/>
      <c r="Y35" s="4547"/>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1">
        <f>SUMIF(101:101,G36,102:102)-SUMIF(101:101,C36,102:102)+100</f>
        <v>100</v>
      </c>
      <c r="I36" s="258"/>
      <c r="J36" s="3751">
        <f>SUMIF(101:101,I36,102:102)-SUMIF(101:101,C36,102:102)+100</f>
        <v>100</v>
      </c>
      <c r="K36" s="395"/>
      <c r="L36" s="1980"/>
      <c r="M36" s="1975"/>
      <c r="N36" s="1975"/>
      <c r="O36" s="1975"/>
      <c r="P36" s="4547"/>
      <c r="Q36" s="906">
        <f t="shared" si="11"/>
        <v>111</v>
      </c>
      <c r="R36" s="3767" t="s">
        <v>13</v>
      </c>
      <c r="S36" s="3770">
        <f t="shared" si="12"/>
        <v>100</v>
      </c>
      <c r="T36" s="3767" t="s">
        <v>13</v>
      </c>
      <c r="U36" s="3770">
        <f t="shared" si="13"/>
        <v>100</v>
      </c>
      <c r="V36" s="3767" t="s">
        <v>13</v>
      </c>
      <c r="W36" s="3770">
        <f t="shared" si="14"/>
        <v>100</v>
      </c>
      <c r="X36" s="909"/>
      <c r="Y36" s="4547"/>
      <c r="Z36" s="907">
        <f t="shared" si="15"/>
        <v>111</v>
      </c>
      <c r="AA36" s="907">
        <f t="shared" si="3"/>
        <v>1</v>
      </c>
      <c r="AB36" s="907">
        <f t="shared" si="4"/>
        <v>1</v>
      </c>
      <c r="AC36" s="907">
        <f t="shared" si="5"/>
        <v>1</v>
      </c>
    </row>
    <row r="37" spans="1:29" ht="15">
      <c r="A37" s="286" t="s">
        <v>1751</v>
      </c>
      <c r="B37" s="1426" t="s">
        <v>3230</v>
      </c>
      <c r="C37" s="765" t="s">
        <v>0</v>
      </c>
      <c r="D37" s="288"/>
      <c r="E37" s="3205"/>
      <c r="F37" s="3153"/>
      <c r="G37" s="3206"/>
      <c r="H37" s="3154"/>
      <c r="I37" s="3205"/>
      <c r="J37" s="3154"/>
      <c r="K37" s="3207"/>
      <c r="L37" s="1982"/>
      <c r="M37" s="1975"/>
      <c r="N37" s="1975"/>
      <c r="O37" s="1975"/>
      <c r="P37" s="4623" t="str">
        <f>A37</f>
        <v>成交单价</v>
      </c>
      <c r="Q37" s="4623"/>
      <c r="R37" s="4501">
        <f>E37</f>
        <v>0</v>
      </c>
      <c r="S37" s="4501"/>
      <c r="T37" s="4501">
        <f>G37</f>
        <v>0</v>
      </c>
      <c r="U37" s="4501"/>
      <c r="V37" s="4501">
        <f>I37</f>
        <v>0</v>
      </c>
      <c r="W37" s="4501"/>
      <c r="X37" s="265"/>
      <c r="Y37" s="486"/>
      <c r="Z37" s="265"/>
      <c r="AA37" s="265"/>
      <c r="AB37" s="265"/>
      <c r="AC37" s="265"/>
    </row>
    <row r="38" spans="1:29" ht="15.75" thickBot="1">
      <c r="A38" s="289" t="s">
        <v>1752</v>
      </c>
      <c r="B38" s="290" t="str">
        <f>B37</f>
        <v>元/平方米</v>
      </c>
      <c r="C38" s="3733" t="e">
        <f>R39</f>
        <v>#DIV/0!</v>
      </c>
      <c r="D38" s="3846" t="s">
        <v>2041</v>
      </c>
      <c r="E38" s="3744" t="e">
        <f>R38</f>
        <v>#DIV/0!</v>
      </c>
      <c r="F38" s="2801"/>
      <c r="G38" s="3733" t="e">
        <f>T38</f>
        <v>#DIV/0!</v>
      </c>
      <c r="H38" s="2801"/>
      <c r="I38" s="3744" t="e">
        <f>V38</f>
        <v>#DIV/0!</v>
      </c>
      <c r="J38" s="2801"/>
      <c r="K38" s="2855">
        <f>F38+H38+J38</f>
        <v>0</v>
      </c>
      <c r="L38" s="1982"/>
      <c r="M38" s="1975"/>
      <c r="N38" s="1975"/>
      <c r="O38" s="1975"/>
      <c r="P38" s="4623" t="str">
        <f>A38</f>
        <v>比较价值（元/平方米）</v>
      </c>
      <c r="Q38" s="4623"/>
      <c r="R38" s="4501" t="e">
        <f>IF(F1="售价",ROUND(PRODUCT(R37,AA7:AA36),0),ROUND(PRODUCT(R37,AA7:AA36),1))</f>
        <v>#DIV/0!</v>
      </c>
      <c r="S38" s="4501"/>
      <c r="T38" s="4501" t="e">
        <f>IF(F1="售价",ROUND(PRODUCT(T37,AB7:AB36),0),ROUND(PRODUCT(T37,AB7:AB36),1))</f>
        <v>#DIV/0!</v>
      </c>
      <c r="U38" s="4501"/>
      <c r="V38" s="4501" t="e">
        <f>IF(F1="售价",ROUND(PRODUCT(V37,AC7:AC36),0),ROUND(PRODUCT(V37,AC7:AC36),1))</f>
        <v>#DIV/0!</v>
      </c>
      <c r="W38" s="4501"/>
      <c r="X38" s="265"/>
      <c r="Y38" s="265"/>
      <c r="Z38" s="265"/>
      <c r="AA38" s="265"/>
      <c r="AB38" s="265"/>
      <c r="AC38" s="265"/>
    </row>
    <row r="39" spans="1:29" ht="15.75" thickBot="1">
      <c r="A39" s="291" t="s">
        <v>1753</v>
      </c>
      <c r="B39" s="292"/>
      <c r="C39" s="3745" t="e">
        <f>R39</f>
        <v>#DIV/0!</v>
      </c>
      <c r="D39" s="241"/>
      <c r="E39" s="241"/>
      <c r="F39" s="241"/>
      <c r="G39" s="241"/>
      <c r="H39" s="241"/>
      <c r="I39" s="241"/>
      <c r="J39" s="241"/>
      <c r="K39" s="399"/>
      <c r="L39" s="1982"/>
      <c r="M39" s="1975"/>
      <c r="N39" s="1975"/>
      <c r="O39" s="1975"/>
      <c r="P39" s="4632" t="str">
        <f>A39</f>
        <v>估价对象XX用房的比较价值（楼面单价，元/平方米）</v>
      </c>
      <c r="Q39" s="4633"/>
      <c r="R39" s="4634" t="e">
        <f>IF(F1="售价",ROUND(IF(D38="简单平均",AVERAGE(R38:W38),R38*F38+T38*H38+V38*J38),0),ROUND(IF(D38="简单平均",AVERAGE(R38:V38),R38*F38+T38*H38+V38*J38),1))</f>
        <v>#DIV/0!</v>
      </c>
      <c r="S39" s="4634"/>
      <c r="T39" s="4634"/>
      <c r="U39" s="4634"/>
      <c r="V39" s="4634"/>
      <c r="W39" s="4634"/>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2026-1</v>
      </c>
      <c r="D48" s="782">
        <f>EDATE(C48,-1)</f>
        <v>45992</v>
      </c>
      <c r="E48" s="782">
        <f t="shared" ref="E48:O48" si="16">EDATE(D48,-1)</f>
        <v>45962</v>
      </c>
      <c r="F48" s="782">
        <f t="shared" si="16"/>
        <v>45931</v>
      </c>
      <c r="G48" s="782">
        <f t="shared" si="16"/>
        <v>45901</v>
      </c>
      <c r="H48" s="782">
        <f t="shared" si="16"/>
        <v>45870</v>
      </c>
      <c r="I48" s="782">
        <f t="shared" si="16"/>
        <v>45839</v>
      </c>
      <c r="J48" s="782">
        <f t="shared" si="16"/>
        <v>45809</v>
      </c>
      <c r="K48" s="782">
        <f t="shared" si="16"/>
        <v>45778</v>
      </c>
      <c r="L48" s="782">
        <f t="shared" si="16"/>
        <v>45748</v>
      </c>
      <c r="M48" s="782">
        <f t="shared" si="16"/>
        <v>45717</v>
      </c>
      <c r="N48" s="782">
        <f t="shared" si="16"/>
        <v>45689</v>
      </c>
      <c r="O48" s="782">
        <f t="shared" si="16"/>
        <v>45658</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3866</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3211</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47" t="s">
        <v>3466</v>
      </c>
      <c r="F3" s="3848">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603" t="s">
        <v>1677</v>
      </c>
      <c r="D4" s="4604"/>
      <c r="E4" s="4605" t="s">
        <v>1678</v>
      </c>
      <c r="F4" s="4606"/>
      <c r="G4" s="4603" t="s">
        <v>1679</v>
      </c>
      <c r="H4" s="4604"/>
      <c r="I4" s="4603" t="s">
        <v>1680</v>
      </c>
      <c r="J4" s="4604"/>
      <c r="K4" s="393" t="s">
        <v>1681</v>
      </c>
      <c r="L4" s="1974"/>
      <c r="M4" s="1975"/>
      <c r="N4" s="1975"/>
      <c r="O4" s="1975"/>
      <c r="P4" s="4624" t="s">
        <v>1682</v>
      </c>
      <c r="Q4" s="4625"/>
      <c r="R4" s="4533" t="s">
        <v>1678</v>
      </c>
      <c r="S4" s="4534"/>
      <c r="T4" s="4533" t="s">
        <v>1679</v>
      </c>
      <c r="U4" s="4534"/>
      <c r="V4" s="4501" t="s">
        <v>1680</v>
      </c>
      <c r="W4" s="4501"/>
      <c r="X4" s="909"/>
      <c r="Y4" s="4533" t="s">
        <v>1682</v>
      </c>
      <c r="Z4" s="4534"/>
      <c r="AA4" s="4498" t="s">
        <v>1678</v>
      </c>
      <c r="AB4" s="4499" t="s">
        <v>1679</v>
      </c>
      <c r="AC4" s="4498" t="s">
        <v>1680</v>
      </c>
    </row>
    <row r="5" spans="1:29" ht="15">
      <c r="A5" s="238"/>
      <c r="B5" s="239"/>
      <c r="C5" s="4594" t="s">
        <v>1580</v>
      </c>
      <c r="D5" s="4595"/>
      <c r="E5" s="4592" t="s">
        <v>1581</v>
      </c>
      <c r="F5" s="4593"/>
      <c r="G5" s="4594" t="s">
        <v>1582</v>
      </c>
      <c r="H5" s="4595"/>
      <c r="I5" s="4594" t="s">
        <v>1583</v>
      </c>
      <c r="J5" s="4595"/>
      <c r="K5" s="393"/>
      <c r="L5" s="1974"/>
      <c r="M5" s="1975"/>
      <c r="N5" s="1975"/>
      <c r="O5" s="1975"/>
      <c r="P5" s="4626"/>
      <c r="Q5" s="4627"/>
      <c r="R5" s="4535"/>
      <c r="S5" s="4536"/>
      <c r="T5" s="4535"/>
      <c r="U5" s="4536"/>
      <c r="V5" s="4501"/>
      <c r="W5" s="4501"/>
      <c r="X5" s="909"/>
      <c r="Y5" s="4535"/>
      <c r="Z5" s="4536"/>
      <c r="AA5" s="4499"/>
      <c r="AB5" s="4499"/>
      <c r="AC5" s="4499"/>
    </row>
    <row r="6" spans="1:29" ht="15.75" thickBot="1">
      <c r="A6" s="240"/>
      <c r="B6" s="241"/>
      <c r="C6" s="4596" t="s">
        <v>1584</v>
      </c>
      <c r="D6" s="4597"/>
      <c r="E6" s="4598" t="s">
        <v>1584</v>
      </c>
      <c r="F6" s="4599"/>
      <c r="G6" s="4596" t="s">
        <v>1584</v>
      </c>
      <c r="H6" s="4597"/>
      <c r="I6" s="4596" t="s">
        <v>1584</v>
      </c>
      <c r="J6" s="4597"/>
      <c r="K6" s="393" t="s">
        <v>1585</v>
      </c>
      <c r="L6" s="1974"/>
      <c r="M6" s="1975"/>
      <c r="N6" s="1975"/>
      <c r="O6" s="1975"/>
      <c r="P6" s="4628"/>
      <c r="Q6" s="4629"/>
      <c r="R6" s="4535"/>
      <c r="S6" s="4536"/>
      <c r="T6" s="4537"/>
      <c r="U6" s="4538"/>
      <c r="V6" s="4501"/>
      <c r="W6" s="4501"/>
      <c r="X6" s="909"/>
      <c r="Y6" s="4537"/>
      <c r="Z6" s="4538"/>
      <c r="AA6" s="4500"/>
      <c r="AB6" s="4500"/>
      <c r="AC6" s="4500"/>
    </row>
    <row r="7" spans="1:29" s="46" customFormat="1" ht="15.75" thickBot="1">
      <c r="A7" s="242" t="s">
        <v>1586</v>
      </c>
      <c r="B7" s="243"/>
      <c r="C7" s="244">
        <f>'数据-取费表'!B2</f>
        <v>46050</v>
      </c>
      <c r="D7" s="2898">
        <v>100</v>
      </c>
      <c r="E7" s="245"/>
      <c r="F7" s="3747">
        <f>SUMIF(46:46,YEAR(E7)&amp;"-"&amp;MONTH(E7),47:47)</f>
        <v>0</v>
      </c>
      <c r="G7" s="1427"/>
      <c r="H7" s="3753">
        <f>SUMIF(46:46,YEAR(G7)&amp;"-"&amp;MONTH(G7),47:47)</f>
        <v>0</v>
      </c>
      <c r="I7" s="245"/>
      <c r="J7" s="3753">
        <f>SUMIF(46:46,YEAR(I7)&amp;"-"&amp;MONTH(I7),47:47)</f>
        <v>0</v>
      </c>
      <c r="K7" s="22"/>
      <c r="L7" s="1976"/>
      <c r="M7" s="1929"/>
      <c r="N7" s="1929"/>
      <c r="O7" s="1929"/>
      <c r="P7" s="4502" t="s">
        <v>1587</v>
      </c>
      <c r="Q7" s="4630"/>
      <c r="R7" s="3766" t="s">
        <v>13</v>
      </c>
      <c r="S7" s="3769">
        <f t="shared" ref="S7:S14" si="0">F7</f>
        <v>0</v>
      </c>
      <c r="T7" s="3766" t="s">
        <v>13</v>
      </c>
      <c r="U7" s="3769">
        <f t="shared" ref="U7:U14" si="1">H7</f>
        <v>0</v>
      </c>
      <c r="V7" s="3766" t="s">
        <v>13</v>
      </c>
      <c r="W7" s="3769">
        <f t="shared" ref="W7:W14" si="2">J7</f>
        <v>0</v>
      </c>
      <c r="X7" s="482"/>
      <c r="Y7" s="4502" t="s">
        <v>1587</v>
      </c>
      <c r="Z7" s="4503"/>
      <c r="AA7" s="28" t="e">
        <f>D7/F7</f>
        <v>#DIV/0!</v>
      </c>
      <c r="AB7" s="28" t="e">
        <f>D7/H7</f>
        <v>#DIV/0!</v>
      </c>
      <c r="AC7" s="28" t="e">
        <f>D7/J7</f>
        <v>#DIV/0!</v>
      </c>
    </row>
    <row r="8" spans="1:29" s="46" customFormat="1" ht="15.75" thickBot="1">
      <c r="A8" s="242" t="s">
        <v>1588</v>
      </c>
      <c r="B8" s="243"/>
      <c r="C8" s="246"/>
      <c r="D8" s="2898">
        <v>100</v>
      </c>
      <c r="E8" s="246"/>
      <c r="F8" s="3747">
        <f>SUMIF(49:49,E8,50:50)-SUMIF(49:49,C8,50:50)+100</f>
        <v>100</v>
      </c>
      <c r="G8" s="246"/>
      <c r="H8" s="3753">
        <f>SUMIF(49:49,G8,50:50)-SUMIF(49:49,C8,50:50)+100</f>
        <v>100</v>
      </c>
      <c r="I8" s="246"/>
      <c r="J8" s="3753">
        <f>SUMIF(49:49,I8,50:50)-SUMIF(49:49,C8,50:50)+100</f>
        <v>100</v>
      </c>
      <c r="K8" s="22"/>
      <c r="L8" s="1976"/>
      <c r="M8" s="1929"/>
      <c r="N8" s="1929"/>
      <c r="O8" s="1929"/>
      <c r="P8" s="4502" t="s">
        <v>1590</v>
      </c>
      <c r="Q8" s="4503"/>
      <c r="R8" s="3766" t="s">
        <v>13</v>
      </c>
      <c r="S8" s="3769">
        <f t="shared" si="0"/>
        <v>100</v>
      </c>
      <c r="T8" s="3766" t="s">
        <v>13</v>
      </c>
      <c r="U8" s="3769">
        <f t="shared" si="1"/>
        <v>100</v>
      </c>
      <c r="V8" s="3766" t="s">
        <v>13</v>
      </c>
      <c r="W8" s="3769">
        <f t="shared" si="2"/>
        <v>100</v>
      </c>
      <c r="X8" s="482"/>
      <c r="Y8" s="4502" t="s">
        <v>1590</v>
      </c>
      <c r="Z8" s="4503"/>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23" t="s">
        <v>1593</v>
      </c>
      <c r="Q9" s="389" t="str">
        <f t="shared" ref="Q9:Q14" si="6">B9</f>
        <v>用途</v>
      </c>
      <c r="R9" s="3766" t="s">
        <v>13</v>
      </c>
      <c r="S9" s="3769">
        <f t="shared" si="0"/>
        <v>100</v>
      </c>
      <c r="T9" s="3766" t="s">
        <v>13</v>
      </c>
      <c r="U9" s="3769">
        <f t="shared" si="1"/>
        <v>100</v>
      </c>
      <c r="V9" s="3766" t="s">
        <v>13</v>
      </c>
      <c r="W9" s="3769">
        <f t="shared" si="2"/>
        <v>100</v>
      </c>
      <c r="X9" s="482"/>
      <c r="Y9" s="4517" t="s">
        <v>1594</v>
      </c>
      <c r="Z9" s="28" t="str">
        <f t="shared" ref="Z9:Z14" si="7">Q9</f>
        <v>用途</v>
      </c>
      <c r="AA9" s="28">
        <f t="shared" si="3"/>
        <v>1</v>
      </c>
      <c r="AB9" s="28">
        <f t="shared" si="4"/>
        <v>1</v>
      </c>
      <c r="AC9" s="28">
        <f t="shared" si="5"/>
        <v>1</v>
      </c>
    </row>
    <row r="10" spans="1:29" s="253" customFormat="1" ht="27">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23"/>
      <c r="Q10" s="389" t="str">
        <f t="shared" si="6"/>
        <v>土地使用年限（年）</v>
      </c>
      <c r="R10" s="3766" t="s">
        <v>13</v>
      </c>
      <c r="S10" s="3769">
        <f t="shared" si="0"/>
        <v>100</v>
      </c>
      <c r="T10" s="3766" t="s">
        <v>13</v>
      </c>
      <c r="U10" s="3769">
        <f t="shared" si="1"/>
        <v>100</v>
      </c>
      <c r="V10" s="3766" t="s">
        <v>13</v>
      </c>
      <c r="W10" s="3769">
        <f t="shared" si="2"/>
        <v>100</v>
      </c>
      <c r="X10" s="482"/>
      <c r="Y10" s="4517"/>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23"/>
      <c r="Q11" s="389">
        <f t="shared" si="6"/>
        <v>111</v>
      </c>
      <c r="R11" s="3766" t="s">
        <v>13</v>
      </c>
      <c r="S11" s="3769">
        <f t="shared" si="0"/>
        <v>100</v>
      </c>
      <c r="T11" s="3766" t="s">
        <v>13</v>
      </c>
      <c r="U11" s="3769">
        <f t="shared" si="1"/>
        <v>100</v>
      </c>
      <c r="V11" s="3766" t="s">
        <v>13</v>
      </c>
      <c r="W11" s="3769">
        <f t="shared" si="2"/>
        <v>100</v>
      </c>
      <c r="X11" s="482"/>
      <c r="Y11" s="4517"/>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23"/>
      <c r="Q12" s="389">
        <f t="shared" si="6"/>
        <v>111</v>
      </c>
      <c r="R12" s="3766" t="s">
        <v>13</v>
      </c>
      <c r="S12" s="3769">
        <f t="shared" si="0"/>
        <v>100</v>
      </c>
      <c r="T12" s="3766" t="s">
        <v>13</v>
      </c>
      <c r="U12" s="3769">
        <f t="shared" si="1"/>
        <v>100</v>
      </c>
      <c r="V12" s="3766" t="s">
        <v>13</v>
      </c>
      <c r="W12" s="3769">
        <f t="shared" si="2"/>
        <v>100</v>
      </c>
      <c r="X12" s="482"/>
      <c r="Y12" s="4517"/>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8">
        <f>SUMIF(59:59,G13,60:60)-SUMIF(59:59,C13,60:60)+100</f>
        <v>100</v>
      </c>
      <c r="I13" s="278"/>
      <c r="J13" s="3751">
        <f>SUMIF(59:59,I13,60:60)-SUMIF(59:59,C13,60:60)+100</f>
        <v>100</v>
      </c>
      <c r="K13" s="395"/>
      <c r="L13" s="1980"/>
      <c r="M13" s="1975"/>
      <c r="N13" s="1975"/>
      <c r="O13" s="2030"/>
      <c r="P13" s="4623"/>
      <c r="Q13" s="389">
        <f t="shared" si="6"/>
        <v>111</v>
      </c>
      <c r="R13" s="3766" t="s">
        <v>13</v>
      </c>
      <c r="S13" s="3769">
        <f t="shared" si="0"/>
        <v>100</v>
      </c>
      <c r="T13" s="3766" t="s">
        <v>13</v>
      </c>
      <c r="U13" s="3769">
        <f t="shared" si="1"/>
        <v>100</v>
      </c>
      <c r="V13" s="3766" t="s">
        <v>13</v>
      </c>
      <c r="W13" s="3769">
        <f t="shared" si="2"/>
        <v>100</v>
      </c>
      <c r="X13" s="482"/>
      <c r="Y13" s="4517"/>
      <c r="Z13" s="28">
        <f t="shared" si="7"/>
        <v>111</v>
      </c>
      <c r="AA13" s="28">
        <f t="shared" si="3"/>
        <v>1</v>
      </c>
      <c r="AB13" s="28">
        <f t="shared" si="4"/>
        <v>1</v>
      </c>
      <c r="AC13" s="28">
        <f t="shared" si="5"/>
        <v>1</v>
      </c>
    </row>
    <row r="14" spans="1:29" ht="15">
      <c r="A14" s="262" t="s">
        <v>1597</v>
      </c>
      <c r="B14" s="32" t="s">
        <v>1740</v>
      </c>
      <c r="C14" s="1424">
        <f>IF(B1="工业",估价对象房地状况!G4,估价对象房地状况!C6)</f>
        <v>0</v>
      </c>
      <c r="D14" s="2904">
        <v>100</v>
      </c>
      <c r="E14" s="263"/>
      <c r="F14" s="3755">
        <f>SUMIF(61:61,E15,62:62)-SUMIF(61:61,C15,62:62)+100</f>
        <v>100</v>
      </c>
      <c r="G14" s="264"/>
      <c r="H14" s="3749">
        <f>SUMIF(61:61,G15,62:62)-SUMIF(61:61,C15,62:62)+100</f>
        <v>100</v>
      </c>
      <c r="I14" s="263"/>
      <c r="J14" s="3749">
        <f>SUMIF(61:61,I15,62:62)-SUMIF(61:61,C15,62:62)+100</f>
        <v>100</v>
      </c>
      <c r="K14" s="396"/>
      <c r="L14" s="1980"/>
      <c r="M14" s="1975"/>
      <c r="N14" s="1975"/>
      <c r="O14" s="2030"/>
      <c r="P14" s="4542" t="s">
        <v>1598</v>
      </c>
      <c r="Q14" s="906" t="str">
        <f t="shared" si="6"/>
        <v>交通便捷度</v>
      </c>
      <c r="R14" s="3767" t="s">
        <v>13</v>
      </c>
      <c r="S14" s="3770">
        <f t="shared" si="0"/>
        <v>100</v>
      </c>
      <c r="T14" s="3767" t="s">
        <v>13</v>
      </c>
      <c r="U14" s="3770">
        <f t="shared" si="1"/>
        <v>100</v>
      </c>
      <c r="V14" s="3767" t="s">
        <v>13</v>
      </c>
      <c r="W14" s="3770">
        <f t="shared" si="2"/>
        <v>100</v>
      </c>
      <c r="X14" s="909"/>
      <c r="Y14" s="4542" t="s">
        <v>1598</v>
      </c>
      <c r="Z14" s="907" t="str">
        <f t="shared" si="7"/>
        <v>交通便捷度</v>
      </c>
      <c r="AA14" s="907">
        <f t="shared" si="3"/>
        <v>1</v>
      </c>
      <c r="AB14" s="907">
        <f t="shared" si="4"/>
        <v>1</v>
      </c>
      <c r="AC14" s="907">
        <f t="shared" si="5"/>
        <v>1</v>
      </c>
    </row>
    <row r="15" spans="1:29" ht="15">
      <c r="A15" s="254"/>
      <c r="B15" s="265"/>
      <c r="C15" s="266"/>
      <c r="D15" s="2905"/>
      <c r="E15" s="266"/>
      <c r="F15" s="3756"/>
      <c r="G15" s="266"/>
      <c r="H15" s="268"/>
      <c r="I15" s="266"/>
      <c r="J15" s="267"/>
      <c r="K15" s="397"/>
      <c r="L15" s="1980"/>
      <c r="M15" s="1975"/>
      <c r="N15" s="1975"/>
      <c r="O15" s="2030"/>
      <c r="P15" s="4543"/>
      <c r="Q15" s="906"/>
      <c r="R15" s="3767"/>
      <c r="S15" s="3770"/>
      <c r="T15" s="3767"/>
      <c r="U15" s="3770"/>
      <c r="V15" s="3767"/>
      <c r="W15" s="3770"/>
      <c r="X15" s="909"/>
      <c r="Y15" s="4543"/>
      <c r="Z15" s="907"/>
      <c r="AA15" s="907">
        <v>1</v>
      </c>
      <c r="AB15" s="907">
        <v>1</v>
      </c>
      <c r="AC15" s="907">
        <v>1</v>
      </c>
    </row>
    <row r="16" spans="1:29" ht="15">
      <c r="A16" s="254"/>
      <c r="B16" s="269" t="s">
        <v>1719</v>
      </c>
      <c r="C16" s="1364">
        <f>IF(B1="工业",估价对象房地状况!G5,估价对象房地状况!C7)</f>
        <v>0</v>
      </c>
      <c r="D16" s="2907">
        <v>100</v>
      </c>
      <c r="E16" s="273"/>
      <c r="F16" s="3758">
        <f>SUMIF(63:63,E17,64:64)-SUMIF(63:63,C17,64:64)+100</f>
        <v>100</v>
      </c>
      <c r="G16" s="274"/>
      <c r="H16" s="3750">
        <f>SUMIF(63:63,G17,64:64)-SUMIF(63:63,C17,64:64)+100</f>
        <v>100</v>
      </c>
      <c r="I16" s="273"/>
      <c r="J16" s="3750">
        <f>SUMIF(63:63,I17,64:64)-SUMIF(63:63,C17,64:64)+100</f>
        <v>100</v>
      </c>
      <c r="K16" s="396"/>
      <c r="L16" s="1980"/>
      <c r="M16" s="1975"/>
      <c r="N16" s="1975"/>
      <c r="O16" s="2030"/>
      <c r="P16" s="4543"/>
      <c r="Q16" s="906" t="str">
        <f>B16</f>
        <v>公共配套设施</v>
      </c>
      <c r="R16" s="3767" t="s">
        <v>13</v>
      </c>
      <c r="S16" s="3770">
        <f>F16</f>
        <v>100</v>
      </c>
      <c r="T16" s="3767" t="s">
        <v>13</v>
      </c>
      <c r="U16" s="3770">
        <f>H16</f>
        <v>100</v>
      </c>
      <c r="V16" s="3767" t="s">
        <v>13</v>
      </c>
      <c r="W16" s="3770">
        <f>J16</f>
        <v>100</v>
      </c>
      <c r="X16" s="909"/>
      <c r="Y16" s="4543"/>
      <c r="Z16" s="907" t="str">
        <f>Q16</f>
        <v>公共配套设施</v>
      </c>
      <c r="AA16" s="907">
        <f t="shared" si="3"/>
        <v>1</v>
      </c>
      <c r="AB16" s="907">
        <f t="shared" si="4"/>
        <v>1</v>
      </c>
      <c r="AC16" s="907">
        <f t="shared" si="5"/>
        <v>1</v>
      </c>
    </row>
    <row r="17" spans="1:29" ht="15">
      <c r="A17" s="254"/>
      <c r="B17" s="272"/>
      <c r="C17" s="1365"/>
      <c r="D17" s="2905"/>
      <c r="E17" s="266"/>
      <c r="F17" s="3756"/>
      <c r="G17" s="266"/>
      <c r="H17" s="267"/>
      <c r="I17" s="266"/>
      <c r="J17" s="267"/>
      <c r="K17" s="397"/>
      <c r="L17" s="1980"/>
      <c r="M17" s="1975"/>
      <c r="N17" s="1975"/>
      <c r="O17" s="2030"/>
      <c r="P17" s="4543"/>
      <c r="Q17" s="906"/>
      <c r="R17" s="3767"/>
      <c r="S17" s="3770"/>
      <c r="T17" s="3767"/>
      <c r="U17" s="3770"/>
      <c r="V17" s="3767"/>
      <c r="W17" s="3770"/>
      <c r="X17" s="909"/>
      <c r="Y17" s="4543"/>
      <c r="Z17" s="907"/>
      <c r="AA17" s="907">
        <v>1</v>
      </c>
      <c r="AB17" s="907">
        <v>1</v>
      </c>
      <c r="AC17" s="907">
        <v>1</v>
      </c>
    </row>
    <row r="18" spans="1:29" ht="15">
      <c r="A18" s="254"/>
      <c r="B18" s="759" t="s">
        <v>1720</v>
      </c>
      <c r="C18" s="1364">
        <f>IF(B1="工业",估价对象房地状况!G6,估价对象房地状况!C8)</f>
        <v>0</v>
      </c>
      <c r="D18" s="2907">
        <v>100</v>
      </c>
      <c r="E18" s="270"/>
      <c r="F18" s="3758">
        <f>SUMIF(65:65,E19,66:66)-SUMIF(65:65,C19,66:66)+100</f>
        <v>100</v>
      </c>
      <c r="G18" s="271"/>
      <c r="H18" s="3750">
        <f>SUMIF(65:65,G19,66:66)-SUMIF(65:65,C19,66:66)+100</f>
        <v>100</v>
      </c>
      <c r="I18" s="273"/>
      <c r="J18" s="3750">
        <f>SUMIF(65:65,I19,66:66)-SUMIF(65:65,C19,66:66)+100</f>
        <v>100</v>
      </c>
      <c r="K18" s="396"/>
      <c r="L18" s="1980"/>
      <c r="M18" s="1975"/>
      <c r="N18" s="1975"/>
      <c r="O18" s="2030"/>
      <c r="P18" s="4543"/>
      <c r="Q18" s="906" t="str">
        <f>B18</f>
        <v>基础设施水平</v>
      </c>
      <c r="R18" s="3767" t="s">
        <v>13</v>
      </c>
      <c r="S18" s="3770">
        <f>F18</f>
        <v>100</v>
      </c>
      <c r="T18" s="3767" t="s">
        <v>13</v>
      </c>
      <c r="U18" s="3770">
        <f>H18</f>
        <v>100</v>
      </c>
      <c r="V18" s="3767" t="s">
        <v>13</v>
      </c>
      <c r="W18" s="3770">
        <f>J18</f>
        <v>100</v>
      </c>
      <c r="X18" s="909"/>
      <c r="Y18" s="4543"/>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57"/>
      <c r="G19" s="1365"/>
      <c r="H19" s="267"/>
      <c r="I19" s="266"/>
      <c r="J19" s="267"/>
      <c r="K19" s="758"/>
      <c r="L19" s="1980"/>
      <c r="M19" s="1975"/>
      <c r="N19" s="1975"/>
      <c r="O19" s="2030"/>
      <c r="P19" s="4543"/>
      <c r="Q19" s="906"/>
      <c r="R19" s="3767"/>
      <c r="S19" s="3770"/>
      <c r="T19" s="3767"/>
      <c r="U19" s="3770"/>
      <c r="V19" s="3767"/>
      <c r="W19" s="3770"/>
      <c r="X19" s="909"/>
      <c r="Y19" s="4543"/>
      <c r="Z19" s="907"/>
      <c r="AA19" s="907">
        <v>1</v>
      </c>
      <c r="AB19" s="907">
        <v>1</v>
      </c>
      <c r="AC19" s="907">
        <v>1</v>
      </c>
    </row>
    <row r="20" spans="1:29" ht="15">
      <c r="A20" s="254"/>
      <c r="B20" s="269" t="s">
        <v>1741</v>
      </c>
      <c r="C20" s="1364">
        <f>IF(B1="工业",估价对象房地状况!G7,估价对象房地状况!C9)</f>
        <v>0</v>
      </c>
      <c r="D20" s="2907">
        <v>100</v>
      </c>
      <c r="E20" s="273"/>
      <c r="F20" s="3758">
        <f>SUMIF(67:67,E21,68:68)-SUMIF(67:67,C21,68:68)+100</f>
        <v>100</v>
      </c>
      <c r="G20" s="274"/>
      <c r="H20" s="268">
        <f>SUMIF(67:67,G21,68:68)-SUMIF(67:67,C21,68:68)+100</f>
        <v>100</v>
      </c>
      <c r="I20" s="270"/>
      <c r="J20" s="268">
        <f>SUMIF(67:67,I21,68:68)-SUMIF(67:67,C21,68:68)+100</f>
        <v>100</v>
      </c>
      <c r="K20" s="396"/>
      <c r="L20" s="1980"/>
      <c r="M20" s="1975"/>
      <c r="N20" s="1975"/>
      <c r="O20" s="2030"/>
      <c r="P20" s="4543"/>
      <c r="Q20" s="906" t="str">
        <f>B20</f>
        <v>自然及人文环境</v>
      </c>
      <c r="R20" s="3767" t="s">
        <v>13</v>
      </c>
      <c r="S20" s="3770">
        <f>F20</f>
        <v>100</v>
      </c>
      <c r="T20" s="3767" t="s">
        <v>13</v>
      </c>
      <c r="U20" s="3770">
        <f>H20</f>
        <v>100</v>
      </c>
      <c r="V20" s="3767" t="s">
        <v>13</v>
      </c>
      <c r="W20" s="3770">
        <f>J20</f>
        <v>100</v>
      </c>
      <c r="X20" s="909"/>
      <c r="Y20" s="4543"/>
      <c r="Z20" s="907" t="str">
        <f>Q20</f>
        <v>自然及人文环境</v>
      </c>
      <c r="AA20" s="907">
        <f t="shared" si="3"/>
        <v>1</v>
      </c>
      <c r="AB20" s="907">
        <f t="shared" si="4"/>
        <v>1</v>
      </c>
      <c r="AC20" s="907">
        <f t="shared" si="5"/>
        <v>1</v>
      </c>
    </row>
    <row r="21" spans="1:29" ht="15">
      <c r="A21" s="254"/>
      <c r="B21" s="272"/>
      <c r="C21" s="266"/>
      <c r="D21" s="2905"/>
      <c r="E21" s="266"/>
      <c r="F21" s="3756"/>
      <c r="G21" s="266"/>
      <c r="H21" s="267"/>
      <c r="I21" s="266"/>
      <c r="J21" s="267"/>
      <c r="K21" s="397"/>
      <c r="L21" s="1980"/>
      <c r="M21" s="1975"/>
      <c r="N21" s="1975"/>
      <c r="O21" s="2030"/>
      <c r="P21" s="4543"/>
      <c r="Q21" s="906"/>
      <c r="R21" s="3767"/>
      <c r="S21" s="3770"/>
      <c r="T21" s="3767"/>
      <c r="U21" s="3770"/>
      <c r="V21" s="3767"/>
      <c r="W21" s="3770"/>
      <c r="X21" s="909"/>
      <c r="Y21" s="4543"/>
      <c r="Z21" s="907"/>
      <c r="AA21" s="907">
        <v>1</v>
      </c>
      <c r="AB21" s="907">
        <v>1</v>
      </c>
      <c r="AC21" s="907">
        <v>1</v>
      </c>
    </row>
    <row r="22" spans="1:29" ht="15">
      <c r="A22" s="254"/>
      <c r="B22" s="269" t="s">
        <v>1742</v>
      </c>
      <c r="C22" s="398"/>
      <c r="D22" s="2906">
        <v>100</v>
      </c>
      <c r="E22" s="398"/>
      <c r="F22" s="908">
        <f>SUMIF(69:69,E22,70:70)-SUMIF(69:69,C22,70:70)+100</f>
        <v>100</v>
      </c>
      <c r="G22" s="398"/>
      <c r="H22" s="3751">
        <f>SUMIF(69:69,G22,70:70)-SUMIF(69:69,C22,70:70)+100</f>
        <v>100</v>
      </c>
      <c r="I22" s="398"/>
      <c r="J22" s="3751">
        <f>SUMIF(69:69,I22,70:70)-SUMIF(69:69,C22,70:70)+100</f>
        <v>100</v>
      </c>
      <c r="K22" s="394"/>
      <c r="L22" s="1980"/>
      <c r="M22" s="1975"/>
      <c r="N22" s="1975"/>
      <c r="O22" s="2030"/>
      <c r="P22" s="4543"/>
      <c r="Q22" s="906" t="str">
        <f>B22</f>
        <v>楼层</v>
      </c>
      <c r="R22" s="3767" t="s">
        <v>13</v>
      </c>
      <c r="S22" s="3770">
        <f>F22</f>
        <v>100</v>
      </c>
      <c r="T22" s="3767" t="s">
        <v>13</v>
      </c>
      <c r="U22" s="3770">
        <f>H22</f>
        <v>100</v>
      </c>
      <c r="V22" s="3767" t="s">
        <v>13</v>
      </c>
      <c r="W22" s="3770">
        <f>J22</f>
        <v>100</v>
      </c>
      <c r="X22" s="909"/>
      <c r="Y22" s="4543"/>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1">
        <f>SUMIF(71:71,G23,72:72)-SUMIF(71:71,C23,72:72)+100</f>
        <v>100</v>
      </c>
      <c r="I23" s="259"/>
      <c r="J23" s="3751">
        <f>SUMIF(71:71,I23,72:72)-SUMIF(71:71,C23,72:72)+100</f>
        <v>100</v>
      </c>
      <c r="K23" s="395"/>
      <c r="L23" s="1980"/>
      <c r="M23" s="1975"/>
      <c r="N23" s="1975"/>
      <c r="O23" s="2030"/>
      <c r="P23" s="4543"/>
      <c r="Q23" s="906">
        <f>B23</f>
        <v>111</v>
      </c>
      <c r="R23" s="3767" t="s">
        <v>13</v>
      </c>
      <c r="S23" s="3770">
        <f>F23</f>
        <v>100</v>
      </c>
      <c r="T23" s="3767" t="s">
        <v>13</v>
      </c>
      <c r="U23" s="3770">
        <f>H23</f>
        <v>100</v>
      </c>
      <c r="V23" s="3767" t="s">
        <v>13</v>
      </c>
      <c r="W23" s="3770">
        <f>J23</f>
        <v>100</v>
      </c>
      <c r="X23" s="909"/>
      <c r="Y23" s="4543"/>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1">
        <f>SUMIF(73:73,G24,74:74)-SUMIF(73:73,C24,74:74)+100</f>
        <v>100</v>
      </c>
      <c r="I24" s="259"/>
      <c r="J24" s="3751">
        <f>SUMIF(73:73,I24,74:74)-SUMIF(73:73,C24,74:74)+100</f>
        <v>100</v>
      </c>
      <c r="K24" s="395"/>
      <c r="L24" s="1980"/>
      <c r="M24" s="1975"/>
      <c r="N24" s="1975"/>
      <c r="O24" s="2030"/>
      <c r="P24" s="4543"/>
      <c r="Q24" s="906">
        <f t="shared" ref="Q24:Q34" si="11">B24</f>
        <v>111</v>
      </c>
      <c r="R24" s="3767" t="s">
        <v>13</v>
      </c>
      <c r="S24" s="3770">
        <f>F24</f>
        <v>100</v>
      </c>
      <c r="T24" s="3767" t="s">
        <v>13</v>
      </c>
      <c r="U24" s="3770">
        <f>H24</f>
        <v>100</v>
      </c>
      <c r="V24" s="3767" t="s">
        <v>13</v>
      </c>
      <c r="W24" s="3770">
        <f>J24</f>
        <v>100</v>
      </c>
      <c r="X24" s="909"/>
      <c r="Y24" s="4543"/>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43"/>
      <c r="Q25" s="389">
        <f t="shared" si="11"/>
        <v>111</v>
      </c>
      <c r="R25" s="3766" t="s">
        <v>13</v>
      </c>
      <c r="S25" s="3769">
        <f>F25</f>
        <v>100</v>
      </c>
      <c r="T25" s="3766" t="s">
        <v>13</v>
      </c>
      <c r="U25" s="3769">
        <f>H25</f>
        <v>100</v>
      </c>
      <c r="V25" s="3766" t="s">
        <v>13</v>
      </c>
      <c r="W25" s="3769">
        <f>J25</f>
        <v>100</v>
      </c>
      <c r="X25" s="482"/>
      <c r="Y25" s="4543"/>
      <c r="Z25" s="28">
        <f>Q25</f>
        <v>111</v>
      </c>
      <c r="AA25" s="907">
        <f>D25/F25</f>
        <v>1</v>
      </c>
      <c r="AB25" s="907">
        <f>D25/H25</f>
        <v>1</v>
      </c>
      <c r="AC25" s="907">
        <f>D25/J25</f>
        <v>1</v>
      </c>
    </row>
    <row r="26" spans="1:29" ht="28.5">
      <c r="A26" s="276" t="s">
        <v>1601</v>
      </c>
      <c r="B26" s="34" t="s">
        <v>1745</v>
      </c>
      <c r="C26" s="1420"/>
      <c r="D26" s="2909">
        <v>100</v>
      </c>
      <c r="E26" s="1420"/>
      <c r="F26" s="3772">
        <f>SUMIF(77:77,E26,78:78)-SUMIF(77:77,C26,78:78)+100</f>
        <v>100</v>
      </c>
      <c r="G26" s="1420"/>
      <c r="H26" s="3754">
        <f>SUMIF(77:77,G26,78:78)-SUMIF(77:77,C26,78:78)+100</f>
        <v>100</v>
      </c>
      <c r="I26" s="1420"/>
      <c r="J26" s="3754">
        <f>SUMIF(77:77,I26,78:78)-SUMIF(77:77,C26,78:78)+100</f>
        <v>100</v>
      </c>
      <c r="K26" s="394"/>
      <c r="L26" s="1980"/>
      <c r="M26" s="1975"/>
      <c r="N26" s="1975"/>
      <c r="O26" s="2030"/>
      <c r="P26" s="4631" t="s">
        <v>1603</v>
      </c>
      <c r="Q26" s="906" t="str">
        <f t="shared" si="11"/>
        <v>公共部分装修</v>
      </c>
      <c r="R26" s="3767" t="s">
        <v>13</v>
      </c>
      <c r="S26" s="3770">
        <f t="shared" ref="S26:S34" si="12">F26</f>
        <v>100</v>
      </c>
      <c r="T26" s="3767" t="s">
        <v>13</v>
      </c>
      <c r="U26" s="3770">
        <f t="shared" ref="U26:U34" si="13">H26</f>
        <v>100</v>
      </c>
      <c r="V26" s="3767" t="s">
        <v>13</v>
      </c>
      <c r="W26" s="3770">
        <f t="shared" ref="W26:W34" si="14">J26</f>
        <v>100</v>
      </c>
      <c r="X26" s="909"/>
      <c r="Y26" s="4547"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900">
        <v>100</v>
      </c>
      <c r="E27" s="283"/>
      <c r="F27" s="908" t="e">
        <f>LOOKUP(E27,80:80,81:81)-LOOKUP(C27,80:80,81:81)+100</f>
        <v>#N/A</v>
      </c>
      <c r="G27" s="284"/>
      <c r="H27" s="3751" t="e">
        <f>LOOKUP(G27,80:80,81:81)-LOOKUP(C27,80:80,81:81)+100</f>
        <v>#N/A</v>
      </c>
      <c r="I27" s="284"/>
      <c r="J27" s="3751" t="e">
        <f>LOOKUP(I27,80:80,81:81)-LOOKUP(C27,80:80,81:81)+100</f>
        <v>#N/A</v>
      </c>
      <c r="K27" s="394"/>
      <c r="L27" s="1979"/>
      <c r="M27" s="1981"/>
      <c r="N27" s="1981"/>
      <c r="O27" s="2031"/>
      <c r="P27" s="4547"/>
      <c r="Q27" s="483" t="str">
        <f t="shared" si="11"/>
        <v>成新率</v>
      </c>
      <c r="R27" s="3768" t="s">
        <v>13</v>
      </c>
      <c r="S27" s="3771" t="e">
        <f t="shared" si="12"/>
        <v>#N/A</v>
      </c>
      <c r="T27" s="3768" t="s">
        <v>13</v>
      </c>
      <c r="U27" s="3771" t="e">
        <f t="shared" si="13"/>
        <v>#N/A</v>
      </c>
      <c r="V27" s="3768" t="s">
        <v>13</v>
      </c>
      <c r="W27" s="3771" t="e">
        <f t="shared" si="14"/>
        <v>#N/A</v>
      </c>
      <c r="X27" s="484"/>
      <c r="Y27" s="4547"/>
      <c r="Z27" s="485" t="str">
        <f t="shared" si="15"/>
        <v>成新率</v>
      </c>
      <c r="AA27" s="907" t="e">
        <f t="shared" si="3"/>
        <v>#N/A</v>
      </c>
      <c r="AB27" s="907" t="e">
        <f t="shared" si="4"/>
        <v>#N/A</v>
      </c>
      <c r="AC27" s="907" t="e">
        <f t="shared" si="5"/>
        <v>#N/A</v>
      </c>
    </row>
    <row r="28" spans="1:29" ht="15">
      <c r="A28" s="280"/>
      <c r="B28" s="252" t="s">
        <v>1747</v>
      </c>
      <c r="C28" s="275"/>
      <c r="D28" s="2902">
        <v>100</v>
      </c>
      <c r="E28" s="275"/>
      <c r="F28" s="908">
        <f>SUMIF(82:82,E28,83:83)-SUMIF(82:82,C28,83:83)+100</f>
        <v>100</v>
      </c>
      <c r="G28" s="275"/>
      <c r="H28" s="3751">
        <f>SUMIF(82:82,G28,83:83)-SUMIF(82:82,C28,83:83)+100</f>
        <v>100</v>
      </c>
      <c r="I28" s="275"/>
      <c r="J28" s="3751">
        <f>SUMIF(82:82,I28,83:83)-SUMIF(82:82,C28,83:83)+100</f>
        <v>100</v>
      </c>
      <c r="K28" s="394"/>
      <c r="L28" s="1980"/>
      <c r="M28" s="1975"/>
      <c r="N28" s="1975"/>
      <c r="O28" s="2030"/>
      <c r="P28" s="4547"/>
      <c r="Q28" s="906" t="str">
        <f t="shared" si="11"/>
        <v>物业等级</v>
      </c>
      <c r="R28" s="3767" t="s">
        <v>13</v>
      </c>
      <c r="S28" s="3770">
        <f t="shared" si="12"/>
        <v>100</v>
      </c>
      <c r="T28" s="3767" t="s">
        <v>13</v>
      </c>
      <c r="U28" s="3770">
        <f t="shared" si="13"/>
        <v>100</v>
      </c>
      <c r="V28" s="3767" t="s">
        <v>13</v>
      </c>
      <c r="W28" s="3770">
        <f t="shared" si="14"/>
        <v>100</v>
      </c>
      <c r="X28" s="909"/>
      <c r="Y28" s="4547"/>
      <c r="Z28" s="907" t="str">
        <f t="shared" si="15"/>
        <v>物业等级</v>
      </c>
      <c r="AA28" s="907">
        <f t="shared" si="3"/>
        <v>1</v>
      </c>
      <c r="AB28" s="907">
        <f t="shared" si="4"/>
        <v>1</v>
      </c>
      <c r="AC28" s="907">
        <f t="shared" si="5"/>
        <v>1</v>
      </c>
    </row>
    <row r="29" spans="1:29" ht="15">
      <c r="A29" s="280"/>
      <c r="B29" s="252" t="s">
        <v>1767</v>
      </c>
      <c r="C29" s="425"/>
      <c r="D29" s="2902">
        <v>100</v>
      </c>
      <c r="E29" s="425"/>
      <c r="F29" s="908">
        <f>SUMIF(84:84,E29,85:85)-SUMIF(84:84,C29,85:85)+100</f>
        <v>100</v>
      </c>
      <c r="G29" s="425"/>
      <c r="H29" s="3751">
        <f>SUMIF(84:84,G29,85:85)-SUMIF(84:84,C29,85:85)+100</f>
        <v>100</v>
      </c>
      <c r="I29" s="425"/>
      <c r="J29" s="3751">
        <f>SUMIF(84:84,I29,85:85)-SUMIF(84:84,C29,85:85)+100</f>
        <v>100</v>
      </c>
      <c r="K29" s="394"/>
      <c r="L29" s="1980"/>
      <c r="M29" s="1975"/>
      <c r="N29" s="1975"/>
      <c r="O29" s="2030"/>
      <c r="P29" s="4547"/>
      <c r="Q29" s="906" t="str">
        <f t="shared" si="11"/>
        <v>有无电梯</v>
      </c>
      <c r="R29" s="3767" t="s">
        <v>13</v>
      </c>
      <c r="S29" s="3770">
        <f t="shared" si="12"/>
        <v>100</v>
      </c>
      <c r="T29" s="3767" t="s">
        <v>13</v>
      </c>
      <c r="U29" s="3770">
        <f t="shared" si="13"/>
        <v>100</v>
      </c>
      <c r="V29" s="3767" t="s">
        <v>13</v>
      </c>
      <c r="W29" s="3770">
        <f t="shared" si="14"/>
        <v>100</v>
      </c>
      <c r="X29" s="909"/>
      <c r="Y29" s="4547"/>
      <c r="Z29" s="907" t="str">
        <f t="shared" si="15"/>
        <v>有无电梯</v>
      </c>
      <c r="AA29" s="907">
        <f t="shared" si="3"/>
        <v>1</v>
      </c>
      <c r="AB29" s="907">
        <f t="shared" si="4"/>
        <v>1</v>
      </c>
      <c r="AC29" s="907">
        <f t="shared" si="5"/>
        <v>1</v>
      </c>
    </row>
    <row r="30" spans="1:29" ht="15">
      <c r="A30" s="280"/>
      <c r="B30" s="252" t="s">
        <v>1768</v>
      </c>
      <c r="C30" s="278"/>
      <c r="D30" s="2902">
        <v>100</v>
      </c>
      <c r="E30" s="278"/>
      <c r="F30" s="908" t="e">
        <f>LOOKUP(E30,87:87,88:88)-LOOKUP(C30,87:87,88:88)+100</f>
        <v>#N/A</v>
      </c>
      <c r="G30" s="278"/>
      <c r="H30" s="3751" t="e">
        <f>LOOKUP(G30,87:87,88:88)-LOOKUP(C30,87:87,88:88)+100</f>
        <v>#N/A</v>
      </c>
      <c r="I30" s="278"/>
      <c r="J30" s="3751" t="e">
        <f>LOOKUP(I30,87:87,88:88)-LOOKUP(C30,87:87,88:88)+100</f>
        <v>#N/A</v>
      </c>
      <c r="K30" s="395"/>
      <c r="L30" s="1980"/>
      <c r="M30" s="1975"/>
      <c r="N30" s="1975"/>
      <c r="O30" s="2030"/>
      <c r="P30" s="4547"/>
      <c r="Q30" s="906" t="str">
        <f t="shared" si="11"/>
        <v>建筑面积</v>
      </c>
      <c r="R30" s="3767" t="s">
        <v>13</v>
      </c>
      <c r="S30" s="3770" t="e">
        <f t="shared" si="12"/>
        <v>#N/A</v>
      </c>
      <c r="T30" s="3767" t="s">
        <v>13</v>
      </c>
      <c r="U30" s="3770" t="e">
        <f t="shared" si="13"/>
        <v>#N/A</v>
      </c>
      <c r="V30" s="3767" t="s">
        <v>13</v>
      </c>
      <c r="W30" s="3770" t="e">
        <f t="shared" si="14"/>
        <v>#N/A</v>
      </c>
      <c r="X30" s="909"/>
      <c r="Y30" s="4547"/>
      <c r="Z30" s="907" t="str">
        <f t="shared" si="15"/>
        <v>建筑面积</v>
      </c>
      <c r="AA30" s="907" t="e">
        <f t="shared" si="3"/>
        <v>#N/A</v>
      </c>
      <c r="AB30" s="907" t="e">
        <f t="shared" si="4"/>
        <v>#N/A</v>
      </c>
      <c r="AC30" s="907" t="e">
        <f t="shared" si="5"/>
        <v>#N/A</v>
      </c>
    </row>
    <row r="31" spans="1:29" s="46" customFormat="1" ht="15">
      <c r="A31" s="281"/>
      <c r="B31" s="252" t="s">
        <v>1769</v>
      </c>
      <c r="C31" s="425"/>
      <c r="D31" s="2900">
        <v>100</v>
      </c>
      <c r="E31" s="425"/>
      <c r="F31" s="908">
        <f>SUMIF(89:89,E31,90:90)-SUMIF(89:89,C31,90:90)+100</f>
        <v>100</v>
      </c>
      <c r="G31" s="425"/>
      <c r="H31" s="3751">
        <f>SUMIF(89:89,G31,90:90)-SUMIF(89:89,C31,90:90)+100</f>
        <v>100</v>
      </c>
      <c r="I31" s="425"/>
      <c r="J31" s="3751">
        <f>SUMIF(89:89,I31,90:90)-SUMIF(89:89,C31,90:90)+100</f>
        <v>100</v>
      </c>
      <c r="K31" s="394"/>
      <c r="L31" s="1976"/>
      <c r="M31" s="1929"/>
      <c r="N31" s="1929"/>
      <c r="O31" s="2028"/>
      <c r="P31" s="4547"/>
      <c r="Q31" s="389" t="str">
        <f t="shared" si="11"/>
        <v>是否封闭</v>
      </c>
      <c r="R31" s="3766" t="s">
        <v>13</v>
      </c>
      <c r="S31" s="3769">
        <f t="shared" si="12"/>
        <v>100</v>
      </c>
      <c r="T31" s="3766" t="s">
        <v>13</v>
      </c>
      <c r="U31" s="3769">
        <f t="shared" si="13"/>
        <v>100</v>
      </c>
      <c r="V31" s="3766" t="s">
        <v>13</v>
      </c>
      <c r="W31" s="3769">
        <f t="shared" si="14"/>
        <v>100</v>
      </c>
      <c r="X31" s="482"/>
      <c r="Y31" s="4547"/>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1">
        <f>SUMIF(91:91,G32,92:92)-SUMIF(91:91,C32,92:92)+100</f>
        <v>100</v>
      </c>
      <c r="I32" s="278"/>
      <c r="J32" s="3751">
        <f>SUMIF(91:91,I32,92:92)-SUMIF(91:91,C32,92:92)+100</f>
        <v>100</v>
      </c>
      <c r="K32" s="395"/>
      <c r="L32" s="1980"/>
      <c r="M32" s="1975"/>
      <c r="N32" s="1975"/>
      <c r="O32" s="2030"/>
      <c r="P32" s="4547" t="s">
        <v>1603</v>
      </c>
      <c r="Q32" s="906">
        <f t="shared" si="11"/>
        <v>111</v>
      </c>
      <c r="R32" s="3767" t="s">
        <v>13</v>
      </c>
      <c r="S32" s="3770">
        <f t="shared" si="12"/>
        <v>100</v>
      </c>
      <c r="T32" s="3767" t="s">
        <v>13</v>
      </c>
      <c r="U32" s="3770">
        <f t="shared" si="13"/>
        <v>100</v>
      </c>
      <c r="V32" s="3767" t="s">
        <v>13</v>
      </c>
      <c r="W32" s="3770">
        <f t="shared" si="14"/>
        <v>100</v>
      </c>
      <c r="X32" s="909"/>
      <c r="Y32" s="4547" t="s">
        <v>1603</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1">
        <f>SUMIF(93:93,G33,94:94)-SUMIF(93:93,C33,94:94)+100</f>
        <v>100</v>
      </c>
      <c r="I33" s="278"/>
      <c r="J33" s="3751">
        <f>SUMIF(93:93,I33,94:94)-SUMIF(93:93,C33,94:94)+100</f>
        <v>100</v>
      </c>
      <c r="K33" s="395"/>
      <c r="L33" s="1980"/>
      <c r="M33" s="1975"/>
      <c r="N33" s="1975"/>
      <c r="O33" s="2030"/>
      <c r="P33" s="4547"/>
      <c r="Q33" s="906">
        <f t="shared" si="11"/>
        <v>111</v>
      </c>
      <c r="R33" s="3767" t="s">
        <v>13</v>
      </c>
      <c r="S33" s="3770">
        <f t="shared" si="12"/>
        <v>100</v>
      </c>
      <c r="T33" s="3767" t="s">
        <v>13</v>
      </c>
      <c r="U33" s="3770">
        <f t="shared" si="13"/>
        <v>100</v>
      </c>
      <c r="V33" s="3767" t="s">
        <v>13</v>
      </c>
      <c r="W33" s="3770">
        <f t="shared" si="14"/>
        <v>100</v>
      </c>
      <c r="X33" s="909"/>
      <c r="Y33" s="4547"/>
      <c r="Z33" s="907">
        <f t="shared" si="15"/>
        <v>111</v>
      </c>
      <c r="AA33" s="907">
        <f t="shared" si="3"/>
        <v>1</v>
      </c>
      <c r="AB33" s="907">
        <f t="shared" si="4"/>
        <v>1</v>
      </c>
      <c r="AC33" s="907">
        <f t="shared" si="5"/>
        <v>1</v>
      </c>
    </row>
    <row r="34" spans="1:30" ht="15.75" thickBot="1">
      <c r="A34" s="285"/>
      <c r="B34" s="1361">
        <v>111</v>
      </c>
      <c r="C34" s="261"/>
      <c r="D34" s="2903">
        <v>100</v>
      </c>
      <c r="E34" s="1428"/>
      <c r="F34" s="3752">
        <f>SUMIF(95:95,E34,96:96)-SUMIF(95:95,C34,96:96)+100</f>
        <v>100</v>
      </c>
      <c r="G34" s="1428"/>
      <c r="H34" s="3748">
        <f>SUMIF(95:95,G34,96:96)-SUMIF(95:95,C34,96:96)+100</f>
        <v>100</v>
      </c>
      <c r="I34" s="1428"/>
      <c r="J34" s="3748">
        <f>SUMIF(95:95,I34,96:96)-SUMIF(95:95,C34,96:96)+100</f>
        <v>100</v>
      </c>
      <c r="K34" s="395"/>
      <c r="L34" s="1980"/>
      <c r="M34" s="1975"/>
      <c r="N34" s="1975"/>
      <c r="O34" s="2030"/>
      <c r="P34" s="4547"/>
      <c r="Q34" s="906">
        <f t="shared" si="11"/>
        <v>111</v>
      </c>
      <c r="R34" s="3767" t="s">
        <v>13</v>
      </c>
      <c r="S34" s="3770">
        <f t="shared" si="12"/>
        <v>100</v>
      </c>
      <c r="T34" s="3767" t="s">
        <v>13</v>
      </c>
      <c r="U34" s="3770">
        <f t="shared" si="13"/>
        <v>100</v>
      </c>
      <c r="V34" s="3767" t="s">
        <v>13</v>
      </c>
      <c r="W34" s="3770">
        <f t="shared" si="14"/>
        <v>100</v>
      </c>
      <c r="X34" s="909"/>
      <c r="Y34" s="4547"/>
      <c r="Z34" s="907">
        <f t="shared" si="15"/>
        <v>111</v>
      </c>
      <c r="AA34" s="907">
        <f t="shared" si="3"/>
        <v>1</v>
      </c>
      <c r="AB34" s="907">
        <f t="shared" si="4"/>
        <v>1</v>
      </c>
      <c r="AC34" s="907">
        <f t="shared" si="5"/>
        <v>1</v>
      </c>
    </row>
    <row r="35" spans="1:30" ht="15">
      <c r="A35" s="286" t="s">
        <v>1615</v>
      </c>
      <c r="B35" s="287"/>
      <c r="C35" s="765" t="s">
        <v>0</v>
      </c>
      <c r="D35" s="288"/>
      <c r="E35" s="3205"/>
      <c r="F35" s="3153"/>
      <c r="G35" s="3206"/>
      <c r="H35" s="3154"/>
      <c r="I35" s="3205"/>
      <c r="J35" s="3154"/>
      <c r="K35" s="2862"/>
      <c r="L35" s="1982"/>
      <c r="M35" s="1975"/>
      <c r="N35" s="1975"/>
      <c r="O35" s="1975"/>
      <c r="P35" s="4623" t="str">
        <f>A35</f>
        <v>成交单价（元/平方米）</v>
      </c>
      <c r="Q35" s="4623"/>
      <c r="R35" s="4501">
        <f>E35</f>
        <v>0</v>
      </c>
      <c r="S35" s="4501"/>
      <c r="T35" s="4501">
        <f>G35</f>
        <v>0</v>
      </c>
      <c r="U35" s="4501"/>
      <c r="V35" s="4501">
        <f>I35</f>
        <v>0</v>
      </c>
      <c r="W35" s="4501"/>
      <c r="X35" s="265"/>
      <c r="Y35" s="486"/>
      <c r="Z35" s="265"/>
      <c r="AA35" s="265"/>
      <c r="AB35" s="265"/>
      <c r="AC35" s="265"/>
    </row>
    <row r="36" spans="1:30" ht="15.75" thickBot="1">
      <c r="A36" s="289" t="s">
        <v>1700</v>
      </c>
      <c r="B36" s="290"/>
      <c r="C36" s="3733" t="e">
        <f>R37</f>
        <v>#DIV/0!</v>
      </c>
      <c r="D36" s="3846" t="s">
        <v>2041</v>
      </c>
      <c r="E36" s="3744" t="e">
        <f>R36</f>
        <v>#DIV/0!</v>
      </c>
      <c r="F36" s="2801"/>
      <c r="G36" s="3733" t="e">
        <f>T36</f>
        <v>#DIV/0!</v>
      </c>
      <c r="H36" s="2801"/>
      <c r="I36" s="3744" t="e">
        <f>V36</f>
        <v>#DIV/0!</v>
      </c>
      <c r="J36" s="2801"/>
      <c r="K36" s="2855">
        <f>F36+H36+J36</f>
        <v>0</v>
      </c>
      <c r="L36" s="1982"/>
      <c r="M36" s="1975"/>
      <c r="N36" s="1975"/>
      <c r="O36" s="1975"/>
      <c r="P36" s="4623" t="str">
        <f>A36</f>
        <v>比较价值（元/平方米）</v>
      </c>
      <c r="Q36" s="4623"/>
      <c r="R36" s="4501" t="e">
        <f>IF(F1="售价",ROUND(PRODUCT(R35,AA7:AA34),0),ROUND(PRODUCT(R35,AA7:AA34),1))</f>
        <v>#DIV/0!</v>
      </c>
      <c r="S36" s="4501"/>
      <c r="T36" s="4501" t="e">
        <f>IF(F1="售价",ROUND(PRODUCT(T35,AB7:AB34),0),ROUND(PRODUCT(T35,AB7:AB34),1))</f>
        <v>#DIV/0!</v>
      </c>
      <c r="U36" s="4501"/>
      <c r="V36" s="4501" t="e">
        <f>IF(F1="售价",ROUND(PRODUCT(V35,AC7:AC34),0),ROUND(PRODUCT(V35,AC7:AC34),1))</f>
        <v>#DIV/0!</v>
      </c>
      <c r="W36" s="4501"/>
      <c r="X36" s="265"/>
      <c r="Y36" s="265"/>
      <c r="Z36" s="265"/>
      <c r="AA36" s="265"/>
      <c r="AB36" s="265"/>
      <c r="AC36" s="265"/>
    </row>
    <row r="37" spans="1:30" ht="15.75" thickBot="1">
      <c r="A37" s="291" t="s">
        <v>1701</v>
      </c>
      <c r="B37" s="292"/>
      <c r="C37" s="3745" t="e">
        <f>R37</f>
        <v>#DIV/0!</v>
      </c>
      <c r="D37" s="241"/>
      <c r="E37" s="241"/>
      <c r="F37" s="241"/>
      <c r="G37" s="241"/>
      <c r="H37" s="241"/>
      <c r="I37" s="241"/>
      <c r="J37" s="241"/>
      <c r="K37" s="487"/>
      <c r="L37" s="1982"/>
      <c r="M37" s="1975"/>
      <c r="N37" s="1975"/>
      <c r="O37" s="1975"/>
      <c r="P37" s="4632" t="str">
        <f>A37</f>
        <v>估价对象XX用房的比较价值（楼面单价，元/平方米）</v>
      </c>
      <c r="Q37" s="4633"/>
      <c r="R37" s="4634" t="e">
        <f>IF(F1="售价",ROUND(IF(D36="简单平均",AVERAGE(R36:W36),R36*F36+T36*H36+V36*J36),0),ROUND(IF(D36="简单平均",AVERAGE(R36:V36),R36*F36+T36*H36+V36*J36),1))</f>
        <v>#DIV/0!</v>
      </c>
      <c r="S37" s="4634"/>
      <c r="T37" s="4634"/>
      <c r="U37" s="4634"/>
      <c r="V37" s="4634"/>
      <c r="W37" s="4634"/>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2026-1</v>
      </c>
      <c r="D46" s="782">
        <f>EDATE(C46,-1)</f>
        <v>45992</v>
      </c>
      <c r="E46" s="782">
        <f t="shared" ref="E46:O46" si="16">EDATE(D46,-1)</f>
        <v>45962</v>
      </c>
      <c r="F46" s="782">
        <f t="shared" si="16"/>
        <v>45931</v>
      </c>
      <c r="G46" s="782">
        <f t="shared" si="16"/>
        <v>45901</v>
      </c>
      <c r="H46" s="782">
        <f t="shared" si="16"/>
        <v>45870</v>
      </c>
      <c r="I46" s="782">
        <f t="shared" si="16"/>
        <v>45839</v>
      </c>
      <c r="J46" s="782">
        <f t="shared" si="16"/>
        <v>45809</v>
      </c>
      <c r="K46" s="782">
        <f t="shared" si="16"/>
        <v>45778</v>
      </c>
      <c r="L46" s="782">
        <f t="shared" si="16"/>
        <v>45748</v>
      </c>
      <c r="M46" s="782">
        <f t="shared" si="16"/>
        <v>45717</v>
      </c>
      <c r="N46" s="782">
        <f t="shared" si="16"/>
        <v>45689</v>
      </c>
      <c r="O46" s="782">
        <f t="shared" si="16"/>
        <v>45658</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3865</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8"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3620</v>
      </c>
      <c r="B4" s="3388" t="e">
        <f>IF(B48="单位面积地价",C50,ROUND(B2*10000/'数据-汇总表'!D3,0))</f>
        <v>#DIV/0!</v>
      </c>
      <c r="C4" s="1336" t="s">
        <v>3622</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3621</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ht="15">
      <c r="A6" s="235" t="s">
        <v>1676</v>
      </c>
      <c r="B6" s="236"/>
      <c r="C6" s="4518" t="s">
        <v>1677</v>
      </c>
      <c r="D6" s="4519"/>
      <c r="E6" s="4520" t="s">
        <v>1678</v>
      </c>
      <c r="F6" s="4521"/>
      <c r="G6" s="4518" t="s">
        <v>1679</v>
      </c>
      <c r="H6" s="4519"/>
      <c r="I6" s="4518" t="s">
        <v>1680</v>
      </c>
      <c r="J6" s="4519"/>
      <c r="K6" s="2863" t="s">
        <v>1681</v>
      </c>
      <c r="L6" s="1974"/>
      <c r="M6" s="1975"/>
      <c r="N6" s="1975"/>
      <c r="O6" s="1975"/>
      <c r="P6" s="4522" t="s">
        <v>1682</v>
      </c>
      <c r="Q6" s="4523"/>
      <c r="R6" s="4504" t="s">
        <v>1678</v>
      </c>
      <c r="S6" s="4505"/>
      <c r="T6" s="4504" t="s">
        <v>1679</v>
      </c>
      <c r="U6" s="4505"/>
      <c r="V6" s="4530" t="s">
        <v>1680</v>
      </c>
      <c r="W6" s="4530"/>
      <c r="X6" s="909"/>
      <c r="Y6" s="4533" t="s">
        <v>1682</v>
      </c>
      <c r="Z6" s="4534"/>
      <c r="AA6" s="4498" t="s">
        <v>1678</v>
      </c>
      <c r="AB6" s="4499" t="s">
        <v>1679</v>
      </c>
      <c r="AC6" s="4498" t="s">
        <v>1680</v>
      </c>
    </row>
    <row r="7" spans="1:29" ht="15">
      <c r="A7" s="238"/>
      <c r="B7" s="239"/>
      <c r="C7" s="4510" t="s">
        <v>1580</v>
      </c>
      <c r="D7" s="4511"/>
      <c r="E7" s="4508" t="s">
        <v>1581</v>
      </c>
      <c r="F7" s="4509"/>
      <c r="G7" s="4510" t="s">
        <v>1582</v>
      </c>
      <c r="H7" s="4511"/>
      <c r="I7" s="4510" t="s">
        <v>1583</v>
      </c>
      <c r="J7" s="4511"/>
      <c r="K7" s="2863"/>
      <c r="L7" s="1974"/>
      <c r="M7" s="1975"/>
      <c r="N7" s="1975"/>
      <c r="O7" s="1975"/>
      <c r="P7" s="4524"/>
      <c r="Q7" s="4525"/>
      <c r="R7" s="4506"/>
      <c r="S7" s="4507"/>
      <c r="T7" s="4506"/>
      <c r="U7" s="4507"/>
      <c r="V7" s="4530"/>
      <c r="W7" s="4530"/>
      <c r="X7" s="909"/>
      <c r="Y7" s="4535"/>
      <c r="Z7" s="4536"/>
      <c r="AA7" s="4499"/>
      <c r="AB7" s="4499"/>
      <c r="AC7" s="4499"/>
    </row>
    <row r="8" spans="1:29" ht="15.75" thickBot="1">
      <c r="A8" s="240"/>
      <c r="B8" s="241"/>
      <c r="C8" s="4512" t="s">
        <v>1584</v>
      </c>
      <c r="D8" s="4513"/>
      <c r="E8" s="4514" t="s">
        <v>1584</v>
      </c>
      <c r="F8" s="4515"/>
      <c r="G8" s="4512" t="s">
        <v>1584</v>
      </c>
      <c r="H8" s="4513"/>
      <c r="I8" s="4512" t="s">
        <v>1584</v>
      </c>
      <c r="J8" s="4513"/>
      <c r="K8" s="2863" t="s">
        <v>1585</v>
      </c>
      <c r="L8" s="1974"/>
      <c r="M8" s="1975"/>
      <c r="N8" s="1975"/>
      <c r="O8" s="1975"/>
      <c r="P8" s="4526"/>
      <c r="Q8" s="4527"/>
      <c r="R8" s="4506"/>
      <c r="S8" s="4507"/>
      <c r="T8" s="4528"/>
      <c r="U8" s="4529"/>
      <c r="V8" s="4530"/>
      <c r="W8" s="4530"/>
      <c r="X8" s="909"/>
      <c r="Y8" s="4537"/>
      <c r="Z8" s="4538"/>
      <c r="AA8" s="4500"/>
      <c r="AB8" s="4500"/>
      <c r="AC8" s="4500"/>
    </row>
    <row r="9" spans="1:29" s="46" customFormat="1" ht="15.75" thickBot="1">
      <c r="A9" s="3089" t="s">
        <v>1586</v>
      </c>
      <c r="B9" s="3090"/>
      <c r="C9" s="2811">
        <f>'数据-取费表'!B2</f>
        <v>46050</v>
      </c>
      <c r="D9" s="2886">
        <v>100</v>
      </c>
      <c r="E9" s="2840"/>
      <c r="F9" s="3717">
        <f>SUMIF(71:71,YEAR(E9)&amp;"-"&amp;INT((MONTH(E9)+2)/3),72:72)</f>
        <v>0</v>
      </c>
      <c r="G9" s="3120"/>
      <c r="H9" s="3729">
        <f>SUMIF(71:71,YEAR(G9)&amp;"-"&amp;INT((MONTH(G9)+2)/3),72:72)</f>
        <v>0</v>
      </c>
      <c r="I9" s="3120"/>
      <c r="J9" s="3729">
        <f>SUMIF(71:71,YEAR(I9)&amp;"-"&amp;INT((MONTH(I9)+2)/3),72:72)</f>
        <v>0</v>
      </c>
      <c r="K9" s="3124"/>
      <c r="L9" s="1976"/>
      <c r="M9" s="1929"/>
      <c r="N9" s="1929"/>
      <c r="O9" s="1929"/>
      <c r="P9" s="4531" t="s">
        <v>1587</v>
      </c>
      <c r="Q9" s="4539"/>
      <c r="R9" s="3759" t="s">
        <v>13</v>
      </c>
      <c r="S9" s="3542">
        <f t="shared" ref="S9:S17" si="0">F9</f>
        <v>0</v>
      </c>
      <c r="T9" s="3759" t="s">
        <v>13</v>
      </c>
      <c r="U9" s="3542">
        <f t="shared" ref="U9:U17" si="1">H9</f>
        <v>0</v>
      </c>
      <c r="V9" s="3759" t="s">
        <v>13</v>
      </c>
      <c r="W9" s="3542">
        <f t="shared" ref="W9:W17" si="2">J9</f>
        <v>0</v>
      </c>
      <c r="X9" s="482"/>
      <c r="Y9" s="4502" t="s">
        <v>1587</v>
      </c>
      <c r="Z9" s="4503"/>
      <c r="AA9" s="28" t="e">
        <f>D9/F9</f>
        <v>#DIV/0!</v>
      </c>
      <c r="AB9" s="28" t="e">
        <f>D9/H9</f>
        <v>#DIV/0!</v>
      </c>
      <c r="AC9" s="28" t="e">
        <f>D9/J9</f>
        <v>#DIV/0!</v>
      </c>
    </row>
    <row r="10" spans="1:29" s="46" customFormat="1" ht="15.75" thickBot="1">
      <c r="A10" s="3089" t="s">
        <v>1588</v>
      </c>
      <c r="B10" s="3090"/>
      <c r="C10" s="2812"/>
      <c r="D10" s="2886">
        <v>100</v>
      </c>
      <c r="E10" s="2812"/>
      <c r="F10" s="3717">
        <f>SUMIF(74:74,E10,75:75)-SUMIF(74:74,C10,75:75)+100</f>
        <v>100</v>
      </c>
      <c r="G10" s="2812"/>
      <c r="H10" s="3729">
        <f>SUMIF(74:74,G10,75:75)-SUMIF(74:74,C10,75:75)+100</f>
        <v>100</v>
      </c>
      <c r="I10" s="2812"/>
      <c r="J10" s="3729">
        <f>SUMIF(74:74,I10,75:75)-SUMIF(74:74,C10,75:75)+100</f>
        <v>100</v>
      </c>
      <c r="K10" s="3124"/>
      <c r="L10" s="1976"/>
      <c r="M10" s="1929"/>
      <c r="N10" s="1929"/>
      <c r="O10" s="1929"/>
      <c r="P10" s="4531" t="s">
        <v>1590</v>
      </c>
      <c r="Q10" s="4532"/>
      <c r="R10" s="3759" t="s">
        <v>13</v>
      </c>
      <c r="S10" s="3542">
        <f t="shared" si="0"/>
        <v>100</v>
      </c>
      <c r="T10" s="3759" t="s">
        <v>13</v>
      </c>
      <c r="U10" s="3542">
        <f t="shared" si="1"/>
        <v>100</v>
      </c>
      <c r="V10" s="3759" t="s">
        <v>13</v>
      </c>
      <c r="W10" s="3542">
        <f t="shared" si="2"/>
        <v>100</v>
      </c>
      <c r="X10" s="482"/>
      <c r="Y10" s="4502" t="s">
        <v>1590</v>
      </c>
      <c r="Z10" s="4503"/>
      <c r="AA10" s="28">
        <f t="shared" ref="AA10:AA47" si="3">D10/F10</f>
        <v>1</v>
      </c>
      <c r="AB10" s="28">
        <f t="shared" ref="AB10:AB47" si="4">D10/H10</f>
        <v>1</v>
      </c>
      <c r="AC10" s="28">
        <f t="shared" ref="AC10:AC47" si="5">D10/J10</f>
        <v>1</v>
      </c>
    </row>
    <row r="11" spans="1:29" s="46" customFormat="1">
      <c r="A11" s="3029" t="s">
        <v>1591</v>
      </c>
      <c r="B11" s="2792" t="s">
        <v>1592</v>
      </c>
      <c r="C11" s="3091"/>
      <c r="D11" s="2887">
        <v>100</v>
      </c>
      <c r="E11" s="3091"/>
      <c r="F11" s="3730">
        <f>SUMIF(76:76,E11,77:77)-SUMIF(76:76,C11,77:77)+100</f>
        <v>100</v>
      </c>
      <c r="G11" s="3091"/>
      <c r="H11" s="3730">
        <f>SUMIF(76:76,G11,77:77)-SUMIF(76:76,C11,77:77)+100</f>
        <v>100</v>
      </c>
      <c r="I11" s="3091"/>
      <c r="J11" s="3730">
        <f>SUMIF(76:76,I11,77:77)-SUMIF(76:76,C11,77:77)+100</f>
        <v>100</v>
      </c>
      <c r="K11" s="3124"/>
      <c r="L11" s="1976"/>
      <c r="M11" s="1929"/>
      <c r="N11" s="1929"/>
      <c r="O11" s="2028"/>
      <c r="P11" s="4549" t="s">
        <v>1593</v>
      </c>
      <c r="Q11" s="1698" t="str">
        <f t="shared" ref="Q11:Q17" si="6">B11</f>
        <v>用途</v>
      </c>
      <c r="R11" s="3759" t="s">
        <v>13</v>
      </c>
      <c r="S11" s="3542">
        <f t="shared" si="0"/>
        <v>100</v>
      </c>
      <c r="T11" s="3759" t="s">
        <v>13</v>
      </c>
      <c r="U11" s="3542">
        <f t="shared" si="1"/>
        <v>100</v>
      </c>
      <c r="V11" s="3759" t="s">
        <v>13</v>
      </c>
      <c r="W11" s="3542">
        <f t="shared" si="2"/>
        <v>100</v>
      </c>
      <c r="X11" s="482"/>
      <c r="Y11" s="4517"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66"/>
      <c r="F12" s="3731">
        <f>ROUND(100/'数据-取费表'!G16,1)</f>
        <v>125.5</v>
      </c>
      <c r="G12" s="2872"/>
      <c r="H12" s="3731">
        <f>ROUND(100/'数据-取费表'!G16,1)</f>
        <v>125.5</v>
      </c>
      <c r="I12" s="2872"/>
      <c r="J12" s="3731">
        <f>ROUND(100/'数据-取费表'!G16,1)</f>
        <v>125.5</v>
      </c>
      <c r="K12" s="3125"/>
      <c r="L12" s="1977"/>
      <c r="M12" s="1978"/>
      <c r="N12" s="1978"/>
      <c r="O12" s="2029"/>
      <c r="P12" s="4549"/>
      <c r="Q12" s="1698" t="str">
        <f t="shared" si="6"/>
        <v>土地使用年限（年）</v>
      </c>
      <c r="R12" s="3759" t="s">
        <v>13</v>
      </c>
      <c r="S12" s="3542">
        <f t="shared" si="0"/>
        <v>125.5</v>
      </c>
      <c r="T12" s="3759" t="s">
        <v>13</v>
      </c>
      <c r="U12" s="3542">
        <f t="shared" si="1"/>
        <v>125.5</v>
      </c>
      <c r="V12" s="3759" t="s">
        <v>13</v>
      </c>
      <c r="W12" s="3542">
        <f t="shared" si="2"/>
        <v>125.5</v>
      </c>
      <c r="X12" s="482"/>
      <c r="Y12" s="4517"/>
      <c r="Z12" s="28" t="str">
        <f t="shared" si="7"/>
        <v>土地使用年限（年）</v>
      </c>
      <c r="AA12" s="28">
        <f t="shared" si="3"/>
        <v>0.79681274900398402</v>
      </c>
      <c r="AB12" s="28">
        <f t="shared" si="4"/>
        <v>0.79681274900398402</v>
      </c>
      <c r="AC12" s="28">
        <f t="shared" si="5"/>
        <v>0.79681274900398402</v>
      </c>
    </row>
    <row r="13" spans="1:29" ht="15">
      <c r="A13" s="3093"/>
      <c r="B13" s="2789" t="s">
        <v>1596</v>
      </c>
      <c r="C13" s="2815"/>
      <c r="D13" s="2888">
        <v>100</v>
      </c>
      <c r="E13" s="2815"/>
      <c r="F13" s="3731">
        <f>LOOKUP(E13,81:81,82:82)-LOOKUP(C13,81:81,82:82)+100</f>
        <v>100</v>
      </c>
      <c r="G13" s="2843"/>
      <c r="H13" s="3731">
        <f>LOOKUP(G13,81:81,82:82)-LOOKUP(C13,81:81,82:82)+100</f>
        <v>100</v>
      </c>
      <c r="I13" s="2815"/>
      <c r="J13" s="3731">
        <f>LOOKUP(I13,81:81,82:82)-LOOKUP(C13,81:81,82:82)+100</f>
        <v>100</v>
      </c>
      <c r="K13" s="3149"/>
      <c r="L13" s="1979"/>
      <c r="M13" s="1975"/>
      <c r="N13" s="1975"/>
      <c r="O13" s="2030"/>
      <c r="P13" s="4549"/>
      <c r="Q13" s="1698" t="str">
        <f t="shared" si="6"/>
        <v>容积率</v>
      </c>
      <c r="R13" s="3759" t="s">
        <v>13</v>
      </c>
      <c r="S13" s="3542">
        <f t="shared" si="0"/>
        <v>100</v>
      </c>
      <c r="T13" s="3759" t="s">
        <v>13</v>
      </c>
      <c r="U13" s="3542">
        <f t="shared" si="1"/>
        <v>100</v>
      </c>
      <c r="V13" s="3759" t="s">
        <v>13</v>
      </c>
      <c r="W13" s="3542">
        <f t="shared" si="2"/>
        <v>100</v>
      </c>
      <c r="X13" s="482"/>
      <c r="Y13" s="4517"/>
      <c r="Z13" s="28" t="str">
        <f t="shared" si="7"/>
        <v>容积率</v>
      </c>
      <c r="AA13" s="28">
        <f t="shared" si="3"/>
        <v>1</v>
      </c>
      <c r="AB13" s="28">
        <f t="shared" si="4"/>
        <v>1</v>
      </c>
      <c r="AC13" s="28">
        <f t="shared" si="5"/>
        <v>1</v>
      </c>
    </row>
    <row r="14" spans="1:29" s="46" customFormat="1" ht="15">
      <c r="A14" s="3094"/>
      <c r="B14" s="2793" t="s">
        <v>1777</v>
      </c>
      <c r="C14" s="2816"/>
      <c r="D14" s="2889">
        <v>100</v>
      </c>
      <c r="E14" s="2866"/>
      <c r="F14" s="3731">
        <f>SUMIF(83:83,E14,84:84)-SUMIF(83:83,C14,84:84)+100</f>
        <v>100</v>
      </c>
      <c r="G14" s="2872"/>
      <c r="H14" s="3731">
        <f>SUMIF(83:83,G14,84:84)-SUMIF(83:83,C14,84:84)+100</f>
        <v>100</v>
      </c>
      <c r="I14" s="2866"/>
      <c r="J14" s="3731">
        <f>SUMIF(83:83,I14,84:84)-SUMIF(83:83,C14,84:84)+100</f>
        <v>100</v>
      </c>
      <c r="K14" s="3150"/>
      <c r="L14" s="1976"/>
      <c r="M14" s="1929"/>
      <c r="N14" s="1929"/>
      <c r="O14" s="2028"/>
      <c r="P14" s="4549"/>
      <c r="Q14" s="1698" t="str">
        <f t="shared" si="6"/>
        <v>配建</v>
      </c>
      <c r="R14" s="3759" t="s">
        <v>13</v>
      </c>
      <c r="S14" s="3542">
        <f t="shared" si="0"/>
        <v>100</v>
      </c>
      <c r="T14" s="3759" t="s">
        <v>13</v>
      </c>
      <c r="U14" s="3542">
        <f t="shared" si="1"/>
        <v>100</v>
      </c>
      <c r="V14" s="3759" t="s">
        <v>13</v>
      </c>
      <c r="W14" s="3542">
        <f t="shared" si="2"/>
        <v>100</v>
      </c>
      <c r="X14" s="482"/>
      <c r="Y14" s="4517"/>
      <c r="Z14" s="28" t="str">
        <f t="shared" si="7"/>
        <v>配建</v>
      </c>
      <c r="AA14" s="28">
        <f>D14/F14</f>
        <v>1</v>
      </c>
      <c r="AB14" s="28">
        <f>D14/H14</f>
        <v>1</v>
      </c>
      <c r="AC14" s="28">
        <f>D14/J14</f>
        <v>1</v>
      </c>
    </row>
    <row r="15" spans="1:29" ht="15">
      <c r="A15" s="3093"/>
      <c r="B15" s="2793">
        <v>111</v>
      </c>
      <c r="C15" s="2817"/>
      <c r="D15" s="2890">
        <v>100</v>
      </c>
      <c r="E15" s="3115"/>
      <c r="F15" s="3731">
        <f>SUMIF(85:85,E15,86:86)-SUMIF(85:85,C15,86:86)+100</f>
        <v>100</v>
      </c>
      <c r="G15" s="3101"/>
      <c r="H15" s="3725">
        <f>SUMIF(85:85,G15,86:86)-SUMIF(85:85,C15,86:86)+100</f>
        <v>100</v>
      </c>
      <c r="I15" s="3101"/>
      <c r="J15" s="3725">
        <f>SUMIF(85:85,I15,86:86)-SUMIF(85:85,C15,86:86)+100</f>
        <v>100</v>
      </c>
      <c r="K15" s="3150"/>
      <c r="L15" s="1980"/>
      <c r="M15" s="1975"/>
      <c r="N15" s="1975"/>
      <c r="O15" s="2030"/>
      <c r="P15" s="4549"/>
      <c r="Q15" s="1698">
        <f t="shared" si="6"/>
        <v>111</v>
      </c>
      <c r="R15" s="3759" t="s">
        <v>13</v>
      </c>
      <c r="S15" s="3542">
        <f t="shared" si="0"/>
        <v>100</v>
      </c>
      <c r="T15" s="3759" t="s">
        <v>13</v>
      </c>
      <c r="U15" s="3542">
        <f t="shared" si="1"/>
        <v>100</v>
      </c>
      <c r="V15" s="3759" t="s">
        <v>13</v>
      </c>
      <c r="W15" s="3542">
        <f t="shared" si="2"/>
        <v>100</v>
      </c>
      <c r="X15" s="482"/>
      <c r="Y15" s="4517"/>
      <c r="Z15" s="28">
        <f t="shared" si="7"/>
        <v>111</v>
      </c>
      <c r="AA15" s="28">
        <f>D15/F15</f>
        <v>1</v>
      </c>
      <c r="AB15" s="28">
        <f>D15/H15</f>
        <v>1</v>
      </c>
      <c r="AC15" s="28">
        <f>D15/J15</f>
        <v>1</v>
      </c>
    </row>
    <row r="16" spans="1:29" ht="15.75" thickBot="1">
      <c r="A16" s="3095"/>
      <c r="B16" s="2794">
        <v>111</v>
      </c>
      <c r="C16" s="2818"/>
      <c r="D16" s="2891">
        <v>100</v>
      </c>
      <c r="E16" s="3115"/>
      <c r="F16" s="3727">
        <f>SUMIF(87:87,E16,88:88)-SUMIF(87:87,C16,88:88)+100</f>
        <v>100</v>
      </c>
      <c r="G16" s="3101"/>
      <c r="H16" s="3727">
        <f>SUMIF(87:87,G16,88:88)-SUMIF(87:87,C16,88:88)+100</f>
        <v>100</v>
      </c>
      <c r="I16" s="3101"/>
      <c r="J16" s="3727">
        <f>SUMIF(87:87,I16,88:88)-SUMIF(87:87,C16,88:88)+100</f>
        <v>100</v>
      </c>
      <c r="K16" s="3150"/>
      <c r="L16" s="1980"/>
      <c r="M16" s="1975"/>
      <c r="N16" s="1975"/>
      <c r="O16" s="2030"/>
      <c r="P16" s="4549"/>
      <c r="Q16" s="1698">
        <f t="shared" si="6"/>
        <v>111</v>
      </c>
      <c r="R16" s="3759" t="s">
        <v>13</v>
      </c>
      <c r="S16" s="3542">
        <f t="shared" si="0"/>
        <v>100</v>
      </c>
      <c r="T16" s="3759" t="s">
        <v>13</v>
      </c>
      <c r="U16" s="3542">
        <f t="shared" si="1"/>
        <v>100</v>
      </c>
      <c r="V16" s="3759" t="s">
        <v>13</v>
      </c>
      <c r="W16" s="3542">
        <f t="shared" si="2"/>
        <v>100</v>
      </c>
      <c r="X16" s="482"/>
      <c r="Y16" s="4517"/>
      <c r="Z16" s="28">
        <f t="shared" si="7"/>
        <v>111</v>
      </c>
      <c r="AA16" s="28">
        <f>D16/F16</f>
        <v>1</v>
      </c>
      <c r="AB16" s="28">
        <f>D16/H16</f>
        <v>1</v>
      </c>
      <c r="AC16" s="28">
        <f>D16/J16</f>
        <v>1</v>
      </c>
    </row>
    <row r="17" spans="1:29" ht="15">
      <c r="A17" s="3096" t="s">
        <v>1597</v>
      </c>
      <c r="B17" s="2795" t="s">
        <v>1235</v>
      </c>
      <c r="C17" s="2819">
        <f>估价对象房地状况!C15</f>
        <v>0</v>
      </c>
      <c r="D17" s="2892">
        <v>100</v>
      </c>
      <c r="E17" s="2844"/>
      <c r="F17" s="3721">
        <f>SUMIF(89:89,E18,90:90)-SUMIF(89:89,C18,90:90)+100</f>
        <v>100</v>
      </c>
      <c r="G17" s="2844"/>
      <c r="H17" s="3721">
        <f>SUMIF(89:89,G18,90:90)-SUMIF(89:89,C18,90:90)+100</f>
        <v>100</v>
      </c>
      <c r="I17" s="2850"/>
      <c r="J17" s="3721">
        <f>SUMIF(89:89,I18,90:90)-SUMIF(89:89,C18,90:90)+100</f>
        <v>100</v>
      </c>
      <c r="K17" s="3149"/>
      <c r="L17" s="1980"/>
      <c r="M17" s="1975"/>
      <c r="N17" s="1975"/>
      <c r="O17" s="2030"/>
      <c r="P17" s="4618" t="s">
        <v>1598</v>
      </c>
      <c r="Q17" s="1507" t="str">
        <f t="shared" si="6"/>
        <v>居住社区成熟度</v>
      </c>
      <c r="R17" s="3760" t="s">
        <v>13</v>
      </c>
      <c r="S17" s="3762">
        <f t="shared" si="0"/>
        <v>100</v>
      </c>
      <c r="T17" s="3760" t="s">
        <v>13</v>
      </c>
      <c r="U17" s="3762">
        <f t="shared" si="1"/>
        <v>100</v>
      </c>
      <c r="V17" s="3760" t="s">
        <v>13</v>
      </c>
      <c r="W17" s="3762">
        <f t="shared" si="2"/>
        <v>100</v>
      </c>
      <c r="X17" s="909"/>
      <c r="Y17" s="4542" t="s">
        <v>1598</v>
      </c>
      <c r="Z17" s="907" t="str">
        <f t="shared" si="7"/>
        <v>居住社区成熟度</v>
      </c>
      <c r="AA17" s="907">
        <f t="shared" si="3"/>
        <v>1</v>
      </c>
      <c r="AB17" s="907">
        <f t="shared" si="4"/>
        <v>1</v>
      </c>
      <c r="AC17" s="907">
        <f t="shared" si="5"/>
        <v>1</v>
      </c>
    </row>
    <row r="18" spans="1:29" ht="15">
      <c r="A18" s="3093"/>
      <c r="B18" s="2796"/>
      <c r="C18" s="2820" t="s">
        <v>3601</v>
      </c>
      <c r="D18" s="2893"/>
      <c r="E18" s="2848" t="s">
        <v>3602</v>
      </c>
      <c r="F18" s="3722"/>
      <c r="G18" s="2848" t="s">
        <v>3601</v>
      </c>
      <c r="H18" s="3723"/>
      <c r="I18" s="2854" t="s">
        <v>3601</v>
      </c>
      <c r="J18" s="3722"/>
      <c r="K18" s="3150"/>
      <c r="L18" s="1980"/>
      <c r="M18" s="1975"/>
      <c r="N18" s="1975"/>
      <c r="O18" s="2030"/>
      <c r="P18" s="4619"/>
      <c r="Q18" s="1507"/>
      <c r="R18" s="3760"/>
      <c r="S18" s="3762"/>
      <c r="T18" s="3760"/>
      <c r="U18" s="3762"/>
      <c r="V18" s="3760"/>
      <c r="W18" s="3762"/>
      <c r="X18" s="909"/>
      <c r="Y18" s="4543"/>
      <c r="Z18" s="907"/>
      <c r="AA18" s="907">
        <v>1</v>
      </c>
      <c r="AB18" s="907">
        <v>1</v>
      </c>
      <c r="AC18" s="907">
        <v>1</v>
      </c>
    </row>
    <row r="19" spans="1:29" ht="15">
      <c r="A19" s="3093"/>
      <c r="B19" s="2797" t="s">
        <v>1684</v>
      </c>
      <c r="C19" s="2835">
        <f>估价对象房地状况!C16</f>
        <v>0</v>
      </c>
      <c r="D19" s="2894">
        <v>100</v>
      </c>
      <c r="E19" s="2845"/>
      <c r="F19" s="3723">
        <f>SUMIF(91:91,E20,92:92)-SUMIF(91:91,C20,92:92)+100</f>
        <v>100</v>
      </c>
      <c r="G19" s="2845"/>
      <c r="H19" s="3724">
        <f>SUMIF(91:91,G20,92:92)-SUMIF(91:91,C20,92:92)+100</f>
        <v>100</v>
      </c>
      <c r="I19" s="2851"/>
      <c r="J19" s="3724">
        <f>SUMIF(91:91,I20,92:92)-SUMIF(91:91,C20,92:92)+100</f>
        <v>100</v>
      </c>
      <c r="K19" s="3149"/>
      <c r="L19" s="1980"/>
      <c r="M19" s="1975"/>
      <c r="N19" s="1975"/>
      <c r="O19" s="2030"/>
      <c r="P19" s="4619"/>
      <c r="Q19" s="1507" t="str">
        <f>B19</f>
        <v>商业繁华度</v>
      </c>
      <c r="R19" s="3760" t="s">
        <v>13</v>
      </c>
      <c r="S19" s="3762">
        <f>F19</f>
        <v>100</v>
      </c>
      <c r="T19" s="3760" t="s">
        <v>13</v>
      </c>
      <c r="U19" s="3762">
        <f>H19</f>
        <v>100</v>
      </c>
      <c r="V19" s="3760" t="s">
        <v>13</v>
      </c>
      <c r="W19" s="3762">
        <f>J19</f>
        <v>100</v>
      </c>
      <c r="X19" s="909"/>
      <c r="Y19" s="4543"/>
      <c r="Z19" s="907" t="str">
        <f>Q19</f>
        <v>商业繁华度</v>
      </c>
      <c r="AA19" s="907">
        <f t="shared" si="3"/>
        <v>1</v>
      </c>
      <c r="AB19" s="907">
        <f t="shared" si="4"/>
        <v>1</v>
      </c>
      <c r="AC19" s="907">
        <f t="shared" si="5"/>
        <v>1</v>
      </c>
    </row>
    <row r="20" spans="1:29" ht="15">
      <c r="A20" s="3093"/>
      <c r="B20" s="2798"/>
      <c r="C20" s="2822"/>
      <c r="D20" s="2894"/>
      <c r="E20" s="2846"/>
      <c r="F20" s="3723"/>
      <c r="G20" s="2846"/>
      <c r="H20" s="3722"/>
      <c r="I20" s="2852"/>
      <c r="J20" s="3722"/>
      <c r="K20" s="3150"/>
      <c r="L20" s="1980"/>
      <c r="M20" s="1975"/>
      <c r="N20" s="1975"/>
      <c r="O20" s="2030"/>
      <c r="P20" s="4619"/>
      <c r="Q20" s="1507"/>
      <c r="R20" s="3760"/>
      <c r="S20" s="3762"/>
      <c r="T20" s="3760"/>
      <c r="U20" s="3762"/>
      <c r="V20" s="3760"/>
      <c r="W20" s="3762"/>
      <c r="X20" s="909"/>
      <c r="Y20" s="4543"/>
      <c r="Z20" s="907"/>
      <c r="AA20" s="907">
        <v>1</v>
      </c>
      <c r="AB20" s="907">
        <v>1</v>
      </c>
      <c r="AC20" s="907">
        <v>1</v>
      </c>
    </row>
    <row r="21" spans="1:29" ht="15">
      <c r="A21" s="3093"/>
      <c r="B21" s="2797" t="s">
        <v>1718</v>
      </c>
      <c r="C21" s="2835">
        <f>估价对象房地状况!C17</f>
        <v>0</v>
      </c>
      <c r="D21" s="2895">
        <v>100</v>
      </c>
      <c r="E21" s="2847"/>
      <c r="F21" s="3724">
        <f>SUMIF(93:93,E22,94:94)-SUMIF(93:93,C22,94:94)+100</f>
        <v>100</v>
      </c>
      <c r="G21" s="2847"/>
      <c r="H21" s="3723">
        <f>SUMIF(93:93,G22,94:94)-SUMIF(93:93,C22,94:94)+100</f>
        <v>100</v>
      </c>
      <c r="I21" s="2853"/>
      <c r="J21" s="3723">
        <f>SUMIF(93:93,I22,94:94)-SUMIF(93:93,C22,94:94)+100</f>
        <v>100</v>
      </c>
      <c r="K21" s="3149"/>
      <c r="L21" s="1980"/>
      <c r="M21" s="1975"/>
      <c r="N21" s="1975"/>
      <c r="O21" s="2030"/>
      <c r="P21" s="4619"/>
      <c r="Q21" s="1507" t="str">
        <f>B21</f>
        <v>办公集聚程度</v>
      </c>
      <c r="R21" s="3760" t="s">
        <v>13</v>
      </c>
      <c r="S21" s="3762">
        <f>F21</f>
        <v>100</v>
      </c>
      <c r="T21" s="3760" t="s">
        <v>13</v>
      </c>
      <c r="U21" s="3762">
        <f>H21</f>
        <v>100</v>
      </c>
      <c r="V21" s="3760" t="s">
        <v>13</v>
      </c>
      <c r="W21" s="3762">
        <f>J21</f>
        <v>100</v>
      </c>
      <c r="X21" s="909"/>
      <c r="Y21" s="4543"/>
      <c r="Z21" s="907" t="str">
        <f>Q21</f>
        <v>办公集聚程度</v>
      </c>
      <c r="AA21" s="907">
        <f t="shared" si="3"/>
        <v>1</v>
      </c>
      <c r="AB21" s="907">
        <f t="shared" si="4"/>
        <v>1</v>
      </c>
      <c r="AC21" s="907">
        <f t="shared" si="5"/>
        <v>1</v>
      </c>
    </row>
    <row r="22" spans="1:29" ht="15">
      <c r="A22" s="3093"/>
      <c r="B22" s="2798"/>
      <c r="C22" s="2820"/>
      <c r="D22" s="2893"/>
      <c r="E22" s="2848"/>
      <c r="F22" s="3722"/>
      <c r="G22" s="2848"/>
      <c r="H22" s="3722"/>
      <c r="I22" s="2854"/>
      <c r="J22" s="3722"/>
      <c r="K22" s="3150"/>
      <c r="L22" s="1980"/>
      <c r="M22" s="1975"/>
      <c r="N22" s="1975"/>
      <c r="O22" s="2030"/>
      <c r="P22" s="4619"/>
      <c r="Q22" s="1507"/>
      <c r="R22" s="3760"/>
      <c r="S22" s="3762"/>
      <c r="T22" s="3760"/>
      <c r="U22" s="3762"/>
      <c r="V22" s="3760"/>
      <c r="W22" s="3762"/>
      <c r="X22" s="909"/>
      <c r="Y22" s="4543"/>
      <c r="Z22" s="907"/>
      <c r="AA22" s="907">
        <v>1</v>
      </c>
      <c r="AB22" s="907">
        <v>1</v>
      </c>
      <c r="AC22" s="907">
        <v>1</v>
      </c>
    </row>
    <row r="23" spans="1:29" ht="15">
      <c r="A23" s="3093"/>
      <c r="B23" s="2797" t="s">
        <v>1740</v>
      </c>
      <c r="C23" s="2821">
        <f>估价对象房地状况!C18</f>
        <v>0</v>
      </c>
      <c r="D23" s="2894">
        <v>100</v>
      </c>
      <c r="E23" s="2845"/>
      <c r="F23" s="3724">
        <f>SUMIF(95:95,E24,96:96)-SUMIF(95:95,C24,96:96)+100</f>
        <v>100</v>
      </c>
      <c r="G23" s="2845"/>
      <c r="H23" s="3723">
        <f>SUMIF(95:95,G24,96:96)-SUMIF(95:95,C24,96:96)+100</f>
        <v>100</v>
      </c>
      <c r="I23" s="2851"/>
      <c r="J23" s="3723">
        <f>SUMIF(95:95,I24,96:96)-SUMIF(95:95,C24,96:96)+100</f>
        <v>100</v>
      </c>
      <c r="K23" s="3149"/>
      <c r="L23" s="1980"/>
      <c r="M23" s="1975"/>
      <c r="N23" s="1975"/>
      <c r="O23" s="2030"/>
      <c r="P23" s="4619"/>
      <c r="Q23" s="1507" t="str">
        <f>B23</f>
        <v>交通便捷度</v>
      </c>
      <c r="R23" s="3760" t="s">
        <v>13</v>
      </c>
      <c r="S23" s="3762">
        <f>F23</f>
        <v>100</v>
      </c>
      <c r="T23" s="3760" t="s">
        <v>13</v>
      </c>
      <c r="U23" s="3762">
        <f>H23</f>
        <v>100</v>
      </c>
      <c r="V23" s="3760" t="s">
        <v>13</v>
      </c>
      <c r="W23" s="3762">
        <f>J23</f>
        <v>100</v>
      </c>
      <c r="X23" s="909"/>
      <c r="Y23" s="4543"/>
      <c r="Z23" s="907" t="str">
        <f>Q23</f>
        <v>交通便捷度</v>
      </c>
      <c r="AA23" s="907">
        <f t="shared" si="3"/>
        <v>1</v>
      </c>
      <c r="AB23" s="907">
        <f t="shared" si="4"/>
        <v>1</v>
      </c>
      <c r="AC23" s="907">
        <f t="shared" si="5"/>
        <v>1</v>
      </c>
    </row>
    <row r="24" spans="1:29" ht="15">
      <c r="A24" s="3093"/>
      <c r="B24" s="2799"/>
      <c r="C24" s="2820" t="s">
        <v>3601</v>
      </c>
      <c r="D24" s="2894"/>
      <c r="E24" s="2848" t="s">
        <v>3602</v>
      </c>
      <c r="F24" s="3722"/>
      <c r="G24" s="2848" t="s">
        <v>3601</v>
      </c>
      <c r="H24" s="3722"/>
      <c r="I24" s="2854" t="s">
        <v>3601</v>
      </c>
      <c r="J24" s="3722"/>
      <c r="K24" s="3150"/>
      <c r="L24" s="1980"/>
      <c r="M24" s="1975"/>
      <c r="N24" s="1975"/>
      <c r="O24" s="2030"/>
      <c r="P24" s="4619"/>
      <c r="Q24" s="1507"/>
      <c r="R24" s="3760"/>
      <c r="S24" s="3762"/>
      <c r="T24" s="3760"/>
      <c r="U24" s="3762"/>
      <c r="V24" s="3760"/>
      <c r="W24" s="3762"/>
      <c r="X24" s="909"/>
      <c r="Y24" s="4543"/>
      <c r="Z24" s="907"/>
      <c r="AA24" s="907">
        <v>1</v>
      </c>
      <c r="AB24" s="907">
        <v>1</v>
      </c>
      <c r="AC24" s="907">
        <v>1</v>
      </c>
    </row>
    <row r="25" spans="1:29" ht="15">
      <c r="A25" s="3097"/>
      <c r="B25" s="2797" t="s">
        <v>1778</v>
      </c>
      <c r="C25" s="3098">
        <f>估价对象房地状况!C19</f>
        <v>0</v>
      </c>
      <c r="D25" s="2895">
        <v>100</v>
      </c>
      <c r="E25" s="2845"/>
      <c r="F25" s="3724">
        <f>SUMIF(97:97,E26,98:98)-SUMIF(97:97,C26,98:98)+100</f>
        <v>100</v>
      </c>
      <c r="G25" s="2851"/>
      <c r="H25" s="3724">
        <f>SUMIF(97:97,G26,98:98)-SUMIF(97:97,C26,98:98)+100</f>
        <v>100</v>
      </c>
      <c r="I25" s="2851"/>
      <c r="J25" s="3724">
        <f>SUMIF(97:97,I26,98:98)-SUMIF(97:97,C26,98:98)+100</f>
        <v>100</v>
      </c>
      <c r="K25" s="3149"/>
      <c r="L25" s="1980"/>
      <c r="M25" s="1975"/>
      <c r="N25" s="1975"/>
      <c r="O25" s="2030"/>
      <c r="P25" s="4619"/>
      <c r="Q25" s="1507" t="str">
        <f t="shared" ref="Q25:Q39" si="8">B25</f>
        <v>区域土地利用方向</v>
      </c>
      <c r="R25" s="3760" t="s">
        <v>13</v>
      </c>
      <c r="S25" s="3762">
        <f>F25</f>
        <v>100</v>
      </c>
      <c r="T25" s="3760" t="s">
        <v>13</v>
      </c>
      <c r="U25" s="3762">
        <f>H25</f>
        <v>100</v>
      </c>
      <c r="V25" s="3760" t="s">
        <v>13</v>
      </c>
      <c r="W25" s="3762">
        <f>J25</f>
        <v>100</v>
      </c>
      <c r="X25" s="909"/>
      <c r="Y25" s="4543"/>
      <c r="Z25" s="907" t="str">
        <f>Q25</f>
        <v>区域土地利用方向</v>
      </c>
      <c r="AA25" s="907">
        <f t="shared" si="3"/>
        <v>1</v>
      </c>
      <c r="AB25" s="907">
        <f t="shared" si="4"/>
        <v>1</v>
      </c>
      <c r="AC25" s="907">
        <f t="shared" si="5"/>
        <v>1</v>
      </c>
    </row>
    <row r="26" spans="1:29" ht="15">
      <c r="A26" s="3097"/>
      <c r="B26" s="2798"/>
      <c r="C26" s="2836"/>
      <c r="D26" s="2893"/>
      <c r="E26" s="2848"/>
      <c r="F26" s="3722"/>
      <c r="G26" s="2854"/>
      <c r="H26" s="3722"/>
      <c r="I26" s="2854"/>
      <c r="J26" s="3722"/>
      <c r="K26" s="3151"/>
      <c r="L26" s="1980"/>
      <c r="M26" s="1975"/>
      <c r="N26" s="1975"/>
      <c r="O26" s="2030"/>
      <c r="P26" s="4619"/>
      <c r="Q26" s="1507"/>
      <c r="R26" s="3760"/>
      <c r="S26" s="3762"/>
      <c r="T26" s="3760"/>
      <c r="U26" s="3762"/>
      <c r="V26" s="3760"/>
      <c r="W26" s="3762"/>
      <c r="X26" s="909"/>
      <c r="Y26" s="4543"/>
      <c r="Z26" s="907"/>
      <c r="AA26" s="907"/>
      <c r="AB26" s="907"/>
      <c r="AC26" s="907"/>
    </row>
    <row r="27" spans="1:29" ht="27">
      <c r="A27" s="3097"/>
      <c r="B27" s="2799" t="s">
        <v>1779</v>
      </c>
      <c r="C27" s="2835">
        <f>估价对象房地状况!C20</f>
        <v>0</v>
      </c>
      <c r="D27" s="2894">
        <v>100</v>
      </c>
      <c r="E27" s="2845"/>
      <c r="F27" s="3723">
        <f>SUMIF(99:99,E28,100:100)-SUMIF(99:99,C28,100:100)+100</f>
        <v>100</v>
      </c>
      <c r="G27" s="2845"/>
      <c r="H27" s="3723">
        <f>SUMIF(99:99,G28,100:100)-SUMIF(99:99,C28,100:100)+100</f>
        <v>100</v>
      </c>
      <c r="I27" s="2851"/>
      <c r="J27" s="3723">
        <f>SUMIF(99:99,I28,100:100)-SUMIF(99:99,C28,100:100)+100</f>
        <v>100</v>
      </c>
      <c r="K27" s="3149"/>
      <c r="L27" s="1980"/>
      <c r="M27" s="1975"/>
      <c r="N27" s="1975"/>
      <c r="O27" s="2030"/>
      <c r="P27" s="4619"/>
      <c r="Q27" s="1507" t="str">
        <f t="shared" si="8"/>
        <v>自然及人文环境状况</v>
      </c>
      <c r="R27" s="3760" t="s">
        <v>13</v>
      </c>
      <c r="S27" s="3762">
        <f>F27</f>
        <v>100</v>
      </c>
      <c r="T27" s="3760" t="s">
        <v>13</v>
      </c>
      <c r="U27" s="3762">
        <f>H27</f>
        <v>100</v>
      </c>
      <c r="V27" s="3760" t="s">
        <v>13</v>
      </c>
      <c r="W27" s="3762">
        <f>J27</f>
        <v>100</v>
      </c>
      <c r="X27" s="909"/>
      <c r="Y27" s="4543"/>
      <c r="Z27" s="907" t="str">
        <f>Q27</f>
        <v>自然及人文环境状况</v>
      </c>
      <c r="AA27" s="907">
        <f t="shared" si="3"/>
        <v>1</v>
      </c>
      <c r="AB27" s="907">
        <f t="shared" si="4"/>
        <v>1</v>
      </c>
      <c r="AC27" s="907">
        <f t="shared" si="5"/>
        <v>1</v>
      </c>
    </row>
    <row r="28" spans="1:29" ht="15">
      <c r="A28" s="3097"/>
      <c r="B28" s="2798"/>
      <c r="C28" s="2820"/>
      <c r="D28" s="2893"/>
      <c r="E28" s="2871"/>
      <c r="F28" s="3722"/>
      <c r="G28" s="2871"/>
      <c r="H28" s="3722"/>
      <c r="I28" s="2820"/>
      <c r="J28" s="3722"/>
      <c r="K28" s="3150"/>
      <c r="L28" s="1980"/>
      <c r="M28" s="1975"/>
      <c r="N28" s="1975"/>
      <c r="O28" s="2030"/>
      <c r="P28" s="4619"/>
      <c r="Q28" s="1507"/>
      <c r="R28" s="3760"/>
      <c r="S28" s="3762"/>
      <c r="T28" s="3760"/>
      <c r="U28" s="3762"/>
      <c r="V28" s="3760"/>
      <c r="W28" s="3762"/>
      <c r="X28" s="909"/>
      <c r="Y28" s="4543"/>
      <c r="Z28" s="907"/>
      <c r="AA28" s="907">
        <v>1</v>
      </c>
      <c r="AB28" s="907">
        <v>1</v>
      </c>
      <c r="AC28" s="907">
        <v>1</v>
      </c>
    </row>
    <row r="29" spans="1:29" s="46" customFormat="1" ht="15">
      <c r="A29" s="3099"/>
      <c r="B29" s="2799" t="s">
        <v>1685</v>
      </c>
      <c r="C29" s="2821">
        <f>估价对象房地状况!C21</f>
        <v>0</v>
      </c>
      <c r="D29" s="2894">
        <v>100</v>
      </c>
      <c r="E29" s="2845"/>
      <c r="F29" s="3723">
        <f>SUMIF(101:101,E30,102:102)-SUMIF(101:101,C30,102:102)+100</f>
        <v>100</v>
      </c>
      <c r="G29" s="2845"/>
      <c r="H29" s="3723">
        <f>SUMIF(101:101,G30,102:102)-SUMIF(101:101,C30,102:102)+100</f>
        <v>100</v>
      </c>
      <c r="I29" s="2851"/>
      <c r="J29" s="3723">
        <f>SUMIF(101:101,I30,102:102)-SUMIF(101:101,C30,102:102)+100</f>
        <v>100</v>
      </c>
      <c r="K29" s="3149"/>
      <c r="L29" s="1976"/>
      <c r="M29" s="1929"/>
      <c r="N29" s="1929"/>
      <c r="O29" s="2028"/>
      <c r="P29" s="4619"/>
      <c r="Q29" s="1698" t="str">
        <f t="shared" si="8"/>
        <v>公共配套设施</v>
      </c>
      <c r="R29" s="3759" t="s">
        <v>13</v>
      </c>
      <c r="S29" s="3542">
        <f>F29</f>
        <v>100</v>
      </c>
      <c r="T29" s="3759" t="s">
        <v>13</v>
      </c>
      <c r="U29" s="3542">
        <f>H29</f>
        <v>100</v>
      </c>
      <c r="V29" s="3759" t="s">
        <v>13</v>
      </c>
      <c r="W29" s="3542">
        <f>J29</f>
        <v>100</v>
      </c>
      <c r="X29" s="482"/>
      <c r="Y29" s="4543"/>
      <c r="Z29" s="28" t="str">
        <f>Q29</f>
        <v>公共配套设施</v>
      </c>
      <c r="AA29" s="907">
        <f>D29/F29</f>
        <v>1</v>
      </c>
      <c r="AB29" s="907">
        <f>D29/H29</f>
        <v>1</v>
      </c>
      <c r="AC29" s="907">
        <f>D29/J29</f>
        <v>1</v>
      </c>
    </row>
    <row r="30" spans="1:29" s="46" customFormat="1" ht="15">
      <c r="A30" s="3099"/>
      <c r="B30" s="2798"/>
      <c r="C30" s="3100" t="s">
        <v>3601</v>
      </c>
      <c r="D30" s="2893"/>
      <c r="E30" s="2871" t="s">
        <v>3602</v>
      </c>
      <c r="F30" s="3722"/>
      <c r="G30" s="2871" t="s">
        <v>3601</v>
      </c>
      <c r="H30" s="3722"/>
      <c r="I30" s="2820" t="s">
        <v>3601</v>
      </c>
      <c r="J30" s="3722"/>
      <c r="K30" s="3150"/>
      <c r="L30" s="1976"/>
      <c r="M30" s="1929"/>
      <c r="N30" s="1929"/>
      <c r="O30" s="2028"/>
      <c r="P30" s="4619"/>
      <c r="Q30" s="1698"/>
      <c r="R30" s="3759"/>
      <c r="S30" s="3542"/>
      <c r="T30" s="3759"/>
      <c r="U30" s="3542"/>
      <c r="V30" s="3759"/>
      <c r="W30" s="3542"/>
      <c r="X30" s="482"/>
      <c r="Y30" s="4543"/>
      <c r="Z30" s="28"/>
      <c r="AA30" s="907">
        <v>1</v>
      </c>
      <c r="AB30" s="907">
        <v>1</v>
      </c>
      <c r="AC30" s="907">
        <v>1</v>
      </c>
    </row>
    <row r="31" spans="1:29" s="46" customFormat="1" ht="15">
      <c r="A31" s="3099"/>
      <c r="B31" s="2799" t="s">
        <v>1686</v>
      </c>
      <c r="C31" s="2821">
        <f>估价对象房地状况!C22</f>
        <v>0</v>
      </c>
      <c r="D31" s="2894">
        <v>100</v>
      </c>
      <c r="E31" s="2845"/>
      <c r="F31" s="3723">
        <f>SUMIF(103:103,E32,104:104)-SUMIF(103:103,C32,104:104)+100</f>
        <v>100</v>
      </c>
      <c r="G31" s="2845"/>
      <c r="H31" s="3723">
        <f>SUMIF(103:103,G32,104:104)-SUMIF(103:103,C32,104:104)+100</f>
        <v>100</v>
      </c>
      <c r="I31" s="2851"/>
      <c r="J31" s="3723">
        <f>SUMIF(103:103,I32,104:104)-SUMIF(103:103,C32,104:104)+100</f>
        <v>100</v>
      </c>
      <c r="K31" s="3149"/>
      <c r="L31" s="1976"/>
      <c r="M31" s="1929"/>
      <c r="N31" s="1929"/>
      <c r="O31" s="2028"/>
      <c r="P31" s="4619"/>
      <c r="Q31" s="1698" t="str">
        <f t="shared" ref="Q31" si="9">B31</f>
        <v>基础设施水平</v>
      </c>
      <c r="R31" s="3759" t="s">
        <v>13</v>
      </c>
      <c r="S31" s="3542">
        <f>F31</f>
        <v>100</v>
      </c>
      <c r="T31" s="3759" t="s">
        <v>13</v>
      </c>
      <c r="U31" s="3542">
        <f>H31</f>
        <v>100</v>
      </c>
      <c r="V31" s="3759" t="s">
        <v>13</v>
      </c>
      <c r="W31" s="3542">
        <f>J31</f>
        <v>100</v>
      </c>
      <c r="X31" s="482"/>
      <c r="Y31" s="4543"/>
      <c r="Z31" s="28" t="str">
        <f>Q31</f>
        <v>基础设施水平</v>
      </c>
      <c r="AA31" s="907">
        <f>D31/F31</f>
        <v>1</v>
      </c>
      <c r="AB31" s="907">
        <f>D31/H31</f>
        <v>1</v>
      </c>
      <c r="AC31" s="907">
        <f>D31/J31</f>
        <v>1</v>
      </c>
    </row>
    <row r="32" spans="1:29" s="46" customFormat="1" ht="15">
      <c r="A32" s="3099"/>
      <c r="B32" s="2798"/>
      <c r="C32" s="3100"/>
      <c r="D32" s="2893"/>
      <c r="E32" s="3116"/>
      <c r="F32" s="3722"/>
      <c r="G32" s="3116"/>
      <c r="H32" s="3722"/>
      <c r="I32" s="3116"/>
      <c r="J32" s="3722"/>
      <c r="K32" s="3150"/>
      <c r="L32" s="1976"/>
      <c r="M32" s="1929"/>
      <c r="N32" s="1929"/>
      <c r="O32" s="2028"/>
      <c r="P32" s="4619"/>
      <c r="Q32" s="1698"/>
      <c r="R32" s="3759"/>
      <c r="S32" s="3542"/>
      <c r="T32" s="3759"/>
      <c r="U32" s="3542"/>
      <c r="V32" s="3759"/>
      <c r="W32" s="3542"/>
      <c r="X32" s="482"/>
      <c r="Y32" s="4543"/>
      <c r="Z32" s="28"/>
      <c r="AA32" s="907">
        <v>1</v>
      </c>
      <c r="AB32" s="907">
        <v>1</v>
      </c>
      <c r="AC32" s="907">
        <v>1</v>
      </c>
    </row>
    <row r="33" spans="1:29" ht="15">
      <c r="A33" s="3093"/>
      <c r="B33" s="2798" t="s">
        <v>1687</v>
      </c>
      <c r="C33" s="2836"/>
      <c r="D33" s="2890">
        <v>100</v>
      </c>
      <c r="E33" s="3117"/>
      <c r="F33" s="3725">
        <f>SUMIF(105:105,E33,106:106)-SUMIF(105:105,C33,106:106)+100</f>
        <v>100</v>
      </c>
      <c r="G33" s="3117"/>
      <c r="H33" s="3725">
        <f>SUMIF(105:105,G33,106:106)-SUMIF(105:105,C33,106:106)+100</f>
        <v>100</v>
      </c>
      <c r="I33" s="3117"/>
      <c r="J33" s="3725">
        <f>SUMIF(105:105,I33,106:106)-SUMIF(105:105,C33,106:106)+100</f>
        <v>100</v>
      </c>
      <c r="K33" s="3149"/>
      <c r="L33" s="1980"/>
      <c r="M33" s="1975"/>
      <c r="N33" s="1975"/>
      <c r="O33" s="2030"/>
      <c r="P33" s="4619"/>
      <c r="Q33" s="1507" t="str">
        <f t="shared" si="8"/>
        <v>临街状况</v>
      </c>
      <c r="R33" s="3760" t="s">
        <v>13</v>
      </c>
      <c r="S33" s="3762">
        <f t="shared" ref="S33:S47" si="10">F33</f>
        <v>100</v>
      </c>
      <c r="T33" s="3760" t="s">
        <v>13</v>
      </c>
      <c r="U33" s="3762">
        <f t="shared" ref="U33:U47" si="11">H33</f>
        <v>100</v>
      </c>
      <c r="V33" s="3760" t="s">
        <v>13</v>
      </c>
      <c r="W33" s="3762">
        <f t="shared" ref="W33:W47" si="12">J33</f>
        <v>100</v>
      </c>
      <c r="X33" s="909"/>
      <c r="Y33" s="4543"/>
      <c r="Z33" s="907" t="str">
        <f t="shared" ref="Z33:Z47" si="13">Q33</f>
        <v>临街状况</v>
      </c>
      <c r="AA33" s="907">
        <f t="shared" si="3"/>
        <v>1</v>
      </c>
      <c r="AB33" s="907">
        <f t="shared" si="4"/>
        <v>1</v>
      </c>
      <c r="AC33" s="907">
        <f t="shared" si="5"/>
        <v>1</v>
      </c>
    </row>
    <row r="34" spans="1:29" ht="27">
      <c r="A34" s="3093"/>
      <c r="B34" s="2799" t="s">
        <v>1722</v>
      </c>
      <c r="C34" s="2851"/>
      <c r="D34" s="2894">
        <v>100</v>
      </c>
      <c r="E34" s="2845"/>
      <c r="F34" s="3723">
        <f>SUMIF(107:107,E35,108:108)-SUMIF(107:107,C35,108:108)+100</f>
        <v>100</v>
      </c>
      <c r="G34" s="2845"/>
      <c r="H34" s="3723">
        <f>SUMIF(107:107,G35,108:108)-SUMIF(107:107,C35,108:108)+100</f>
        <v>100</v>
      </c>
      <c r="I34" s="2851"/>
      <c r="J34" s="3723">
        <f>SUMIF(107:107,I35,108:108)-SUMIF(107:107,C35,108:108)+100</f>
        <v>100</v>
      </c>
      <c r="K34" s="3149"/>
      <c r="L34" s="1980"/>
      <c r="M34" s="1975"/>
      <c r="N34" s="1975"/>
      <c r="O34" s="2030"/>
      <c r="P34" s="4619"/>
      <c r="Q34" s="1507" t="str">
        <f t="shared" si="8"/>
        <v>毗邻道路的类型与等级</v>
      </c>
      <c r="R34" s="3760" t="s">
        <v>13</v>
      </c>
      <c r="S34" s="3762">
        <f t="shared" si="10"/>
        <v>100</v>
      </c>
      <c r="T34" s="3760" t="s">
        <v>13</v>
      </c>
      <c r="U34" s="3762">
        <f t="shared" si="11"/>
        <v>100</v>
      </c>
      <c r="V34" s="3760" t="s">
        <v>13</v>
      </c>
      <c r="W34" s="3762">
        <f t="shared" si="12"/>
        <v>100</v>
      </c>
      <c r="X34" s="909"/>
      <c r="Y34" s="4543"/>
      <c r="Z34" s="907" t="str">
        <f t="shared" si="13"/>
        <v>毗邻道路的类型与等级</v>
      </c>
      <c r="AA34" s="907">
        <f t="shared" si="3"/>
        <v>1</v>
      </c>
      <c r="AB34" s="907">
        <f t="shared" si="4"/>
        <v>1</v>
      </c>
      <c r="AC34" s="907">
        <f t="shared" si="5"/>
        <v>1</v>
      </c>
    </row>
    <row r="35" spans="1:29" ht="15">
      <c r="A35" s="3093"/>
      <c r="B35" s="2798"/>
      <c r="C35" s="2820"/>
      <c r="D35" s="2893"/>
      <c r="E35" s="2871"/>
      <c r="F35" s="3722"/>
      <c r="G35" s="2871"/>
      <c r="H35" s="3722"/>
      <c r="I35" s="2820"/>
      <c r="J35" s="3722"/>
      <c r="K35" s="2858"/>
      <c r="L35" s="1980"/>
      <c r="M35" s="1975"/>
      <c r="N35" s="1975"/>
      <c r="O35" s="2030"/>
      <c r="P35" s="4619"/>
      <c r="Q35" s="1507"/>
      <c r="R35" s="3760"/>
      <c r="S35" s="3762"/>
      <c r="T35" s="3760"/>
      <c r="U35" s="3762"/>
      <c r="V35" s="3760"/>
      <c r="W35" s="3762"/>
      <c r="X35" s="909"/>
      <c r="Y35" s="4543"/>
      <c r="Z35" s="907"/>
      <c r="AA35" s="907">
        <v>1</v>
      </c>
      <c r="AB35" s="907">
        <v>1</v>
      </c>
      <c r="AC35" s="907">
        <v>1</v>
      </c>
    </row>
    <row r="36" spans="1:29" ht="15">
      <c r="A36" s="3093"/>
      <c r="B36" s="2789" t="s">
        <v>1780</v>
      </c>
      <c r="C36" s="2836"/>
      <c r="D36" s="2890">
        <v>100</v>
      </c>
      <c r="E36" s="3117"/>
      <c r="F36" s="3725">
        <f>SUMIF(109:109,E36,110:110)-SUMIF(109:109,C36,110:110)+100</f>
        <v>100</v>
      </c>
      <c r="G36" s="3117"/>
      <c r="H36" s="3725">
        <f>SUMIF(109:109,G36,110:110)-SUMIF(109:109,C36,110:110)+100</f>
        <v>100</v>
      </c>
      <c r="I36" s="2836"/>
      <c r="J36" s="3725">
        <f>SUMIF(109:109,I36,110:110)-SUMIF(109:109,C36,110:110)+100</f>
        <v>100</v>
      </c>
      <c r="K36" s="2857"/>
      <c r="L36" s="1980"/>
      <c r="M36" s="1975"/>
      <c r="N36" s="1975"/>
      <c r="O36" s="2030"/>
      <c r="P36" s="4619"/>
      <c r="Q36" s="1507" t="str">
        <f t="shared" si="8"/>
        <v>土地级别</v>
      </c>
      <c r="R36" s="3760" t="s">
        <v>13</v>
      </c>
      <c r="S36" s="3762">
        <f t="shared" si="10"/>
        <v>100</v>
      </c>
      <c r="T36" s="3760" t="s">
        <v>13</v>
      </c>
      <c r="U36" s="3762">
        <f t="shared" si="11"/>
        <v>100</v>
      </c>
      <c r="V36" s="3760" t="s">
        <v>13</v>
      </c>
      <c r="W36" s="3762">
        <f t="shared" si="12"/>
        <v>100</v>
      </c>
      <c r="X36" s="909"/>
      <c r="Y36" s="4543"/>
      <c r="Z36" s="907" t="str">
        <f t="shared" si="13"/>
        <v>土地级别</v>
      </c>
      <c r="AA36" s="907">
        <f t="shared" si="3"/>
        <v>1</v>
      </c>
      <c r="AB36" s="907">
        <f t="shared" si="4"/>
        <v>1</v>
      </c>
      <c r="AC36" s="907">
        <f t="shared" si="5"/>
        <v>1</v>
      </c>
    </row>
    <row r="37" spans="1:29" ht="15">
      <c r="A37" s="3097"/>
      <c r="B37" s="2800">
        <v>111</v>
      </c>
      <c r="C37" s="3101"/>
      <c r="D37" s="2890">
        <v>100</v>
      </c>
      <c r="E37" s="3118"/>
      <c r="F37" s="3725">
        <f>SUMIF(111:111,E37,112:112)-SUMIF(111:111,C37,112:112)+100</f>
        <v>100</v>
      </c>
      <c r="G37" s="3118"/>
      <c r="H37" s="3725">
        <f>SUMIF(111:111,G37,112:112)-SUMIF(111:111,C37,112:112)+100</f>
        <v>100</v>
      </c>
      <c r="I37" s="3101"/>
      <c r="J37" s="3725">
        <f>SUMIF(111:111,I37,112:112)-SUMIF(111:111,C37,112:112)+100</f>
        <v>100</v>
      </c>
      <c r="K37" s="2858"/>
      <c r="L37" s="1980"/>
      <c r="M37" s="1975"/>
      <c r="N37" s="1975"/>
      <c r="O37" s="2030"/>
      <c r="P37" s="4619"/>
      <c r="Q37" s="1507">
        <f t="shared" si="8"/>
        <v>111</v>
      </c>
      <c r="R37" s="3760" t="s">
        <v>13</v>
      </c>
      <c r="S37" s="3762">
        <f t="shared" si="10"/>
        <v>100</v>
      </c>
      <c r="T37" s="3760" t="s">
        <v>13</v>
      </c>
      <c r="U37" s="3762">
        <f t="shared" si="11"/>
        <v>100</v>
      </c>
      <c r="V37" s="3760" t="s">
        <v>13</v>
      </c>
      <c r="W37" s="3762">
        <f t="shared" si="12"/>
        <v>100</v>
      </c>
      <c r="X37" s="909"/>
      <c r="Y37" s="4543"/>
      <c r="Z37" s="907">
        <f t="shared" si="13"/>
        <v>111</v>
      </c>
      <c r="AA37" s="907">
        <f t="shared" si="3"/>
        <v>1</v>
      </c>
      <c r="AB37" s="907">
        <f t="shared" si="4"/>
        <v>1</v>
      </c>
      <c r="AC37" s="907">
        <f t="shared" si="5"/>
        <v>1</v>
      </c>
    </row>
    <row r="38" spans="1:29" ht="15">
      <c r="A38" s="3102"/>
      <c r="B38" s="3103">
        <v>111</v>
      </c>
      <c r="C38" s="3101"/>
      <c r="D38" s="2890">
        <v>100</v>
      </c>
      <c r="E38" s="3118"/>
      <c r="F38" s="3725">
        <f>SUMIF(113:113,E39,114:114)-SUMIF(113:113,C39,114:114)+100</f>
        <v>100</v>
      </c>
      <c r="G38" s="3118"/>
      <c r="H38" s="3725">
        <f>SUMIF(113:113,G38,114:114)-SUMIF(113:113,C38,114:114)+100</f>
        <v>100</v>
      </c>
      <c r="I38" s="3101"/>
      <c r="J38" s="3725">
        <f>SUMIF(113:113,I38,114:114)-SUMIF(113:113,C38,114:114)+100</f>
        <v>100</v>
      </c>
      <c r="K38" s="2858"/>
      <c r="L38" s="1980"/>
      <c r="M38" s="1975"/>
      <c r="N38" s="1975"/>
      <c r="O38" s="2030"/>
      <c r="P38" s="4620" t="s">
        <v>1603</v>
      </c>
      <c r="Q38" s="1507">
        <f t="shared" si="8"/>
        <v>111</v>
      </c>
      <c r="R38" s="3760" t="s">
        <v>13</v>
      </c>
      <c r="S38" s="3762">
        <f t="shared" si="10"/>
        <v>100</v>
      </c>
      <c r="T38" s="3760" t="s">
        <v>13</v>
      </c>
      <c r="U38" s="3762">
        <f t="shared" si="11"/>
        <v>100</v>
      </c>
      <c r="V38" s="3760" t="s">
        <v>13</v>
      </c>
      <c r="W38" s="3762">
        <f t="shared" si="12"/>
        <v>100</v>
      </c>
      <c r="X38" s="909"/>
      <c r="Y38" s="4547" t="s">
        <v>1603</v>
      </c>
      <c r="Z38" s="907">
        <f t="shared" si="13"/>
        <v>111</v>
      </c>
      <c r="AA38" s="907">
        <f t="shared" si="3"/>
        <v>1</v>
      </c>
      <c r="AB38" s="907">
        <f t="shared" si="4"/>
        <v>1</v>
      </c>
      <c r="AC38" s="907">
        <f t="shared" si="5"/>
        <v>1</v>
      </c>
    </row>
    <row r="39" spans="1:29" s="279" customFormat="1" ht="15.75" thickBot="1">
      <c r="A39" s="3104"/>
      <c r="B39" s="3105">
        <v>111</v>
      </c>
      <c r="C39" s="3106"/>
      <c r="D39" s="3113">
        <v>100</v>
      </c>
      <c r="E39" s="3119"/>
      <c r="F39" s="3727">
        <f>SUMIF(115:115,E39,116:116)-SUMIF(115:115,C39,116:116)+100</f>
        <v>100</v>
      </c>
      <c r="G39" s="3119"/>
      <c r="H39" s="3727">
        <f>SUMIF(115:115,G39,116:116)-SUMIF(115:115,C39,116:116)+100</f>
        <v>100</v>
      </c>
      <c r="I39" s="3106"/>
      <c r="J39" s="3727">
        <f>SUMIF(115:115,I39,116:116)-SUMIF(115:115,C39,116:116)+100</f>
        <v>100</v>
      </c>
      <c r="K39" s="2858"/>
      <c r="L39" s="1979"/>
      <c r="M39" s="1981"/>
      <c r="N39" s="1981"/>
      <c r="O39" s="2031"/>
      <c r="P39" s="4621"/>
      <c r="Q39" s="1507">
        <f t="shared" si="8"/>
        <v>111</v>
      </c>
      <c r="R39" s="3761" t="s">
        <v>13</v>
      </c>
      <c r="S39" s="3763">
        <f t="shared" si="10"/>
        <v>100</v>
      </c>
      <c r="T39" s="3761" t="s">
        <v>13</v>
      </c>
      <c r="U39" s="3763">
        <f t="shared" si="11"/>
        <v>100</v>
      </c>
      <c r="V39" s="3761" t="s">
        <v>13</v>
      </c>
      <c r="W39" s="3763">
        <f t="shared" si="12"/>
        <v>100</v>
      </c>
      <c r="X39" s="484"/>
      <c r="Y39" s="4547"/>
      <c r="Z39" s="485">
        <f t="shared" si="13"/>
        <v>111</v>
      </c>
      <c r="AA39" s="907">
        <f t="shared" si="3"/>
        <v>1</v>
      </c>
      <c r="AB39" s="907">
        <f t="shared" si="4"/>
        <v>1</v>
      </c>
      <c r="AC39" s="907">
        <f t="shared" si="5"/>
        <v>1</v>
      </c>
    </row>
    <row r="40" spans="1:29" ht="15">
      <c r="A40" s="3107" t="s">
        <v>1601</v>
      </c>
      <c r="B40" s="2798" t="s">
        <v>1781</v>
      </c>
      <c r="C40" s="3108"/>
      <c r="D40" s="2897">
        <v>100</v>
      </c>
      <c r="E40" s="3108"/>
      <c r="F40" s="3732" t="e">
        <f>LOOKUP(E40,118:118,119:119)-LOOKUP(C40,118:118,119:119)+100</f>
        <v>#N/A</v>
      </c>
      <c r="G40" s="3108"/>
      <c r="H40" s="3732" t="e">
        <f>LOOKUP(G40,118:118,119:119)-LOOKUP(C40,118:118,119:119)+100</f>
        <v>#N/A</v>
      </c>
      <c r="I40" s="3121"/>
      <c r="J40" s="3732" t="e">
        <f>LOOKUP(I40,118:118,119:119)-LOOKUP(C40,118:118,119:119)+100</f>
        <v>#N/A</v>
      </c>
      <c r="K40" s="2858"/>
      <c r="L40" s="1980"/>
      <c r="M40" s="1975"/>
      <c r="N40" s="1975"/>
      <c r="O40" s="2030"/>
      <c r="P40" s="4621"/>
      <c r="Q40" s="1507" t="str">
        <f>B40</f>
        <v>宗地面积</v>
      </c>
      <c r="R40" s="3760" t="s">
        <v>13</v>
      </c>
      <c r="S40" s="3762" t="e">
        <f t="shared" si="10"/>
        <v>#N/A</v>
      </c>
      <c r="T40" s="3760" t="s">
        <v>13</v>
      </c>
      <c r="U40" s="3762" t="e">
        <f t="shared" si="11"/>
        <v>#N/A</v>
      </c>
      <c r="V40" s="3760" t="s">
        <v>13</v>
      </c>
      <c r="W40" s="3762" t="e">
        <f t="shared" si="12"/>
        <v>#N/A</v>
      </c>
      <c r="X40" s="909"/>
      <c r="Y40" s="4547"/>
      <c r="Z40" s="907" t="str">
        <f t="shared" si="13"/>
        <v>宗地面积</v>
      </c>
      <c r="AA40" s="907" t="e">
        <f t="shared" si="3"/>
        <v>#N/A</v>
      </c>
      <c r="AB40" s="907" t="e">
        <f t="shared" si="4"/>
        <v>#N/A</v>
      </c>
      <c r="AC40" s="907" t="e">
        <f t="shared" si="5"/>
        <v>#N/A</v>
      </c>
    </row>
    <row r="41" spans="1:29" ht="15">
      <c r="A41" s="3107"/>
      <c r="B41" s="2789" t="s">
        <v>1782</v>
      </c>
      <c r="C41" s="2826"/>
      <c r="D41" s="2890">
        <v>100</v>
      </c>
      <c r="E41" s="2826"/>
      <c r="F41" s="3725">
        <f>SUMIF(120:120,E41,121:121)-SUMIF(120:120,C41,121:121)+100</f>
        <v>100</v>
      </c>
      <c r="G41" s="2826"/>
      <c r="H41" s="3725">
        <f>SUMIF(120:120,G41,121:121)-SUMIF(120:120,C41,121:121)+100</f>
        <v>100</v>
      </c>
      <c r="I41" s="2826"/>
      <c r="J41" s="3725">
        <f>SUMIF(120:120,I41,121:121)-SUMIF(120:120,C41,121:121)+100</f>
        <v>100</v>
      </c>
      <c r="K41" s="2857"/>
      <c r="L41" s="1980"/>
      <c r="M41" s="1975"/>
      <c r="N41" s="1975"/>
      <c r="O41" s="2030"/>
      <c r="P41" s="4621"/>
      <c r="Q41" s="1507" t="str">
        <f t="shared" ref="Q41:Q47" si="14">B41</f>
        <v>宗地形状</v>
      </c>
      <c r="R41" s="3760" t="s">
        <v>13</v>
      </c>
      <c r="S41" s="3762">
        <f t="shared" si="10"/>
        <v>100</v>
      </c>
      <c r="T41" s="3760" t="s">
        <v>13</v>
      </c>
      <c r="U41" s="3762">
        <f t="shared" si="11"/>
        <v>100</v>
      </c>
      <c r="V41" s="3760" t="s">
        <v>13</v>
      </c>
      <c r="W41" s="3762">
        <f t="shared" si="12"/>
        <v>100</v>
      </c>
      <c r="X41" s="909"/>
      <c r="Y41" s="4547"/>
      <c r="Z41" s="907" t="str">
        <f t="shared" si="13"/>
        <v>宗地形状</v>
      </c>
      <c r="AA41" s="907">
        <f t="shared" si="3"/>
        <v>1</v>
      </c>
      <c r="AB41" s="907">
        <f t="shared" si="4"/>
        <v>1</v>
      </c>
      <c r="AC41" s="907">
        <f t="shared" si="5"/>
        <v>1</v>
      </c>
    </row>
    <row r="42" spans="1:29" ht="15">
      <c r="A42" s="3107"/>
      <c r="B42" s="2789" t="s">
        <v>1783</v>
      </c>
      <c r="C42" s="2826"/>
      <c r="D42" s="2890">
        <v>100</v>
      </c>
      <c r="E42" s="2826"/>
      <c r="F42" s="3725">
        <f>SUMIF(122:122,E42,123:123)-SUMIF(122:122,C42,123:123)+100</f>
        <v>100</v>
      </c>
      <c r="G42" s="2826"/>
      <c r="H42" s="3725">
        <f>SUMIF(122:122,G42,123:123)-SUMIF(122:122,C42,123:123)+100</f>
        <v>100</v>
      </c>
      <c r="I42" s="2826"/>
      <c r="J42" s="3725">
        <f>SUMIF(122:122,I42,123:123)-SUMIF(122:122,C42,123:123)+100</f>
        <v>100</v>
      </c>
      <c r="K42" s="2857"/>
      <c r="L42" s="1980"/>
      <c r="M42" s="1975"/>
      <c r="N42" s="1975"/>
      <c r="O42" s="2030"/>
      <c r="P42" s="4621"/>
      <c r="Q42" s="1507" t="str">
        <f t="shared" si="14"/>
        <v>临街宽度及深度</v>
      </c>
      <c r="R42" s="3760" t="s">
        <v>13</v>
      </c>
      <c r="S42" s="3762">
        <f t="shared" si="10"/>
        <v>100</v>
      </c>
      <c r="T42" s="3760" t="s">
        <v>13</v>
      </c>
      <c r="U42" s="3762">
        <f t="shared" si="11"/>
        <v>100</v>
      </c>
      <c r="V42" s="3760" t="s">
        <v>13</v>
      </c>
      <c r="W42" s="3762">
        <f t="shared" si="12"/>
        <v>100</v>
      </c>
      <c r="X42" s="909"/>
      <c r="Y42" s="4547"/>
      <c r="Z42" s="907" t="str">
        <f t="shared" si="13"/>
        <v>临街宽度及深度</v>
      </c>
      <c r="AA42" s="907">
        <f t="shared" si="3"/>
        <v>1</v>
      </c>
      <c r="AB42" s="907">
        <f t="shared" si="4"/>
        <v>1</v>
      </c>
      <c r="AC42" s="907">
        <f t="shared" si="5"/>
        <v>1</v>
      </c>
    </row>
    <row r="43" spans="1:29" s="46" customFormat="1" ht="15">
      <c r="A43" s="3109"/>
      <c r="B43" s="2789" t="s">
        <v>1784</v>
      </c>
      <c r="C43" s="3110"/>
      <c r="D43" s="2888">
        <v>100</v>
      </c>
      <c r="E43" s="3110"/>
      <c r="F43" s="3725">
        <f>SUMIF(124:124,E43,125:125)-SUMIF(124:124,C43,125:125)+100</f>
        <v>100</v>
      </c>
      <c r="G43" s="3110"/>
      <c r="H43" s="3725">
        <f>SUMIF(124:124,G43,125:125)-SUMIF(124:124,C43,125:125)+100</f>
        <v>100</v>
      </c>
      <c r="I43" s="3110"/>
      <c r="J43" s="3725">
        <f>SUMIF(124:124,I43,125:125)-SUMIF(124:124,C43,125:125)+100</f>
        <v>100</v>
      </c>
      <c r="K43" s="2857"/>
      <c r="L43" s="1976"/>
      <c r="M43" s="1929"/>
      <c r="N43" s="1929"/>
      <c r="O43" s="2028"/>
      <c r="P43" s="4621"/>
      <c r="Q43" s="1507" t="str">
        <f t="shared" si="14"/>
        <v>宗地开发程度</v>
      </c>
      <c r="R43" s="3759" t="s">
        <v>13</v>
      </c>
      <c r="S43" s="3542">
        <f t="shared" si="10"/>
        <v>100</v>
      </c>
      <c r="T43" s="3759" t="s">
        <v>13</v>
      </c>
      <c r="U43" s="3542">
        <f t="shared" si="11"/>
        <v>100</v>
      </c>
      <c r="V43" s="3759" t="s">
        <v>13</v>
      </c>
      <c r="W43" s="3542">
        <f t="shared" si="12"/>
        <v>100</v>
      </c>
      <c r="X43" s="482"/>
      <c r="Y43" s="4547"/>
      <c r="Z43" s="28" t="str">
        <f t="shared" si="13"/>
        <v>宗地开发程度</v>
      </c>
      <c r="AA43" s="28">
        <f t="shared" si="3"/>
        <v>1</v>
      </c>
      <c r="AB43" s="28">
        <f t="shared" si="4"/>
        <v>1</v>
      </c>
      <c r="AC43" s="28">
        <f t="shared" si="5"/>
        <v>1</v>
      </c>
    </row>
    <row r="44" spans="1:29" ht="15">
      <c r="A44" s="3107"/>
      <c r="B44" s="2789" t="s">
        <v>1785</v>
      </c>
      <c r="C44" s="2826"/>
      <c r="D44" s="2890">
        <v>100</v>
      </c>
      <c r="E44" s="2826"/>
      <c r="F44" s="3725">
        <f>SUMIF(126:126,E44,127:127)-SUMIF(126:126,C44,127:127)+100</f>
        <v>100</v>
      </c>
      <c r="G44" s="2826"/>
      <c r="H44" s="3725">
        <f>SUMIF(126:126,G44,127:127)-SUMIF(126:126,C44,127:127)+100</f>
        <v>100</v>
      </c>
      <c r="I44" s="2826"/>
      <c r="J44" s="3725">
        <f>SUMIF(126:126,I44,127:127)-SUMIF(126:126,C44,127:127)+100</f>
        <v>100</v>
      </c>
      <c r="K44" s="2857"/>
      <c r="L44" s="1980"/>
      <c r="M44" s="1975"/>
      <c r="N44" s="1975"/>
      <c r="O44" s="2030"/>
      <c r="P44" s="4621" t="s">
        <v>1603</v>
      </c>
      <c r="Q44" s="1507" t="str">
        <f t="shared" si="14"/>
        <v>工程地质条件</v>
      </c>
      <c r="R44" s="3760" t="s">
        <v>13</v>
      </c>
      <c r="S44" s="3762">
        <f t="shared" si="10"/>
        <v>100</v>
      </c>
      <c r="T44" s="3760" t="s">
        <v>13</v>
      </c>
      <c r="U44" s="3762">
        <f t="shared" si="11"/>
        <v>100</v>
      </c>
      <c r="V44" s="3760" t="s">
        <v>13</v>
      </c>
      <c r="W44" s="3762">
        <f t="shared" si="12"/>
        <v>100</v>
      </c>
      <c r="X44" s="909"/>
      <c r="Y44" s="4547" t="s">
        <v>1603</v>
      </c>
      <c r="Z44" s="907" t="str">
        <f t="shared" si="13"/>
        <v>工程地质条件</v>
      </c>
      <c r="AA44" s="907">
        <f t="shared" si="3"/>
        <v>1</v>
      </c>
      <c r="AB44" s="907">
        <f t="shared" si="4"/>
        <v>1</v>
      </c>
      <c r="AC44" s="907">
        <f t="shared" si="5"/>
        <v>1</v>
      </c>
    </row>
    <row r="45" spans="1:29" ht="15">
      <c r="A45" s="3107"/>
      <c r="B45" s="3103">
        <v>111</v>
      </c>
      <c r="C45" s="3101"/>
      <c r="D45" s="2890">
        <v>100</v>
      </c>
      <c r="E45" s="3101"/>
      <c r="F45" s="3725">
        <f>SUMIF(128:128,E45,129:129)-SUMIF(128:128,C45,129:129)+100</f>
        <v>100</v>
      </c>
      <c r="G45" s="3101"/>
      <c r="H45" s="3725">
        <f>SUMIF(128:128,G45,129:129)-SUMIF(128:128,C45,129:129)+100</f>
        <v>100</v>
      </c>
      <c r="I45" s="3115"/>
      <c r="J45" s="3725">
        <f>SUMIF(128:128,I45,129:129)-SUMIF(128:128,C45,129:129)+100</f>
        <v>100</v>
      </c>
      <c r="K45" s="2858"/>
      <c r="L45" s="1980"/>
      <c r="M45" s="1975"/>
      <c r="N45" s="1975"/>
      <c r="O45" s="2030"/>
      <c r="P45" s="4621"/>
      <c r="Q45" s="1507">
        <f t="shared" si="14"/>
        <v>111</v>
      </c>
      <c r="R45" s="3760" t="s">
        <v>13</v>
      </c>
      <c r="S45" s="3762">
        <f t="shared" si="10"/>
        <v>100</v>
      </c>
      <c r="T45" s="3760" t="s">
        <v>13</v>
      </c>
      <c r="U45" s="3762">
        <f t="shared" si="11"/>
        <v>100</v>
      </c>
      <c r="V45" s="3760" t="s">
        <v>13</v>
      </c>
      <c r="W45" s="3762">
        <f t="shared" si="12"/>
        <v>100</v>
      </c>
      <c r="X45" s="909"/>
      <c r="Y45" s="4547"/>
      <c r="Z45" s="907">
        <f t="shared" si="13"/>
        <v>111</v>
      </c>
      <c r="AA45" s="907">
        <f t="shared" si="3"/>
        <v>1</v>
      </c>
      <c r="AB45" s="907">
        <f t="shared" si="4"/>
        <v>1</v>
      </c>
      <c r="AC45" s="907">
        <f t="shared" si="5"/>
        <v>1</v>
      </c>
    </row>
    <row r="46" spans="1:29" ht="15">
      <c r="A46" s="3107"/>
      <c r="B46" s="3103">
        <v>111</v>
      </c>
      <c r="C46" s="3101"/>
      <c r="D46" s="2890">
        <v>100</v>
      </c>
      <c r="E46" s="3101"/>
      <c r="F46" s="3725">
        <f>SUMIF(130:130,E46,131:131)-SUMIF(130:130,C46,131:131)+100</f>
        <v>100</v>
      </c>
      <c r="G46" s="3101"/>
      <c r="H46" s="3725">
        <f>SUMIF(130:130,G46,131:131)-SUMIF(130:130,C46,131:131)+100</f>
        <v>100</v>
      </c>
      <c r="I46" s="3115"/>
      <c r="J46" s="3725">
        <f>SUMIF(130:130,I46,131:131)-SUMIF(130:130,C46,131:131)+100</f>
        <v>100</v>
      </c>
      <c r="K46" s="2858"/>
      <c r="L46" s="1980"/>
      <c r="M46" s="1975"/>
      <c r="N46" s="1975"/>
      <c r="O46" s="2030"/>
      <c r="P46" s="4621"/>
      <c r="Q46" s="1507">
        <f t="shared" si="14"/>
        <v>111</v>
      </c>
      <c r="R46" s="3760" t="s">
        <v>13</v>
      </c>
      <c r="S46" s="3762">
        <f t="shared" si="10"/>
        <v>100</v>
      </c>
      <c r="T46" s="3760" t="s">
        <v>13</v>
      </c>
      <c r="U46" s="3762">
        <f t="shared" si="11"/>
        <v>100</v>
      </c>
      <c r="V46" s="3760" t="s">
        <v>13</v>
      </c>
      <c r="W46" s="3762">
        <f t="shared" si="12"/>
        <v>100</v>
      </c>
      <c r="X46" s="909"/>
      <c r="Y46" s="4547"/>
      <c r="Z46" s="907">
        <f t="shared" si="13"/>
        <v>111</v>
      </c>
      <c r="AA46" s="907">
        <f t="shared" si="3"/>
        <v>1</v>
      </c>
      <c r="AB46" s="907">
        <f t="shared" si="4"/>
        <v>1</v>
      </c>
      <c r="AC46" s="907">
        <f t="shared" si="5"/>
        <v>1</v>
      </c>
    </row>
    <row r="47" spans="1:29" s="279" customFormat="1" ht="15.75" thickBot="1">
      <c r="A47" s="3111"/>
      <c r="B47" s="3103">
        <v>111</v>
      </c>
      <c r="C47" s="3112"/>
      <c r="D47" s="3114">
        <v>100</v>
      </c>
      <c r="E47" s="3101"/>
      <c r="F47" s="3727">
        <f>SUMIF(132:132,E47,133:133)-SUMIF(132:132,C47,133:133)+100</f>
        <v>100</v>
      </c>
      <c r="G47" s="3101"/>
      <c r="H47" s="3727">
        <f>SUMIF(132:132,G47,133:133)-SUMIF(132:132,C47,133:133)+100</f>
        <v>100</v>
      </c>
      <c r="I47" s="3101"/>
      <c r="J47" s="3727">
        <f>SUMIF(132:132,I47,133:133)-SUMIF(132:132,C47,133:133)+100</f>
        <v>100</v>
      </c>
      <c r="K47" s="3152"/>
      <c r="L47" s="1979"/>
      <c r="M47" s="1981"/>
      <c r="N47" s="1981"/>
      <c r="O47" s="2031"/>
      <c r="P47" s="4621"/>
      <c r="Q47" s="1507">
        <f t="shared" si="14"/>
        <v>111</v>
      </c>
      <c r="R47" s="3761" t="s">
        <v>13</v>
      </c>
      <c r="S47" s="3763">
        <f t="shared" si="10"/>
        <v>100</v>
      </c>
      <c r="T47" s="3761" t="s">
        <v>13</v>
      </c>
      <c r="U47" s="3763">
        <f t="shared" si="11"/>
        <v>100</v>
      </c>
      <c r="V47" s="3761" t="s">
        <v>13</v>
      </c>
      <c r="W47" s="3763">
        <f t="shared" si="12"/>
        <v>100</v>
      </c>
      <c r="X47" s="484"/>
      <c r="Y47" s="4547"/>
      <c r="Z47" s="485">
        <f t="shared" si="13"/>
        <v>111</v>
      </c>
      <c r="AA47" s="907">
        <f t="shared" si="3"/>
        <v>1</v>
      </c>
      <c r="AB47" s="907">
        <f t="shared" si="4"/>
        <v>1</v>
      </c>
      <c r="AC47" s="907">
        <f t="shared" si="5"/>
        <v>1</v>
      </c>
    </row>
    <row r="48" spans="1:29" ht="15">
      <c r="A48" s="286" t="s">
        <v>1751</v>
      </c>
      <c r="B48" s="1430" t="s">
        <v>1786</v>
      </c>
      <c r="C48" s="439" t="s">
        <v>0</v>
      </c>
      <c r="D48" s="288"/>
      <c r="E48" s="3205"/>
      <c r="F48" s="3153"/>
      <c r="G48" s="3206"/>
      <c r="H48" s="3154"/>
      <c r="I48" s="3205"/>
      <c r="J48" s="3154"/>
      <c r="K48" s="2862"/>
      <c r="L48" s="1982"/>
      <c r="M48" s="1975"/>
      <c r="N48" s="1975"/>
      <c r="O48" s="1975"/>
      <c r="P48" s="4549" t="str">
        <f>A48</f>
        <v>成交单价</v>
      </c>
      <c r="Q48" s="4549"/>
      <c r="R48" s="4550">
        <f>E48</f>
        <v>0</v>
      </c>
      <c r="S48" s="4550"/>
      <c r="T48" s="4550">
        <f>G48</f>
        <v>0</v>
      </c>
      <c r="U48" s="4550"/>
      <c r="V48" s="4550">
        <f>I48</f>
        <v>0</v>
      </c>
      <c r="W48" s="4550"/>
      <c r="X48" s="265"/>
      <c r="Y48" s="486"/>
      <c r="Z48" s="265"/>
      <c r="AA48" s="265"/>
      <c r="AB48" s="265"/>
      <c r="AC48" s="265"/>
    </row>
    <row r="49" spans="1:29" ht="15.75" thickBot="1">
      <c r="A49" s="289" t="s">
        <v>1700</v>
      </c>
      <c r="B49" s="440"/>
      <c r="C49" s="3744" t="e">
        <f>R50</f>
        <v>#DIV/0!</v>
      </c>
      <c r="D49" s="3846" t="s">
        <v>2041</v>
      </c>
      <c r="E49" s="3744" t="e">
        <f>R49</f>
        <v>#DIV/0!</v>
      </c>
      <c r="F49" s="2801"/>
      <c r="G49" s="3733" t="e">
        <f>T49</f>
        <v>#DIV/0!</v>
      </c>
      <c r="H49" s="2801"/>
      <c r="I49" s="3744" t="e">
        <f>V49</f>
        <v>#DIV/0!</v>
      </c>
      <c r="J49" s="2801"/>
      <c r="K49" s="2855">
        <f>F49+H49+J49</f>
        <v>0</v>
      </c>
      <c r="L49" s="1982"/>
      <c r="M49" s="1975"/>
      <c r="N49" s="1975"/>
      <c r="O49" s="1975"/>
      <c r="P49" s="4549" t="str">
        <f>A49</f>
        <v>比较价值（元/平方米）</v>
      </c>
      <c r="Q49" s="4549"/>
      <c r="R49" s="4550" t="e">
        <f>ROUND(PRODUCT(R48,AA9:AA47),0)</f>
        <v>#DIV/0!</v>
      </c>
      <c r="S49" s="4550"/>
      <c r="T49" s="4550" t="e">
        <f>ROUND(PRODUCT(T48,AB9:AB47),0)</f>
        <v>#DIV/0!</v>
      </c>
      <c r="U49" s="4550"/>
      <c r="V49" s="4550" t="e">
        <f>ROUND(PRODUCT(V48,AC9:AC47),0)</f>
        <v>#DIV/0!</v>
      </c>
      <c r="W49" s="4550"/>
      <c r="X49" s="265"/>
      <c r="Y49" s="265"/>
      <c r="Z49" s="265"/>
      <c r="AA49" s="265"/>
      <c r="AB49" s="265"/>
      <c r="AC49" s="265"/>
    </row>
    <row r="50" spans="1:29" ht="15.75" thickBot="1">
      <c r="A50" s="291" t="s">
        <v>1787</v>
      </c>
      <c r="B50" s="292"/>
      <c r="C50" s="3745" t="e">
        <f>R50</f>
        <v>#DIV/0!</v>
      </c>
      <c r="D50" s="293"/>
      <c r="E50" s="293"/>
      <c r="F50" s="293"/>
      <c r="G50" s="293"/>
      <c r="H50" s="293"/>
      <c r="I50" s="293"/>
      <c r="J50" s="293"/>
      <c r="K50" s="3126"/>
      <c r="L50" s="1982"/>
      <c r="M50" s="1975"/>
      <c r="N50" s="1975"/>
      <c r="O50" s="1975"/>
      <c r="P50" s="4551" t="str">
        <f>A50</f>
        <v>估价对象XX用房的比较价值（楼面单价，元/平方米）</v>
      </c>
      <c r="Q50" s="4552"/>
      <c r="R50" s="4553" t="e">
        <f>ROUND(IF(D49="简单平均",AVERAGE(R49:W49),R49*F49+T49*H49+V49*J49),0)</f>
        <v>#DIV/0!</v>
      </c>
      <c r="S50" s="4553"/>
      <c r="T50" s="4553"/>
      <c r="U50" s="4553"/>
      <c r="V50" s="4553"/>
      <c r="W50" s="4553"/>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603" t="s">
        <v>1794</v>
      </c>
      <c r="H57" s="4635"/>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3" t="e">
        <f>C50</f>
        <v>#DIV/0!</v>
      </c>
      <c r="C58" s="2831">
        <v>1</v>
      </c>
      <c r="D58" s="3065">
        <v>1</v>
      </c>
      <c r="E58" s="3064">
        <f>'数据-汇总表'!E8+'数据-汇总表'!E9</f>
        <v>0</v>
      </c>
      <c r="F58" s="3086" t="e">
        <f t="shared" ref="F58:F66" si="15">ROUND(B58*E58/10000,0)</f>
        <v>#DIV/0!</v>
      </c>
      <c r="G58" s="4636"/>
      <c r="H58" s="4623"/>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3" t="e">
        <f>ROUND($C$50*C59*D59,0)</f>
        <v>#DIV/0!</v>
      </c>
      <c r="C59" s="3063">
        <f t="shared" ref="C59:C66" si="16">IF($C$57="北京市系数",I59,J59)</f>
        <v>0.7</v>
      </c>
      <c r="D59" s="3066">
        <v>0.25</v>
      </c>
      <c r="E59" s="3068"/>
      <c r="F59" s="3086" t="e">
        <f t="shared" si="15"/>
        <v>#DIV/0!</v>
      </c>
      <c r="G59" s="2181" t="s">
        <v>1799</v>
      </c>
      <c r="H59" s="574" t="str">
        <f>项目基本情况!B37</f>
        <v>二级</v>
      </c>
      <c r="I59" s="3081">
        <f>SUMIF(修正!A59:A70,H59,修正!B59:B70)</f>
        <v>0.7</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3" t="e">
        <f t="shared" ref="B60:B66" si="17">ROUND($C$50*C60*D60,0)</f>
        <v>#DIV/0!</v>
      </c>
      <c r="C60" s="3063">
        <f t="shared" si="16"/>
        <v>0.4</v>
      </c>
      <c r="D60" s="3066">
        <v>0.25</v>
      </c>
      <c r="E60" s="3068"/>
      <c r="F60" s="3086" t="e">
        <f t="shared" si="15"/>
        <v>#DIV/0!</v>
      </c>
      <c r="G60" s="2182"/>
      <c r="H60" s="574" t="str">
        <f>项目基本情况!B37</f>
        <v>二级</v>
      </c>
      <c r="I60" s="3081">
        <f>SUMIF(修正!A59:A70,H60,修正!C59:C70)</f>
        <v>0.4</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3" t="e">
        <f t="shared" si="17"/>
        <v>#DIV/0!</v>
      </c>
      <c r="C61" s="3063">
        <f t="shared" si="16"/>
        <v>0.3</v>
      </c>
      <c r="D61" s="3066">
        <v>0.25</v>
      </c>
      <c r="E61" s="3068"/>
      <c r="F61" s="3086" t="e">
        <f t="shared" si="15"/>
        <v>#DIV/0!</v>
      </c>
      <c r="G61" s="2182"/>
      <c r="H61" s="574" t="str">
        <f>项目基本情况!B37</f>
        <v>二级</v>
      </c>
      <c r="I61" s="3081">
        <f>SUMIF(修正!A59:A70,H61,修正!D59:D70)</f>
        <v>0.3</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3" t="e">
        <f t="shared" si="17"/>
        <v>#DIV/0!</v>
      </c>
      <c r="C62" s="3063">
        <f t="shared" si="16"/>
        <v>0</v>
      </c>
      <c r="D62" s="3066">
        <v>0.25</v>
      </c>
      <c r="E62" s="3069">
        <f>'数据-汇总表'!E11</f>
        <v>0</v>
      </c>
      <c r="F62" s="3086" t="e">
        <f t="shared" si="15"/>
        <v>#DIV/0!</v>
      </c>
      <c r="G62" s="3078" t="s">
        <v>1803</v>
      </c>
      <c r="H62" s="574">
        <f>项目基本情况!C37</f>
        <v>0</v>
      </c>
      <c r="I62" s="3081">
        <f>SUMIF(修正!A59:A70,H62,修正!E59:E70)</f>
        <v>0</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3" t="e">
        <f t="shared" si="17"/>
        <v>#DIV/0!</v>
      </c>
      <c r="C63" s="3063">
        <f t="shared" si="16"/>
        <v>0</v>
      </c>
      <c r="D63" s="3066">
        <v>0.25</v>
      </c>
      <c r="E63" s="3069">
        <f>'数据-汇总表'!E12</f>
        <v>0</v>
      </c>
      <c r="F63" s="3086" t="e">
        <f t="shared" si="15"/>
        <v>#DIV/0!</v>
      </c>
      <c r="G63" s="3079" t="s">
        <v>1805</v>
      </c>
      <c r="H63" s="574">
        <f>IF(G63="商业",项目基本情况!B37,IF(G63="办公",项目基本情况!C37,IF(G63="住宅",项目基本情况!D37,项目基本情况!E37)))</f>
        <v>0</v>
      </c>
      <c r="I63" s="3081">
        <f>SUMIF(修正!A59:A70,H63,修正!F59:F70)</f>
        <v>0</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3" t="e">
        <f t="shared" si="17"/>
        <v>#DIV/0!</v>
      </c>
      <c r="C64" s="3063">
        <f t="shared" si="16"/>
        <v>0</v>
      </c>
      <c r="D64" s="3066">
        <v>0.25</v>
      </c>
      <c r="E64" s="3069">
        <f>'数据-汇总表'!E13</f>
        <v>0</v>
      </c>
      <c r="F64" s="3086" t="e">
        <f t="shared" si="15"/>
        <v>#DIV/0!</v>
      </c>
      <c r="G64" s="3079" t="s">
        <v>1807</v>
      </c>
      <c r="H64" s="574">
        <f>IF(G64="商业",项目基本情况!B37,IF(G64="办公",项目基本情况!C37,IF(G64="住宅",项目基本情况!D37,项目基本情况!E37)))</f>
        <v>0</v>
      </c>
      <c r="I64" s="3081">
        <f>SUMIF(修正!A59:A70,H64,修正!G59:G70)</f>
        <v>0</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3" t="e">
        <f t="shared" si="17"/>
        <v>#DIV/0!</v>
      </c>
      <c r="C65" s="3063">
        <f t="shared" si="16"/>
        <v>0.2</v>
      </c>
      <c r="D65" s="3066">
        <v>0.25</v>
      </c>
      <c r="E65" s="3069">
        <f>'数据-汇总表'!E14</f>
        <v>0</v>
      </c>
      <c r="F65" s="3086" t="e">
        <f t="shared" si="15"/>
        <v>#DIV/0!</v>
      </c>
      <c r="G65" s="3078" t="s">
        <v>1799</v>
      </c>
      <c r="H65" s="574" t="str">
        <f>项目基本情况!B37</f>
        <v>二级</v>
      </c>
      <c r="I65" s="3081">
        <f>SUMIF(修正!A59:A70,H65,修正!G59:G70)</f>
        <v>0.2</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73" t="e">
        <f t="shared" si="17"/>
        <v>#DIV/0!</v>
      </c>
      <c r="C66" s="3063">
        <f t="shared" si="16"/>
        <v>0</v>
      </c>
      <c r="D66" s="3066">
        <v>0.25</v>
      </c>
      <c r="E66" s="3069">
        <f>'数据-汇总表'!E15</f>
        <v>0</v>
      </c>
      <c r="F66" s="3086" t="e">
        <f t="shared" si="15"/>
        <v>#DIV/0!</v>
      </c>
      <c r="G66" s="3080" t="s">
        <v>1803</v>
      </c>
      <c r="H66" s="578">
        <f>项目基本情况!C37</f>
        <v>0</v>
      </c>
      <c r="I66" s="3084">
        <f>SUMIF(修正!A59:A70,H66,修正!G59:G70)</f>
        <v>0</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7" t="s">
        <v>386</v>
      </c>
      <c r="E67" s="3070">
        <f>IF(B48="楼面地价",SUM(E58:E66),'数据-汇总表'!D3)</f>
        <v>0</v>
      </c>
      <c r="F67" s="3071" t="e">
        <f>IF(B48="楼面地价",SUM(F58:F66),ROUND(C50*E67/10000,0))</f>
        <v>#DIV/0!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3">
        <f t="shared" si="18"/>
        <v>45292</v>
      </c>
      <c r="L69" s="474">
        <f t="shared" si="18"/>
        <v>45200</v>
      </c>
      <c r="M69" s="474">
        <f t="shared" si="18"/>
        <v>45108</v>
      </c>
      <c r="N69" s="474">
        <f t="shared" si="18"/>
        <v>45017</v>
      </c>
      <c r="O69" s="474">
        <f t="shared" si="18"/>
        <v>44927</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4"/>
      <c r="L72" s="5"/>
      <c r="M72" s="761"/>
      <c r="N72" s="5"/>
      <c r="O72" s="3775"/>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9">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3608</v>
      </c>
      <c r="D120" s="372" t="s">
        <v>3609</v>
      </c>
      <c r="E120" s="372" t="s">
        <v>3610</v>
      </c>
      <c r="F120" s="372" t="s">
        <v>3611</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9">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3603</v>
      </c>
      <c r="D124" s="347" t="s">
        <v>3604</v>
      </c>
      <c r="E124" s="347" t="s">
        <v>3605</v>
      </c>
      <c r="F124" s="347" t="s">
        <v>3606</v>
      </c>
      <c r="G124" s="347" t="s">
        <v>3607</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3620</v>
      </c>
      <c r="B4" s="3388" t="e">
        <f>IF(B43="单位面积地价",C45,ROUND(B2*10000/'数据-汇总表'!D3,0))</f>
        <v>#DIV/0!</v>
      </c>
      <c r="C4" s="1336" t="s">
        <v>3622</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3621</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0" t="s">
        <v>1676</v>
      </c>
      <c r="B6" s="3161"/>
      <c r="C6" s="4518" t="s">
        <v>1677</v>
      </c>
      <c r="D6" s="4519"/>
      <c r="E6" s="4520" t="s">
        <v>1678</v>
      </c>
      <c r="F6" s="4521"/>
      <c r="G6" s="4518" t="s">
        <v>1679</v>
      </c>
      <c r="H6" s="4519"/>
      <c r="I6" s="4518" t="s">
        <v>1680</v>
      </c>
      <c r="J6" s="4519"/>
      <c r="K6" s="393" t="s">
        <v>1681</v>
      </c>
      <c r="L6" s="1974"/>
      <c r="M6" s="1975"/>
      <c r="N6" s="1975"/>
      <c r="O6" s="1975"/>
      <c r="P6" s="4522" t="s">
        <v>1682</v>
      </c>
      <c r="Q6" s="4523"/>
      <c r="R6" s="4504" t="s">
        <v>1678</v>
      </c>
      <c r="S6" s="4505"/>
      <c r="T6" s="4504" t="s">
        <v>1679</v>
      </c>
      <c r="U6" s="4505"/>
      <c r="V6" s="4530" t="s">
        <v>1680</v>
      </c>
      <c r="W6" s="4530"/>
      <c r="X6" s="909"/>
      <c r="Y6" s="4533" t="s">
        <v>1682</v>
      </c>
      <c r="Z6" s="4534"/>
      <c r="AA6" s="4498" t="s">
        <v>1678</v>
      </c>
      <c r="AB6" s="4499" t="s">
        <v>1679</v>
      </c>
      <c r="AC6" s="4498" t="s">
        <v>1680</v>
      </c>
    </row>
    <row r="7" spans="1:29" ht="15">
      <c r="A7" s="3097"/>
      <c r="B7" s="3162"/>
      <c r="C7" s="4510" t="s">
        <v>1580</v>
      </c>
      <c r="D7" s="4511"/>
      <c r="E7" s="4508" t="s">
        <v>1581</v>
      </c>
      <c r="F7" s="4509"/>
      <c r="G7" s="4510" t="s">
        <v>1582</v>
      </c>
      <c r="H7" s="4511"/>
      <c r="I7" s="4510" t="s">
        <v>1583</v>
      </c>
      <c r="J7" s="4511"/>
      <c r="K7" s="393"/>
      <c r="L7" s="1974"/>
      <c r="M7" s="1975"/>
      <c r="N7" s="1975"/>
      <c r="O7" s="1975"/>
      <c r="P7" s="4524"/>
      <c r="Q7" s="4525"/>
      <c r="R7" s="4506"/>
      <c r="S7" s="4507"/>
      <c r="T7" s="4506"/>
      <c r="U7" s="4507"/>
      <c r="V7" s="4530"/>
      <c r="W7" s="4530"/>
      <c r="X7" s="909"/>
      <c r="Y7" s="4535"/>
      <c r="Z7" s="4536"/>
      <c r="AA7" s="4499"/>
      <c r="AB7" s="4499"/>
      <c r="AC7" s="4499"/>
    </row>
    <row r="8" spans="1:29" ht="15.75" thickBot="1">
      <c r="A8" s="3163"/>
      <c r="B8" s="3164"/>
      <c r="C8" s="4637" t="s">
        <v>1826</v>
      </c>
      <c r="D8" s="4638"/>
      <c r="E8" s="4639" t="s">
        <v>1826</v>
      </c>
      <c r="F8" s="4640"/>
      <c r="G8" s="4637" t="s">
        <v>1826</v>
      </c>
      <c r="H8" s="4638"/>
      <c r="I8" s="4637" t="s">
        <v>1826</v>
      </c>
      <c r="J8" s="4638"/>
      <c r="K8" s="393" t="s">
        <v>1585</v>
      </c>
      <c r="L8" s="1974"/>
      <c r="M8" s="1975"/>
      <c r="N8" s="1975"/>
      <c r="O8" s="1975"/>
      <c r="P8" s="4526"/>
      <c r="Q8" s="4527"/>
      <c r="R8" s="4506"/>
      <c r="S8" s="4507"/>
      <c r="T8" s="4528"/>
      <c r="U8" s="4529"/>
      <c r="V8" s="4530"/>
      <c r="W8" s="4530"/>
      <c r="X8" s="909"/>
      <c r="Y8" s="4537"/>
      <c r="Z8" s="4538"/>
      <c r="AA8" s="4500"/>
      <c r="AB8" s="4500"/>
      <c r="AC8" s="4500"/>
    </row>
    <row r="9" spans="1:29" s="46" customFormat="1" ht="15.75" thickBot="1">
      <c r="A9" s="3089" t="s">
        <v>1586</v>
      </c>
      <c r="B9" s="3090"/>
      <c r="C9" s="2811">
        <f>'数据-取费表'!B2</f>
        <v>46050</v>
      </c>
      <c r="D9" s="2886">
        <v>100</v>
      </c>
      <c r="E9" s="2840"/>
      <c r="F9" s="3717">
        <f>SUMIF(67:67,YEAR(E9)&amp;"-"&amp;INT((MONTH(E9)+2)/3),68:68)</f>
        <v>0</v>
      </c>
      <c r="G9" s="3120"/>
      <c r="H9" s="3729">
        <f>SUMIF(67:67,YEAR(G9)&amp;"-"&amp;INT((MONTH(G9)+2)/3),68:68)</f>
        <v>0</v>
      </c>
      <c r="I9" s="3120"/>
      <c r="J9" s="3729">
        <f>SUMIF(67:67,YEAR(I9)&amp;"-"&amp;INT((MONTH(I9)+2)/3),68:68)</f>
        <v>0</v>
      </c>
      <c r="K9" s="22"/>
      <c r="L9" s="1976"/>
      <c r="M9" s="1929"/>
      <c r="N9" s="1929"/>
      <c r="O9" s="1929"/>
      <c r="P9" s="4531" t="s">
        <v>1587</v>
      </c>
      <c r="Q9" s="4539"/>
      <c r="R9" s="3759" t="s">
        <v>13</v>
      </c>
      <c r="S9" s="3542">
        <f t="shared" ref="S9:S17" si="0">F9</f>
        <v>0</v>
      </c>
      <c r="T9" s="3759" t="s">
        <v>13</v>
      </c>
      <c r="U9" s="3542">
        <f t="shared" ref="U9:U17" si="1">H9</f>
        <v>0</v>
      </c>
      <c r="V9" s="3759" t="s">
        <v>13</v>
      </c>
      <c r="W9" s="3542">
        <f t="shared" ref="W9:W17" si="2">J9</f>
        <v>0</v>
      </c>
      <c r="X9" s="482"/>
      <c r="Y9" s="4502" t="s">
        <v>1587</v>
      </c>
      <c r="Z9" s="4503"/>
      <c r="AA9" s="28" t="e">
        <f>D9/F9</f>
        <v>#DIV/0!</v>
      </c>
      <c r="AB9" s="28" t="e">
        <f>D9/H9</f>
        <v>#DIV/0!</v>
      </c>
      <c r="AC9" s="28" t="e">
        <f>D9/J9</f>
        <v>#DIV/0!</v>
      </c>
    </row>
    <row r="10" spans="1:29" s="46" customFormat="1" ht="15.75" thickBot="1">
      <c r="A10" s="3089" t="s">
        <v>1588</v>
      </c>
      <c r="B10" s="3090"/>
      <c r="C10" s="2812" t="s">
        <v>1589</v>
      </c>
      <c r="D10" s="2886">
        <v>100</v>
      </c>
      <c r="E10" s="2812"/>
      <c r="F10" s="3717">
        <f>SUMIF(70:70,E10,71:71)-SUMIF(70:70,C10,71:71)+100</f>
        <v>0</v>
      </c>
      <c r="G10" s="2812"/>
      <c r="H10" s="3729">
        <f>SUMIF(70:70,G10,71:71)-SUMIF(70:70,C10,71:71)+100</f>
        <v>0</v>
      </c>
      <c r="I10" s="2812"/>
      <c r="J10" s="3729">
        <f>SUMIF(70:70,I10,71:71)-SUMIF(70:70,C10,71:71)+100</f>
        <v>0</v>
      </c>
      <c r="K10" s="22"/>
      <c r="L10" s="1976"/>
      <c r="M10" s="1929"/>
      <c r="N10" s="1929"/>
      <c r="O10" s="1929"/>
      <c r="P10" s="4531" t="s">
        <v>1590</v>
      </c>
      <c r="Q10" s="4532"/>
      <c r="R10" s="3759" t="s">
        <v>13</v>
      </c>
      <c r="S10" s="3542">
        <f t="shared" si="0"/>
        <v>0</v>
      </c>
      <c r="T10" s="3759" t="s">
        <v>13</v>
      </c>
      <c r="U10" s="3542">
        <f t="shared" si="1"/>
        <v>0</v>
      </c>
      <c r="V10" s="3759" t="s">
        <v>13</v>
      </c>
      <c r="W10" s="3542">
        <f t="shared" si="2"/>
        <v>0</v>
      </c>
      <c r="X10" s="482"/>
      <c r="Y10" s="4502" t="s">
        <v>1590</v>
      </c>
      <c r="Z10" s="4503"/>
      <c r="AA10" s="28" t="e">
        <f t="shared" ref="AA10:AA42" si="3">D10/F10</f>
        <v>#DIV/0!</v>
      </c>
      <c r="AB10" s="28" t="e">
        <f t="shared" ref="AB10:AB42" si="4">D10/H10</f>
        <v>#DIV/0!</v>
      </c>
      <c r="AC10" s="28" t="e">
        <f t="shared" ref="AC10:AC42" si="5">D10/J10</f>
        <v>#DIV/0!</v>
      </c>
    </row>
    <row r="11" spans="1:29" s="46" customFormat="1">
      <c r="A11" s="3029" t="s">
        <v>1591</v>
      </c>
      <c r="B11" s="2792" t="s">
        <v>1592</v>
      </c>
      <c r="C11" s="3091"/>
      <c r="D11" s="2887">
        <v>100</v>
      </c>
      <c r="E11" s="3091"/>
      <c r="F11" s="3730">
        <f>SUMIF(72:72,E11,73:73)-SUMIF(72:72,C11,73:73)+100</f>
        <v>100</v>
      </c>
      <c r="G11" s="3091"/>
      <c r="H11" s="3730">
        <f>SUMIF(72:72,G11,73:73)-SUMIF(72:72,C11,73:73)+100</f>
        <v>100</v>
      </c>
      <c r="I11" s="3091"/>
      <c r="J11" s="3730">
        <f>SUMIF(72:72,I11,73:73)-SUMIF(72:72,C11,73:73)+100</f>
        <v>100</v>
      </c>
      <c r="K11" s="22"/>
      <c r="L11" s="1976"/>
      <c r="M11" s="1929"/>
      <c r="N11" s="1929"/>
      <c r="O11" s="2028"/>
      <c r="P11" s="4549" t="s">
        <v>1593</v>
      </c>
      <c r="Q11" s="1698" t="str">
        <f t="shared" ref="Q11:Q17" si="6">B11</f>
        <v>用途</v>
      </c>
      <c r="R11" s="3759" t="s">
        <v>13</v>
      </c>
      <c r="S11" s="3542">
        <f t="shared" si="0"/>
        <v>100</v>
      </c>
      <c r="T11" s="3759" t="s">
        <v>13</v>
      </c>
      <c r="U11" s="3542">
        <f t="shared" si="1"/>
        <v>100</v>
      </c>
      <c r="V11" s="3759" t="s">
        <v>13</v>
      </c>
      <c r="W11" s="3542">
        <f t="shared" si="2"/>
        <v>100</v>
      </c>
      <c r="X11" s="482"/>
      <c r="Y11" s="4517"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16"/>
      <c r="F12" s="3731">
        <f>ROUND(100/'数据-取费表'!G16,1)</f>
        <v>125.5</v>
      </c>
      <c r="G12" s="2816"/>
      <c r="H12" s="3731">
        <f>ROUND(100/'数据-取费表'!G16,1)</f>
        <v>125.5</v>
      </c>
      <c r="I12" s="2816"/>
      <c r="J12" s="3731">
        <f>ROUND(100/'数据-取费表'!G16,1)</f>
        <v>125.5</v>
      </c>
      <c r="K12" s="434"/>
      <c r="L12" s="1977"/>
      <c r="M12" s="1978"/>
      <c r="N12" s="1978"/>
      <c r="O12" s="2029"/>
      <c r="P12" s="4549"/>
      <c r="Q12" s="1698" t="str">
        <f t="shared" si="6"/>
        <v>土地使用年限（年）</v>
      </c>
      <c r="R12" s="3759" t="s">
        <v>13</v>
      </c>
      <c r="S12" s="3542">
        <f t="shared" si="0"/>
        <v>125.5</v>
      </c>
      <c r="T12" s="3759" t="s">
        <v>13</v>
      </c>
      <c r="U12" s="3542">
        <f t="shared" si="1"/>
        <v>125.5</v>
      </c>
      <c r="V12" s="3759" t="s">
        <v>13</v>
      </c>
      <c r="W12" s="3542">
        <f t="shared" si="2"/>
        <v>125.5</v>
      </c>
      <c r="X12" s="482"/>
      <c r="Y12" s="4517"/>
      <c r="Z12" s="28" t="str">
        <f t="shared" si="7"/>
        <v>土地使用年限（年）</v>
      </c>
      <c r="AA12" s="28">
        <f t="shared" si="3"/>
        <v>0.79681274900398402</v>
      </c>
      <c r="AB12" s="28">
        <f t="shared" si="4"/>
        <v>0.79681274900398402</v>
      </c>
      <c r="AC12" s="28">
        <f t="shared" si="5"/>
        <v>0.79681274900398402</v>
      </c>
    </row>
    <row r="13" spans="1:29" ht="15">
      <c r="A13" s="3093"/>
      <c r="B13" s="2789" t="s">
        <v>1596</v>
      </c>
      <c r="C13" s="2815"/>
      <c r="D13" s="2888">
        <v>100</v>
      </c>
      <c r="E13" s="2815"/>
      <c r="F13" s="3731" t="e">
        <f>LOOKUP(E13,77:77,78:78)-LOOKUP(C13,77:77,78:78)+100</f>
        <v>#N/A</v>
      </c>
      <c r="G13" s="2843"/>
      <c r="H13" s="3731" t="e">
        <f>LOOKUP(G13,77:77,78:78)-LOOKUP(C13,77:77,78:78)+100</f>
        <v>#N/A</v>
      </c>
      <c r="I13" s="2815"/>
      <c r="J13" s="3731" t="e">
        <f>LOOKUP(I13,77:77,78:78)-LOOKUP(C13,77:77,78:78)+100</f>
        <v>#N/A</v>
      </c>
      <c r="K13" s="435"/>
      <c r="L13" s="1979"/>
      <c r="M13" s="1975"/>
      <c r="N13" s="1975"/>
      <c r="O13" s="2030"/>
      <c r="P13" s="4549"/>
      <c r="Q13" s="1698" t="str">
        <f t="shared" si="6"/>
        <v>容积率</v>
      </c>
      <c r="R13" s="3759" t="s">
        <v>13</v>
      </c>
      <c r="S13" s="3542" t="e">
        <f t="shared" si="0"/>
        <v>#N/A</v>
      </c>
      <c r="T13" s="3759" t="s">
        <v>13</v>
      </c>
      <c r="U13" s="3542" t="e">
        <f t="shared" si="1"/>
        <v>#N/A</v>
      </c>
      <c r="V13" s="3759" t="s">
        <v>13</v>
      </c>
      <c r="W13" s="3542" t="e">
        <f t="shared" si="2"/>
        <v>#N/A</v>
      </c>
      <c r="X13" s="482"/>
      <c r="Y13" s="4517"/>
      <c r="Z13" s="28" t="str">
        <f t="shared" si="7"/>
        <v>容积率</v>
      </c>
      <c r="AA13" s="28" t="e">
        <f t="shared" si="3"/>
        <v>#N/A</v>
      </c>
      <c r="AB13" s="28" t="e">
        <f t="shared" si="4"/>
        <v>#N/A</v>
      </c>
      <c r="AC13" s="28" t="e">
        <f t="shared" si="5"/>
        <v>#N/A</v>
      </c>
    </row>
    <row r="14" spans="1:29" s="46" customFormat="1" ht="15">
      <c r="A14" s="3094"/>
      <c r="B14" s="2793">
        <v>111</v>
      </c>
      <c r="C14" s="2816"/>
      <c r="D14" s="2889">
        <v>100</v>
      </c>
      <c r="E14" s="3115"/>
      <c r="F14" s="3731">
        <f>SUMIF(79:79,E14,80:80)-SUMIF(79:79,C14,80:80)+100</f>
        <v>100</v>
      </c>
      <c r="G14" s="3101"/>
      <c r="H14" s="3731">
        <f>SUMIF(79:79,G14,80:80)-SUMIF(79:79,C14,80:80)+100</f>
        <v>100</v>
      </c>
      <c r="I14" s="3115"/>
      <c r="J14" s="3731">
        <f>SUMIF(79:79,I14,80:80)-SUMIF(79:79,C14,80:80)+100</f>
        <v>100</v>
      </c>
      <c r="K14" s="434"/>
      <c r="L14" s="1976"/>
      <c r="M14" s="1929"/>
      <c r="N14" s="1929"/>
      <c r="O14" s="2028"/>
      <c r="P14" s="4549"/>
      <c r="Q14" s="1698">
        <f t="shared" si="6"/>
        <v>111</v>
      </c>
      <c r="R14" s="3759" t="s">
        <v>13</v>
      </c>
      <c r="S14" s="3542">
        <f t="shared" si="0"/>
        <v>100</v>
      </c>
      <c r="T14" s="3759" t="s">
        <v>13</v>
      </c>
      <c r="U14" s="3542">
        <f t="shared" si="1"/>
        <v>100</v>
      </c>
      <c r="V14" s="3759" t="s">
        <v>13</v>
      </c>
      <c r="W14" s="3542">
        <f t="shared" si="2"/>
        <v>100</v>
      </c>
      <c r="X14" s="482"/>
      <c r="Y14" s="4517"/>
      <c r="Z14" s="28">
        <f t="shared" si="7"/>
        <v>111</v>
      </c>
      <c r="AA14" s="28">
        <f>D14/F14</f>
        <v>1</v>
      </c>
      <c r="AB14" s="28">
        <f>D14/H14</f>
        <v>1</v>
      </c>
      <c r="AC14" s="28">
        <f>D14/J14</f>
        <v>1</v>
      </c>
    </row>
    <row r="15" spans="1:29" ht="15">
      <c r="A15" s="3093"/>
      <c r="B15" s="2793">
        <v>111</v>
      </c>
      <c r="C15" s="2817"/>
      <c r="D15" s="2890">
        <v>100</v>
      </c>
      <c r="E15" s="3115"/>
      <c r="F15" s="3731">
        <f>SUMIF(81:81,E15,82:82)-SUMIF(81:81,C15,82:82)+100</f>
        <v>100</v>
      </c>
      <c r="G15" s="3101"/>
      <c r="H15" s="3725">
        <f>SUMIF(81:81,G15,82:82)-SUMIF(81:81,C15,82:82)+100</f>
        <v>100</v>
      </c>
      <c r="I15" s="3115"/>
      <c r="J15" s="3725">
        <f>SUMIF(81:81,I15,82:82)-SUMIF(81:81,C15,82:82)+100</f>
        <v>100</v>
      </c>
      <c r="K15" s="434"/>
      <c r="L15" s="1980"/>
      <c r="M15" s="1975"/>
      <c r="N15" s="1975"/>
      <c r="O15" s="2030"/>
      <c r="P15" s="4549"/>
      <c r="Q15" s="1698">
        <f t="shared" si="6"/>
        <v>111</v>
      </c>
      <c r="R15" s="3759" t="s">
        <v>13</v>
      </c>
      <c r="S15" s="3542">
        <f t="shared" si="0"/>
        <v>100</v>
      </c>
      <c r="T15" s="3759" t="s">
        <v>13</v>
      </c>
      <c r="U15" s="3542">
        <f t="shared" si="1"/>
        <v>100</v>
      </c>
      <c r="V15" s="3759" t="s">
        <v>13</v>
      </c>
      <c r="W15" s="3542">
        <f t="shared" si="2"/>
        <v>100</v>
      </c>
      <c r="X15" s="482"/>
      <c r="Y15" s="4517"/>
      <c r="Z15" s="28">
        <f t="shared" si="7"/>
        <v>111</v>
      </c>
      <c r="AA15" s="28">
        <f t="shared" si="3"/>
        <v>1</v>
      </c>
      <c r="AB15" s="28">
        <f t="shared" si="4"/>
        <v>1</v>
      </c>
      <c r="AC15" s="28">
        <f t="shared" si="5"/>
        <v>1</v>
      </c>
    </row>
    <row r="16" spans="1:29" ht="15.75" thickBot="1">
      <c r="A16" s="3095"/>
      <c r="B16" s="2794">
        <v>111</v>
      </c>
      <c r="C16" s="2818"/>
      <c r="D16" s="2891">
        <v>100</v>
      </c>
      <c r="E16" s="3115"/>
      <c r="F16" s="3727">
        <f>SUMIF(83:83,E16,84:84)-SUMIF(83:83,C16,84:84)+100</f>
        <v>100</v>
      </c>
      <c r="G16" s="3101"/>
      <c r="H16" s="3727">
        <f>SUMIF(83:83,G16,84:84)-SUMIF(83:83,C16,84:84)+100</f>
        <v>100</v>
      </c>
      <c r="I16" s="3115"/>
      <c r="J16" s="3727">
        <f>SUMIF(83:83,I16,84:84)-SUMIF(83:83,C16,84:84)+100</f>
        <v>100</v>
      </c>
      <c r="K16" s="434"/>
      <c r="L16" s="1980"/>
      <c r="M16" s="1975"/>
      <c r="N16" s="1975"/>
      <c r="O16" s="2030"/>
      <c r="P16" s="4549"/>
      <c r="Q16" s="1698">
        <f t="shared" si="6"/>
        <v>111</v>
      </c>
      <c r="R16" s="3759" t="s">
        <v>13</v>
      </c>
      <c r="S16" s="3542">
        <f t="shared" si="0"/>
        <v>100</v>
      </c>
      <c r="T16" s="3759" t="s">
        <v>13</v>
      </c>
      <c r="U16" s="3542">
        <f t="shared" si="1"/>
        <v>100</v>
      </c>
      <c r="V16" s="3759" t="s">
        <v>13</v>
      </c>
      <c r="W16" s="3542">
        <f t="shared" si="2"/>
        <v>100</v>
      </c>
      <c r="X16" s="482"/>
      <c r="Y16" s="4517"/>
      <c r="Z16" s="28">
        <f t="shared" si="7"/>
        <v>111</v>
      </c>
      <c r="AA16" s="28">
        <f t="shared" si="3"/>
        <v>1</v>
      </c>
      <c r="AB16" s="28">
        <f t="shared" si="4"/>
        <v>1</v>
      </c>
      <c r="AC16" s="28">
        <f t="shared" si="5"/>
        <v>1</v>
      </c>
    </row>
    <row r="17" spans="1:29" ht="15">
      <c r="A17" s="3096" t="s">
        <v>1597</v>
      </c>
      <c r="B17" s="3165" t="s">
        <v>1827</v>
      </c>
      <c r="C17" s="3174">
        <f>估价对象房地状况!G15</f>
        <v>0</v>
      </c>
      <c r="D17" s="2892">
        <v>100</v>
      </c>
      <c r="E17" s="2844"/>
      <c r="F17" s="3721">
        <f>SUMIF(85:85,E18,86:86)-SUMIF(85:85,C18,86:86)+100</f>
        <v>100</v>
      </c>
      <c r="G17" s="2844"/>
      <c r="H17" s="3721">
        <f>SUMIF(85:85,G18,86:86)-SUMIF(85:85,C18,86:86)+100</f>
        <v>100</v>
      </c>
      <c r="I17" s="2850"/>
      <c r="J17" s="3721">
        <f>SUMIF(85:85,I18,86:86)-SUMIF(85:85,C18,86:86)+100</f>
        <v>100</v>
      </c>
      <c r="K17" s="435"/>
      <c r="L17" s="1980"/>
      <c r="M17" s="1975"/>
      <c r="N17" s="1975"/>
      <c r="O17" s="2030"/>
      <c r="P17" s="4618" t="s">
        <v>1598</v>
      </c>
      <c r="Q17" s="1507" t="str">
        <f t="shared" si="6"/>
        <v>产业集聚程度</v>
      </c>
      <c r="R17" s="3760" t="s">
        <v>13</v>
      </c>
      <c r="S17" s="3762">
        <f t="shared" si="0"/>
        <v>100</v>
      </c>
      <c r="T17" s="3760" t="s">
        <v>13</v>
      </c>
      <c r="U17" s="3762">
        <f t="shared" si="1"/>
        <v>100</v>
      </c>
      <c r="V17" s="3760" t="s">
        <v>13</v>
      </c>
      <c r="W17" s="3762">
        <f t="shared" si="2"/>
        <v>100</v>
      </c>
      <c r="X17" s="909"/>
      <c r="Y17" s="4542" t="s">
        <v>1598</v>
      </c>
      <c r="Z17" s="907" t="str">
        <f t="shared" si="7"/>
        <v>产业集聚程度</v>
      </c>
      <c r="AA17" s="907">
        <f t="shared" si="3"/>
        <v>1</v>
      </c>
      <c r="AB17" s="907">
        <f t="shared" si="4"/>
        <v>1</v>
      </c>
      <c r="AC17" s="907">
        <f t="shared" si="5"/>
        <v>1</v>
      </c>
    </row>
    <row r="18" spans="1:29" ht="15">
      <c r="A18" s="3093"/>
      <c r="B18" s="3166"/>
      <c r="C18" s="2820"/>
      <c r="D18" s="2893"/>
      <c r="E18" s="2871"/>
      <c r="F18" s="3722"/>
      <c r="G18" s="2871"/>
      <c r="H18" s="3723"/>
      <c r="I18" s="2871"/>
      <c r="J18" s="3722"/>
      <c r="K18" s="434"/>
      <c r="L18" s="1980"/>
      <c r="M18" s="1975"/>
      <c r="N18" s="1975"/>
      <c r="O18" s="2030"/>
      <c r="P18" s="4619"/>
      <c r="Q18" s="1507"/>
      <c r="R18" s="3760"/>
      <c r="S18" s="3762"/>
      <c r="T18" s="3760"/>
      <c r="U18" s="3762"/>
      <c r="V18" s="3760"/>
      <c r="W18" s="3762"/>
      <c r="X18" s="909"/>
      <c r="Y18" s="4543"/>
      <c r="Z18" s="907"/>
      <c r="AA18" s="907">
        <v>1</v>
      </c>
      <c r="AB18" s="907">
        <v>1</v>
      </c>
      <c r="AC18" s="907">
        <v>1</v>
      </c>
    </row>
    <row r="19" spans="1:29" ht="15">
      <c r="A19" s="3093"/>
      <c r="B19" s="3167" t="s">
        <v>1740</v>
      </c>
      <c r="C19" s="2821">
        <f>估价对象房地状况!G16</f>
        <v>0</v>
      </c>
      <c r="D19" s="2894">
        <v>100</v>
      </c>
      <c r="E19" s="2845"/>
      <c r="F19" s="3724">
        <f>SUMIF(87:87,E20,88:88)-SUMIF(87:87,C20,88:88)+100</f>
        <v>100</v>
      </c>
      <c r="G19" s="2845"/>
      <c r="H19" s="3724">
        <f>SUMIF(87:87,G20,88:88)-SUMIF(87:87,C20,88:88)+100</f>
        <v>100</v>
      </c>
      <c r="I19" s="2851"/>
      <c r="J19" s="3723">
        <f>SUMIF(87:87,I20,88:88)-SUMIF(87:87,C20,88:88)+100</f>
        <v>100</v>
      </c>
      <c r="K19" s="435"/>
      <c r="L19" s="1980"/>
      <c r="M19" s="1975"/>
      <c r="N19" s="1975"/>
      <c r="O19" s="2030"/>
      <c r="P19" s="4619"/>
      <c r="Q19" s="1507" t="str">
        <f>B19</f>
        <v>交通便捷度</v>
      </c>
      <c r="R19" s="3760" t="s">
        <v>13</v>
      </c>
      <c r="S19" s="3762">
        <f>F19</f>
        <v>100</v>
      </c>
      <c r="T19" s="3760" t="s">
        <v>13</v>
      </c>
      <c r="U19" s="3762">
        <f>H19</f>
        <v>100</v>
      </c>
      <c r="V19" s="3760" t="s">
        <v>13</v>
      </c>
      <c r="W19" s="3762">
        <f>J19</f>
        <v>100</v>
      </c>
      <c r="X19" s="909"/>
      <c r="Y19" s="4543"/>
      <c r="Z19" s="907" t="str">
        <f>Q19</f>
        <v>交通便捷度</v>
      </c>
      <c r="AA19" s="907">
        <f t="shared" si="3"/>
        <v>1</v>
      </c>
      <c r="AB19" s="907">
        <f t="shared" si="4"/>
        <v>1</v>
      </c>
      <c r="AC19" s="907">
        <f t="shared" si="5"/>
        <v>1</v>
      </c>
    </row>
    <row r="20" spans="1:29" ht="15">
      <c r="A20" s="3093"/>
      <c r="B20" s="3168"/>
      <c r="C20" s="2820"/>
      <c r="D20" s="2893"/>
      <c r="E20" s="2848"/>
      <c r="F20" s="3722"/>
      <c r="G20" s="2848"/>
      <c r="H20" s="3722"/>
      <c r="I20" s="2854"/>
      <c r="J20" s="3722"/>
      <c r="K20" s="434"/>
      <c r="L20" s="1980"/>
      <c r="M20" s="1975"/>
      <c r="N20" s="1975"/>
      <c r="O20" s="2030"/>
      <c r="P20" s="4619"/>
      <c r="Q20" s="1507"/>
      <c r="R20" s="3760"/>
      <c r="S20" s="3762"/>
      <c r="T20" s="3760"/>
      <c r="U20" s="3762"/>
      <c r="V20" s="3760"/>
      <c r="W20" s="3762"/>
      <c r="X20" s="909"/>
      <c r="Y20" s="4543"/>
      <c r="Z20" s="907"/>
      <c r="AA20" s="907">
        <v>1</v>
      </c>
      <c r="AB20" s="907">
        <v>1</v>
      </c>
      <c r="AC20" s="907">
        <v>1</v>
      </c>
    </row>
    <row r="21" spans="1:29" ht="15">
      <c r="A21" s="3093"/>
      <c r="B21" s="3167" t="s">
        <v>1778</v>
      </c>
      <c r="C21" s="2821">
        <f>估价对象房地状况!G17</f>
        <v>0</v>
      </c>
      <c r="D21" s="2894">
        <v>100</v>
      </c>
      <c r="E21" s="2845"/>
      <c r="F21" s="3724">
        <f>SUMIF(89:89,E22,90:90)-SUMIF(89:89,C22,90:90)+100</f>
        <v>100</v>
      </c>
      <c r="G21" s="2845"/>
      <c r="H21" s="3724">
        <f>SUMIF(89:89,G22,90:90)-SUMIF(89:89,C22,90:90)+100</f>
        <v>100</v>
      </c>
      <c r="I21" s="2845"/>
      <c r="J21" s="3724">
        <f>SUMIF(89:89,I22,90:90)-SUMIF(89:89,C22,90:90)+100</f>
        <v>100</v>
      </c>
      <c r="K21" s="435"/>
      <c r="L21" s="1980"/>
      <c r="M21" s="1975"/>
      <c r="N21" s="1975"/>
      <c r="O21" s="2030"/>
      <c r="P21" s="4619"/>
      <c r="Q21" s="1507" t="str">
        <f t="shared" ref="Q21:Q35" si="8">B21</f>
        <v>区域土地利用方向</v>
      </c>
      <c r="R21" s="3760" t="s">
        <v>13</v>
      </c>
      <c r="S21" s="3762">
        <f>F21</f>
        <v>100</v>
      </c>
      <c r="T21" s="3760" t="s">
        <v>13</v>
      </c>
      <c r="U21" s="3762">
        <f>H21</f>
        <v>100</v>
      </c>
      <c r="V21" s="3760" t="s">
        <v>13</v>
      </c>
      <c r="W21" s="3762">
        <f>J21</f>
        <v>100</v>
      </c>
      <c r="X21" s="909"/>
      <c r="Y21" s="4543"/>
      <c r="Z21" s="907" t="str">
        <f>Q21</f>
        <v>区域土地利用方向</v>
      </c>
      <c r="AA21" s="907">
        <f t="shared" si="3"/>
        <v>1</v>
      </c>
      <c r="AB21" s="907">
        <f t="shared" si="4"/>
        <v>1</v>
      </c>
      <c r="AC21" s="907">
        <f t="shared" si="5"/>
        <v>1</v>
      </c>
    </row>
    <row r="22" spans="1:29" ht="15">
      <c r="A22" s="3097"/>
      <c r="B22" s="3168"/>
      <c r="C22" s="2820"/>
      <c r="D22" s="2893"/>
      <c r="E22" s="2848"/>
      <c r="F22" s="3722"/>
      <c r="G22" s="2848"/>
      <c r="H22" s="3722"/>
      <c r="I22" s="2848"/>
      <c r="J22" s="3722"/>
      <c r="K22" s="503"/>
      <c r="L22" s="1980"/>
      <c r="M22" s="1975"/>
      <c r="N22" s="1975"/>
      <c r="O22" s="2030"/>
      <c r="P22" s="4619"/>
      <c r="Q22" s="1507"/>
      <c r="R22" s="3760"/>
      <c r="S22" s="3762"/>
      <c r="T22" s="3760"/>
      <c r="U22" s="3762"/>
      <c r="V22" s="3760"/>
      <c r="W22" s="3762"/>
      <c r="X22" s="909"/>
      <c r="Y22" s="4543"/>
      <c r="Z22" s="907"/>
      <c r="AA22" s="907"/>
      <c r="AB22" s="907"/>
      <c r="AC22" s="907"/>
    </row>
    <row r="23" spans="1:29" ht="15">
      <c r="A23" s="3097"/>
      <c r="B23" s="3167" t="s">
        <v>1828</v>
      </c>
      <c r="C23" s="2821">
        <f>估价对象房地状况!G18</f>
        <v>0</v>
      </c>
      <c r="D23" s="2894">
        <v>100</v>
      </c>
      <c r="E23" s="2845"/>
      <c r="F23" s="3723">
        <f>SUMIF(91:91,E24,92:92)-SUMIF(91:91,C24,92:92)+100</f>
        <v>100</v>
      </c>
      <c r="G23" s="2845"/>
      <c r="H23" s="3723">
        <f>SUMIF(91:91,G24,92:92)-SUMIF(91:91,C24,92:92)+100</f>
        <v>100</v>
      </c>
      <c r="I23" s="2851"/>
      <c r="J23" s="3723">
        <f>SUMIF(91:91,I24,92:92)-SUMIF(91:91,C24,92:92)+100</f>
        <v>100</v>
      </c>
      <c r="K23" s="435"/>
      <c r="L23" s="1980"/>
      <c r="M23" s="1975"/>
      <c r="N23" s="1975"/>
      <c r="O23" s="2030"/>
      <c r="P23" s="4619"/>
      <c r="Q23" s="1507" t="str">
        <f t="shared" si="8"/>
        <v>环境状况</v>
      </c>
      <c r="R23" s="3760" t="s">
        <v>13</v>
      </c>
      <c r="S23" s="3762">
        <f>F23</f>
        <v>100</v>
      </c>
      <c r="T23" s="3760" t="s">
        <v>13</v>
      </c>
      <c r="U23" s="3762">
        <f>H23</f>
        <v>100</v>
      </c>
      <c r="V23" s="3760" t="s">
        <v>13</v>
      </c>
      <c r="W23" s="3762">
        <f>J23</f>
        <v>100</v>
      </c>
      <c r="X23" s="909"/>
      <c r="Y23" s="4543"/>
      <c r="Z23" s="907" t="str">
        <f>Q23</f>
        <v>环境状况</v>
      </c>
      <c r="AA23" s="907">
        <f t="shared" si="3"/>
        <v>1</v>
      </c>
      <c r="AB23" s="907">
        <f t="shared" si="4"/>
        <v>1</v>
      </c>
      <c r="AC23" s="907">
        <f t="shared" si="5"/>
        <v>1</v>
      </c>
    </row>
    <row r="24" spans="1:29" ht="15">
      <c r="A24" s="3097"/>
      <c r="B24" s="3168"/>
      <c r="C24" s="2820"/>
      <c r="D24" s="2893"/>
      <c r="E24" s="2871"/>
      <c r="F24" s="3722"/>
      <c r="G24" s="2871"/>
      <c r="H24" s="3722"/>
      <c r="I24" s="2820"/>
      <c r="J24" s="3722"/>
      <c r="K24" s="434"/>
      <c r="L24" s="1980"/>
      <c r="M24" s="1975"/>
      <c r="N24" s="1975"/>
      <c r="O24" s="2030"/>
      <c r="P24" s="4619"/>
      <c r="Q24" s="1507"/>
      <c r="R24" s="3760"/>
      <c r="S24" s="3762"/>
      <c r="T24" s="3760"/>
      <c r="U24" s="3762"/>
      <c r="V24" s="3760"/>
      <c r="W24" s="3762"/>
      <c r="X24" s="909"/>
      <c r="Y24" s="4543"/>
      <c r="Z24" s="907"/>
      <c r="AA24" s="907">
        <v>1</v>
      </c>
      <c r="AB24" s="907">
        <v>1</v>
      </c>
      <c r="AC24" s="907">
        <v>1</v>
      </c>
    </row>
    <row r="25" spans="1:29" s="46" customFormat="1" ht="15">
      <c r="A25" s="3099"/>
      <c r="B25" s="3169" t="s">
        <v>1685</v>
      </c>
      <c r="C25" s="2821">
        <f>估价对象房地状况!G19</f>
        <v>0</v>
      </c>
      <c r="D25" s="2894">
        <v>100</v>
      </c>
      <c r="E25" s="2845"/>
      <c r="F25" s="3723">
        <f>SUMIF(93:93,E26,94:94)-SUMIF(93:93,C26,94:94)+100</f>
        <v>100</v>
      </c>
      <c r="G25" s="2845"/>
      <c r="H25" s="3723">
        <f>SUMIF(93:93,G26,94:94)-SUMIF(93:93,C26,94:94)+100</f>
        <v>100</v>
      </c>
      <c r="I25" s="2851"/>
      <c r="J25" s="3723">
        <f>SUMIF(93:93,I26,94:94)-SUMIF(93:93,C26,94:94)+100</f>
        <v>100</v>
      </c>
      <c r="K25" s="435"/>
      <c r="L25" s="1976"/>
      <c r="M25" s="1929"/>
      <c r="N25" s="1929"/>
      <c r="O25" s="2028"/>
      <c r="P25" s="4619"/>
      <c r="Q25" s="1698" t="str">
        <f t="shared" si="8"/>
        <v>公共配套设施</v>
      </c>
      <c r="R25" s="3759" t="s">
        <v>13</v>
      </c>
      <c r="S25" s="3542">
        <f>F25</f>
        <v>100</v>
      </c>
      <c r="T25" s="3759" t="s">
        <v>13</v>
      </c>
      <c r="U25" s="3542">
        <f>H25</f>
        <v>100</v>
      </c>
      <c r="V25" s="3759" t="s">
        <v>13</v>
      </c>
      <c r="W25" s="3542">
        <f>J25</f>
        <v>100</v>
      </c>
      <c r="X25" s="482"/>
      <c r="Y25" s="4543"/>
      <c r="Z25" s="28" t="str">
        <f>Q25</f>
        <v>公共配套设施</v>
      </c>
      <c r="AA25" s="907">
        <f>D25/F25</f>
        <v>1</v>
      </c>
      <c r="AB25" s="907">
        <f>D25/H25</f>
        <v>1</v>
      </c>
      <c r="AC25" s="907">
        <f>D25/J25</f>
        <v>1</v>
      </c>
    </row>
    <row r="26" spans="1:29" s="46" customFormat="1" ht="15">
      <c r="A26" s="3099"/>
      <c r="B26" s="3168"/>
      <c r="C26" s="3100"/>
      <c r="D26" s="2893"/>
      <c r="E26" s="2871"/>
      <c r="F26" s="3722"/>
      <c r="G26" s="2871"/>
      <c r="H26" s="3722"/>
      <c r="I26" s="2820"/>
      <c r="J26" s="3722"/>
      <c r="K26" s="434"/>
      <c r="L26" s="1976"/>
      <c r="M26" s="1929"/>
      <c r="N26" s="1929"/>
      <c r="O26" s="2028"/>
      <c r="P26" s="4619"/>
      <c r="Q26" s="1698"/>
      <c r="R26" s="3759"/>
      <c r="S26" s="3542"/>
      <c r="T26" s="3759"/>
      <c r="U26" s="3542"/>
      <c r="V26" s="3759"/>
      <c r="W26" s="3542"/>
      <c r="X26" s="482"/>
      <c r="Y26" s="4543"/>
      <c r="Z26" s="28"/>
      <c r="AA26" s="28">
        <v>1</v>
      </c>
      <c r="AB26" s="28">
        <v>1</v>
      </c>
      <c r="AC26" s="28">
        <v>1</v>
      </c>
    </row>
    <row r="27" spans="1:29" s="46" customFormat="1" ht="15">
      <c r="A27" s="3099"/>
      <c r="B27" s="3169" t="s">
        <v>1686</v>
      </c>
      <c r="C27" s="2821">
        <f>估价对象房地状况!G20</f>
        <v>0</v>
      </c>
      <c r="D27" s="2894">
        <v>100</v>
      </c>
      <c r="E27" s="2845"/>
      <c r="F27" s="3723">
        <f>SUMIF(95:95,E28,96:96)-SUMIF(95:95,C28,96:96)+100</f>
        <v>100</v>
      </c>
      <c r="G27" s="2845"/>
      <c r="H27" s="3723">
        <f>SUMIF(95:95,G28,96:96)-SUMIF(95:95,C28,96:96)+100</f>
        <v>100</v>
      </c>
      <c r="I27" s="2851"/>
      <c r="J27" s="3723">
        <f>SUMIF(95:95,I28,96:96)-SUMIF(95:95,C28,96:96)+100</f>
        <v>100</v>
      </c>
      <c r="K27" s="435"/>
      <c r="L27" s="1976"/>
      <c r="M27" s="1929"/>
      <c r="N27" s="1929"/>
      <c r="O27" s="2028"/>
      <c r="P27" s="4619"/>
      <c r="Q27" s="1698" t="str">
        <f t="shared" ref="Q27" si="9">B27</f>
        <v>基础设施水平</v>
      </c>
      <c r="R27" s="3759" t="s">
        <v>13</v>
      </c>
      <c r="S27" s="3542">
        <f>F27</f>
        <v>100</v>
      </c>
      <c r="T27" s="3759" t="s">
        <v>13</v>
      </c>
      <c r="U27" s="3542">
        <f>H27</f>
        <v>100</v>
      </c>
      <c r="V27" s="3759" t="s">
        <v>13</v>
      </c>
      <c r="W27" s="3542">
        <f>J27</f>
        <v>100</v>
      </c>
      <c r="X27" s="482"/>
      <c r="Y27" s="4543"/>
      <c r="Z27" s="28" t="str">
        <f>Q27</f>
        <v>基础设施水平</v>
      </c>
      <c r="AA27" s="907">
        <f>D27/F27</f>
        <v>1</v>
      </c>
      <c r="AB27" s="907">
        <f>D27/H27</f>
        <v>1</v>
      </c>
      <c r="AC27" s="907">
        <f>D27/J27</f>
        <v>1</v>
      </c>
    </row>
    <row r="28" spans="1:29" s="46" customFormat="1" ht="15">
      <c r="A28" s="3099"/>
      <c r="B28" s="3168"/>
      <c r="C28" s="3100"/>
      <c r="D28" s="2893"/>
      <c r="E28" s="3116"/>
      <c r="F28" s="3722"/>
      <c r="G28" s="3116"/>
      <c r="H28" s="3722"/>
      <c r="I28" s="3116"/>
      <c r="J28" s="3722"/>
      <c r="K28" s="434"/>
      <c r="L28" s="1976"/>
      <c r="M28" s="1929"/>
      <c r="N28" s="1929"/>
      <c r="O28" s="2028"/>
      <c r="P28" s="4619"/>
      <c r="Q28" s="1698"/>
      <c r="R28" s="3759"/>
      <c r="S28" s="3542"/>
      <c r="T28" s="3759"/>
      <c r="U28" s="3542"/>
      <c r="V28" s="3759"/>
      <c r="W28" s="3542"/>
      <c r="X28" s="482"/>
      <c r="Y28" s="4543"/>
      <c r="Z28" s="28"/>
      <c r="AA28" s="28">
        <v>1</v>
      </c>
      <c r="AB28" s="28">
        <v>1</v>
      </c>
      <c r="AC28" s="28">
        <v>1</v>
      </c>
    </row>
    <row r="29" spans="1:29" ht="15">
      <c r="A29" s="3093"/>
      <c r="B29" s="3168" t="s">
        <v>1687</v>
      </c>
      <c r="C29" s="2836"/>
      <c r="D29" s="2890">
        <v>100</v>
      </c>
      <c r="E29" s="3117"/>
      <c r="F29" s="3725">
        <f>SUMIF(97:97,E29,98:98)-SUMIF(97:97,C29,98:98)+100</f>
        <v>100</v>
      </c>
      <c r="G29" s="3117"/>
      <c r="H29" s="3725">
        <f>SUMIF(97:97,G29,98:98)-SUMIF(97:97,C29,98:98)+100</f>
        <v>100</v>
      </c>
      <c r="I29" s="3117"/>
      <c r="J29" s="3725">
        <f>SUMIF(97:97,I29,98:98)-SUMIF(97:97,C29,98:98)+100</f>
        <v>100</v>
      </c>
      <c r="K29" s="435"/>
      <c r="L29" s="1980"/>
      <c r="M29" s="1975"/>
      <c r="N29" s="1975"/>
      <c r="O29" s="2030"/>
      <c r="P29" s="4619"/>
      <c r="Q29" s="1507" t="str">
        <f t="shared" si="8"/>
        <v>临街状况</v>
      </c>
      <c r="R29" s="3760" t="s">
        <v>13</v>
      </c>
      <c r="S29" s="3762">
        <f t="shared" ref="S29:S42" si="10">F29</f>
        <v>100</v>
      </c>
      <c r="T29" s="3760" t="s">
        <v>13</v>
      </c>
      <c r="U29" s="3762">
        <f t="shared" ref="U29:U42" si="11">H29</f>
        <v>100</v>
      </c>
      <c r="V29" s="3760" t="s">
        <v>13</v>
      </c>
      <c r="W29" s="3762">
        <f t="shared" ref="W29:W42" si="12">J29</f>
        <v>100</v>
      </c>
      <c r="X29" s="909"/>
      <c r="Y29" s="4543"/>
      <c r="Z29" s="907" t="str">
        <f t="shared" ref="Z29:Z42" si="13">Q29</f>
        <v>临街状况</v>
      </c>
      <c r="AA29" s="907">
        <f t="shared" si="3"/>
        <v>1</v>
      </c>
      <c r="AB29" s="907">
        <f t="shared" si="4"/>
        <v>1</v>
      </c>
      <c r="AC29" s="907">
        <f t="shared" si="5"/>
        <v>1</v>
      </c>
    </row>
    <row r="30" spans="1:29" ht="27">
      <c r="A30" s="3093"/>
      <c r="B30" s="3169" t="s">
        <v>1722</v>
      </c>
      <c r="C30" s="3175">
        <f>估价对象房地状况!G22</f>
        <v>0</v>
      </c>
      <c r="D30" s="2894">
        <v>100</v>
      </c>
      <c r="E30" s="2845"/>
      <c r="F30" s="3723">
        <f>SUMIF(99:99,E31,100:100)-SUMIF(99:99,C31,100:100)+100</f>
        <v>100</v>
      </c>
      <c r="G30" s="2845"/>
      <c r="H30" s="3723">
        <f>SUMIF(99:99,G31,100:100)-SUMIF(99:99,C31,100:100)+100</f>
        <v>100</v>
      </c>
      <c r="I30" s="2851"/>
      <c r="J30" s="3723">
        <f>SUMIF(99:99,I31,100:100)-SUMIF(99:99,C31,100:100)+100</f>
        <v>100</v>
      </c>
      <c r="K30" s="435"/>
      <c r="L30" s="1980"/>
      <c r="M30" s="1975"/>
      <c r="N30" s="1975"/>
      <c r="O30" s="2030"/>
      <c r="P30" s="4619"/>
      <c r="Q30" s="1507" t="str">
        <f t="shared" si="8"/>
        <v>毗邻道路的类型与等级</v>
      </c>
      <c r="R30" s="3760" t="s">
        <v>13</v>
      </c>
      <c r="S30" s="3762">
        <f t="shared" si="10"/>
        <v>100</v>
      </c>
      <c r="T30" s="3760" t="s">
        <v>13</v>
      </c>
      <c r="U30" s="3762">
        <f t="shared" si="11"/>
        <v>100</v>
      </c>
      <c r="V30" s="3760" t="s">
        <v>13</v>
      </c>
      <c r="W30" s="3762">
        <f t="shared" si="12"/>
        <v>100</v>
      </c>
      <c r="X30" s="909"/>
      <c r="Y30" s="4543"/>
      <c r="Z30" s="907" t="str">
        <f t="shared" si="13"/>
        <v>毗邻道路的类型与等级</v>
      </c>
      <c r="AA30" s="907">
        <f t="shared" si="3"/>
        <v>1</v>
      </c>
      <c r="AB30" s="907">
        <f t="shared" si="4"/>
        <v>1</v>
      </c>
      <c r="AC30" s="907">
        <f t="shared" si="5"/>
        <v>1</v>
      </c>
    </row>
    <row r="31" spans="1:29" ht="15">
      <c r="A31" s="3093"/>
      <c r="B31" s="3168"/>
      <c r="C31" s="2820"/>
      <c r="D31" s="2893"/>
      <c r="E31" s="2871"/>
      <c r="F31" s="3722"/>
      <c r="G31" s="2871"/>
      <c r="H31" s="3722"/>
      <c r="I31" s="2871"/>
      <c r="J31" s="3722"/>
      <c r="K31" s="395"/>
      <c r="L31" s="1980"/>
      <c r="M31" s="1975"/>
      <c r="N31" s="1975"/>
      <c r="O31" s="2030"/>
      <c r="P31" s="4619"/>
      <c r="Q31" s="1507"/>
      <c r="R31" s="3760"/>
      <c r="S31" s="3762"/>
      <c r="T31" s="3760"/>
      <c r="U31" s="3762"/>
      <c r="V31" s="3760"/>
      <c r="W31" s="3762"/>
      <c r="X31" s="909"/>
      <c r="Y31" s="4543"/>
      <c r="Z31" s="907"/>
      <c r="AA31" s="907">
        <v>1</v>
      </c>
      <c r="AB31" s="907">
        <v>1</v>
      </c>
      <c r="AC31" s="907">
        <v>1</v>
      </c>
    </row>
    <row r="32" spans="1:29" ht="15">
      <c r="A32" s="3093"/>
      <c r="B32" s="3170" t="s">
        <v>1780</v>
      </c>
      <c r="C32" s="3098">
        <f>估价对象房地状况!G23</f>
        <v>0</v>
      </c>
      <c r="D32" s="2890">
        <v>100</v>
      </c>
      <c r="E32" s="3117"/>
      <c r="F32" s="3725">
        <f>SUMIF(101:101,E32,102:102)-SUMIF(101:101,C32,102:102)+100</f>
        <v>100</v>
      </c>
      <c r="G32" s="3117"/>
      <c r="H32" s="3725">
        <f>SUMIF(101:101,G32,102:102)-SUMIF(101:101,C32,102:102)+100</f>
        <v>100</v>
      </c>
      <c r="I32" s="3117"/>
      <c r="J32" s="3725">
        <f>SUMIF(101:101,I32,102:102)-SUMIF(101:101,C32,102:102)+100</f>
        <v>100</v>
      </c>
      <c r="K32" s="394"/>
      <c r="L32" s="1980"/>
      <c r="M32" s="1975"/>
      <c r="N32" s="1975"/>
      <c r="O32" s="2030"/>
      <c r="P32" s="4619"/>
      <c r="Q32" s="1507" t="str">
        <f t="shared" si="8"/>
        <v>土地级别</v>
      </c>
      <c r="R32" s="3760" t="s">
        <v>13</v>
      </c>
      <c r="S32" s="3762">
        <f t="shared" si="10"/>
        <v>100</v>
      </c>
      <c r="T32" s="3760" t="s">
        <v>13</v>
      </c>
      <c r="U32" s="3762">
        <f t="shared" si="11"/>
        <v>100</v>
      </c>
      <c r="V32" s="3760" t="s">
        <v>13</v>
      </c>
      <c r="W32" s="3762">
        <f t="shared" si="12"/>
        <v>100</v>
      </c>
      <c r="X32" s="909"/>
      <c r="Y32" s="4543"/>
      <c r="Z32" s="907" t="str">
        <f t="shared" si="13"/>
        <v>土地级别</v>
      </c>
      <c r="AA32" s="907">
        <f t="shared" si="3"/>
        <v>1</v>
      </c>
      <c r="AB32" s="907">
        <f t="shared" si="4"/>
        <v>1</v>
      </c>
      <c r="AC32" s="907">
        <f t="shared" si="5"/>
        <v>1</v>
      </c>
    </row>
    <row r="33" spans="1:31" ht="15">
      <c r="A33" s="3097"/>
      <c r="B33" s="3171">
        <v>111</v>
      </c>
      <c r="C33" s="3101"/>
      <c r="D33" s="2890">
        <v>100</v>
      </c>
      <c r="E33" s="3118"/>
      <c r="F33" s="3725">
        <f>SUMIF(103:103,E33,104:104)-SUMIF(103:103,C33,104:104)+100</f>
        <v>100</v>
      </c>
      <c r="G33" s="3118"/>
      <c r="H33" s="3725">
        <f>SUMIF(103:103,G33,104:104)-SUMIF(103:103,C33,104:104)+100</f>
        <v>100</v>
      </c>
      <c r="I33" s="3115"/>
      <c r="J33" s="3725">
        <f>SUMIF(103:103,I33,104:104)-SUMIF(103:103,C33,104:104)+100</f>
        <v>100</v>
      </c>
      <c r="K33" s="395"/>
      <c r="L33" s="1980"/>
      <c r="M33" s="1975"/>
      <c r="N33" s="1975"/>
      <c r="O33" s="2030"/>
      <c r="P33" s="4619"/>
      <c r="Q33" s="1507">
        <f t="shared" si="8"/>
        <v>111</v>
      </c>
      <c r="R33" s="3760" t="s">
        <v>13</v>
      </c>
      <c r="S33" s="3762">
        <f t="shared" si="10"/>
        <v>100</v>
      </c>
      <c r="T33" s="3760" t="s">
        <v>13</v>
      </c>
      <c r="U33" s="3762">
        <f t="shared" si="11"/>
        <v>100</v>
      </c>
      <c r="V33" s="3760" t="s">
        <v>13</v>
      </c>
      <c r="W33" s="3762">
        <f t="shared" si="12"/>
        <v>100</v>
      </c>
      <c r="X33" s="909"/>
      <c r="Y33" s="4543"/>
      <c r="Z33" s="907">
        <f t="shared" si="13"/>
        <v>111</v>
      </c>
      <c r="AA33" s="907">
        <f t="shared" si="3"/>
        <v>1</v>
      </c>
      <c r="AB33" s="907">
        <f t="shared" si="4"/>
        <v>1</v>
      </c>
      <c r="AC33" s="907">
        <f t="shared" si="5"/>
        <v>1</v>
      </c>
    </row>
    <row r="34" spans="1:31" ht="15">
      <c r="A34" s="3102"/>
      <c r="B34" s="3172">
        <v>111</v>
      </c>
      <c r="C34" s="3101"/>
      <c r="D34" s="2890">
        <v>100</v>
      </c>
      <c r="E34" s="3118"/>
      <c r="F34" s="3725">
        <f>SUMIF(105:105,E35,106:106)-SUMIF(105:105,C35,106:106)+100</f>
        <v>100</v>
      </c>
      <c r="G34" s="3118"/>
      <c r="H34" s="3725">
        <f>SUMIF(105:105,G34,106:106)-SUMIF(105:105,C34,106:106)+100</f>
        <v>100</v>
      </c>
      <c r="I34" s="3101"/>
      <c r="J34" s="3725">
        <f>SUMIF(105:105,I34,106:106)-SUMIF(105:105,C34,106:106)+100</f>
        <v>100</v>
      </c>
      <c r="K34" s="395"/>
      <c r="L34" s="1980"/>
      <c r="M34" s="1975"/>
      <c r="N34" s="1975"/>
      <c r="O34" s="2030"/>
      <c r="P34" s="4620" t="s">
        <v>1603</v>
      </c>
      <c r="Q34" s="1507">
        <f t="shared" si="8"/>
        <v>111</v>
      </c>
      <c r="R34" s="3760" t="s">
        <v>13</v>
      </c>
      <c r="S34" s="3762">
        <f t="shared" si="10"/>
        <v>100</v>
      </c>
      <c r="T34" s="3760" t="s">
        <v>13</v>
      </c>
      <c r="U34" s="3762">
        <f t="shared" si="11"/>
        <v>100</v>
      </c>
      <c r="V34" s="3760" t="s">
        <v>13</v>
      </c>
      <c r="W34" s="3762">
        <f t="shared" si="12"/>
        <v>100</v>
      </c>
      <c r="X34" s="909"/>
      <c r="Y34" s="4547" t="s">
        <v>1603</v>
      </c>
      <c r="Z34" s="907">
        <f t="shared" si="13"/>
        <v>111</v>
      </c>
      <c r="AA34" s="907">
        <f t="shared" si="3"/>
        <v>1</v>
      </c>
      <c r="AB34" s="907">
        <f t="shared" si="4"/>
        <v>1</v>
      </c>
      <c r="AC34" s="907">
        <f t="shared" si="5"/>
        <v>1</v>
      </c>
    </row>
    <row r="35" spans="1:31" s="279" customFormat="1" ht="15.75" thickBot="1">
      <c r="A35" s="3104"/>
      <c r="B35" s="3173">
        <v>111</v>
      </c>
      <c r="C35" s="3106"/>
      <c r="D35" s="3113">
        <v>100</v>
      </c>
      <c r="E35" s="3119"/>
      <c r="F35" s="3727">
        <f>SUMIF(107:107,E35,108:108)-SUMIF(107:107,C35,108:108)+100</f>
        <v>100</v>
      </c>
      <c r="G35" s="3119"/>
      <c r="H35" s="3727">
        <f>SUMIF(107:107,G35,108:108)-SUMIF(107:107,C35,108:108)+100</f>
        <v>100</v>
      </c>
      <c r="I35" s="3106"/>
      <c r="J35" s="3727">
        <f>SUMIF(107:107,I35,108:108)-SUMIF(107:107,C35,108:108)+100</f>
        <v>100</v>
      </c>
      <c r="K35" s="395"/>
      <c r="L35" s="1979"/>
      <c r="M35" s="1981"/>
      <c r="N35" s="1981"/>
      <c r="O35" s="2031"/>
      <c r="P35" s="4621"/>
      <c r="Q35" s="1507">
        <f t="shared" si="8"/>
        <v>111</v>
      </c>
      <c r="R35" s="3761" t="s">
        <v>13</v>
      </c>
      <c r="S35" s="3763">
        <f t="shared" si="10"/>
        <v>100</v>
      </c>
      <c r="T35" s="3761" t="s">
        <v>13</v>
      </c>
      <c r="U35" s="3763">
        <f t="shared" si="11"/>
        <v>100</v>
      </c>
      <c r="V35" s="3761" t="s">
        <v>13</v>
      </c>
      <c r="W35" s="3763">
        <f t="shared" si="12"/>
        <v>100</v>
      </c>
      <c r="X35" s="484"/>
      <c r="Y35" s="4547"/>
      <c r="Z35" s="485">
        <f t="shared" si="13"/>
        <v>111</v>
      </c>
      <c r="AA35" s="907">
        <f t="shared" si="3"/>
        <v>1</v>
      </c>
      <c r="AB35" s="907">
        <f t="shared" si="4"/>
        <v>1</v>
      </c>
      <c r="AC35" s="907">
        <f t="shared" si="5"/>
        <v>1</v>
      </c>
    </row>
    <row r="36" spans="1:31" ht="15">
      <c r="A36" s="3096" t="s">
        <v>1601</v>
      </c>
      <c r="B36" s="2798" t="s">
        <v>1781</v>
      </c>
      <c r="C36" s="3108"/>
      <c r="D36" s="2897">
        <v>100</v>
      </c>
      <c r="E36" s="3108"/>
      <c r="F36" s="3732" t="e">
        <f>LOOKUP(E36,110:110,111:111)-LOOKUP(C36,110:110,111:111)+100</f>
        <v>#N/A</v>
      </c>
      <c r="G36" s="3108"/>
      <c r="H36" s="3732" t="e">
        <f>LOOKUP(G36,110:110,111:111)-LOOKUP(C36,110:110,111:111)+100</f>
        <v>#N/A</v>
      </c>
      <c r="I36" s="3121"/>
      <c r="J36" s="3732" t="e">
        <f>LOOKUP(I36,110:110,111:111)-LOOKUP(C36,110:110,111:111)+100</f>
        <v>#N/A</v>
      </c>
      <c r="K36" s="395"/>
      <c r="L36" s="1980"/>
      <c r="M36" s="1975"/>
      <c r="N36" s="1975"/>
      <c r="O36" s="2030"/>
      <c r="P36" s="4621"/>
      <c r="Q36" s="1507" t="str">
        <f>B36</f>
        <v>宗地面积</v>
      </c>
      <c r="R36" s="3760" t="s">
        <v>13</v>
      </c>
      <c r="S36" s="3762" t="e">
        <f t="shared" si="10"/>
        <v>#N/A</v>
      </c>
      <c r="T36" s="3760" t="s">
        <v>13</v>
      </c>
      <c r="U36" s="3762" t="e">
        <f t="shared" si="11"/>
        <v>#N/A</v>
      </c>
      <c r="V36" s="3760" t="s">
        <v>13</v>
      </c>
      <c r="W36" s="3762" t="e">
        <f t="shared" si="12"/>
        <v>#N/A</v>
      </c>
      <c r="X36" s="909"/>
      <c r="Y36" s="4547"/>
      <c r="Z36" s="907" t="str">
        <f t="shared" si="13"/>
        <v>宗地面积</v>
      </c>
      <c r="AA36" s="907" t="e">
        <f t="shared" si="3"/>
        <v>#N/A</v>
      </c>
      <c r="AB36" s="907" t="e">
        <f t="shared" si="4"/>
        <v>#N/A</v>
      </c>
      <c r="AC36" s="907" t="e">
        <f t="shared" si="5"/>
        <v>#N/A</v>
      </c>
    </row>
    <row r="37" spans="1:31" ht="15">
      <c r="A37" s="3107"/>
      <c r="B37" s="2789" t="s">
        <v>1782</v>
      </c>
      <c r="C37" s="2826"/>
      <c r="D37" s="2890">
        <v>100</v>
      </c>
      <c r="E37" s="2826"/>
      <c r="F37" s="3725">
        <f>SUMIF(112:112,E37,113:113)-SUMIF(112:112,C37,113:113)+100</f>
        <v>100</v>
      </c>
      <c r="G37" s="2826"/>
      <c r="H37" s="3725">
        <f>SUMIF(112:112,G37,113:113)-SUMIF(112:112,C37,113:113)+100</f>
        <v>100</v>
      </c>
      <c r="I37" s="2826"/>
      <c r="J37" s="3725">
        <f>SUMIF(112:112,I37,113:113)-SUMIF(112:112,C37,113:113)+100</f>
        <v>100</v>
      </c>
      <c r="K37" s="394"/>
      <c r="L37" s="1980"/>
      <c r="M37" s="1975"/>
      <c r="N37" s="1975"/>
      <c r="O37" s="2030"/>
      <c r="P37" s="4621"/>
      <c r="Q37" s="1507" t="str">
        <f t="shared" ref="Q37:Q42" si="14">B37</f>
        <v>宗地形状</v>
      </c>
      <c r="R37" s="3760" t="s">
        <v>13</v>
      </c>
      <c r="S37" s="3762">
        <f t="shared" si="10"/>
        <v>100</v>
      </c>
      <c r="T37" s="3760" t="s">
        <v>13</v>
      </c>
      <c r="U37" s="3762">
        <f t="shared" si="11"/>
        <v>100</v>
      </c>
      <c r="V37" s="3760" t="s">
        <v>13</v>
      </c>
      <c r="W37" s="3762">
        <f t="shared" si="12"/>
        <v>100</v>
      </c>
      <c r="X37" s="909"/>
      <c r="Y37" s="4547"/>
      <c r="Z37" s="907" t="str">
        <f t="shared" si="13"/>
        <v>宗地形状</v>
      </c>
      <c r="AA37" s="907">
        <f t="shared" si="3"/>
        <v>1</v>
      </c>
      <c r="AB37" s="907">
        <f t="shared" si="4"/>
        <v>1</v>
      </c>
      <c r="AC37" s="907">
        <f t="shared" si="5"/>
        <v>1</v>
      </c>
    </row>
    <row r="38" spans="1:31" s="46" customFormat="1" ht="15">
      <c r="A38" s="3109"/>
      <c r="B38" s="2789" t="s">
        <v>1784</v>
      </c>
      <c r="C38" s="3110"/>
      <c r="D38" s="2888">
        <v>100</v>
      </c>
      <c r="E38" s="3110"/>
      <c r="F38" s="3725">
        <f>SUMIF(114:114,E38,115:115)-SUMIF(114:114,C38,115:115)+100</f>
        <v>100</v>
      </c>
      <c r="G38" s="3110"/>
      <c r="H38" s="3725">
        <f>SUMIF(114:114,G38,115:115)-SUMIF(114:114,C38,115:115)+100</f>
        <v>100</v>
      </c>
      <c r="I38" s="3110"/>
      <c r="J38" s="3725">
        <f>SUMIF(114:114,I38,115:115)-SUMIF(114:114,C38,115:115)+100</f>
        <v>100</v>
      </c>
      <c r="K38" s="394"/>
      <c r="L38" s="1976"/>
      <c r="M38" s="1929"/>
      <c r="N38" s="1929"/>
      <c r="O38" s="2028"/>
      <c r="P38" s="4621"/>
      <c r="Q38" s="1507" t="str">
        <f t="shared" si="14"/>
        <v>宗地开发程度</v>
      </c>
      <c r="R38" s="3759" t="s">
        <v>13</v>
      </c>
      <c r="S38" s="3542">
        <f t="shared" si="10"/>
        <v>100</v>
      </c>
      <c r="T38" s="3759" t="s">
        <v>13</v>
      </c>
      <c r="U38" s="3542">
        <f t="shared" si="11"/>
        <v>100</v>
      </c>
      <c r="V38" s="3759" t="s">
        <v>13</v>
      </c>
      <c r="W38" s="3542">
        <f t="shared" si="12"/>
        <v>100</v>
      </c>
      <c r="X38" s="482"/>
      <c r="Y38" s="4547"/>
      <c r="Z38" s="28" t="str">
        <f t="shared" si="13"/>
        <v>宗地开发程度</v>
      </c>
      <c r="AA38" s="28">
        <f t="shared" si="3"/>
        <v>1</v>
      </c>
      <c r="AB38" s="28">
        <f t="shared" si="4"/>
        <v>1</v>
      </c>
      <c r="AC38" s="28">
        <f t="shared" si="5"/>
        <v>1</v>
      </c>
    </row>
    <row r="39" spans="1:31" ht="15">
      <c r="A39" s="3107"/>
      <c r="B39" s="2789" t="s">
        <v>1785</v>
      </c>
      <c r="C39" s="2826"/>
      <c r="D39" s="2890">
        <v>100</v>
      </c>
      <c r="E39" s="2826"/>
      <c r="F39" s="3725">
        <f>SUMIF(116:116,E39,117:117)-SUMIF(116:116,C39,117:117)+100</f>
        <v>100</v>
      </c>
      <c r="G39" s="2826"/>
      <c r="H39" s="3725">
        <f>SUMIF(116:116,G39,117:117)-SUMIF(116:116,C39,117:117)+100</f>
        <v>100</v>
      </c>
      <c r="I39" s="2826"/>
      <c r="J39" s="3725">
        <f>SUMIF(116:116,I39,117:117)-SUMIF(116:116,C39,117:117)+100</f>
        <v>100</v>
      </c>
      <c r="K39" s="394"/>
      <c r="L39" s="1980"/>
      <c r="M39" s="1975"/>
      <c r="N39" s="1975"/>
      <c r="O39" s="2030"/>
      <c r="P39" s="4621" t="s">
        <v>1603</v>
      </c>
      <c r="Q39" s="1507" t="str">
        <f t="shared" si="14"/>
        <v>工程地质条件</v>
      </c>
      <c r="R39" s="3760" t="s">
        <v>13</v>
      </c>
      <c r="S39" s="3762">
        <f t="shared" si="10"/>
        <v>100</v>
      </c>
      <c r="T39" s="3760" t="s">
        <v>13</v>
      </c>
      <c r="U39" s="3762">
        <f t="shared" si="11"/>
        <v>100</v>
      </c>
      <c r="V39" s="3760" t="s">
        <v>13</v>
      </c>
      <c r="W39" s="3762">
        <f t="shared" si="12"/>
        <v>100</v>
      </c>
      <c r="X39" s="909"/>
      <c r="Y39" s="4547" t="s">
        <v>1603</v>
      </c>
      <c r="Z39" s="907" t="str">
        <f t="shared" si="13"/>
        <v>工程地质条件</v>
      </c>
      <c r="AA39" s="907">
        <f t="shared" si="3"/>
        <v>1</v>
      </c>
      <c r="AB39" s="907">
        <f t="shared" si="4"/>
        <v>1</v>
      </c>
      <c r="AC39" s="907">
        <f t="shared" si="5"/>
        <v>1</v>
      </c>
    </row>
    <row r="40" spans="1:31" ht="15">
      <c r="A40" s="3107"/>
      <c r="B40" s="3103">
        <v>111</v>
      </c>
      <c r="C40" s="3101"/>
      <c r="D40" s="2890">
        <v>100</v>
      </c>
      <c r="E40" s="3101"/>
      <c r="F40" s="3725">
        <f>SUMIF(118:118,E40,119:119)-SUMIF(118:118,C40,119:119)+100</f>
        <v>100</v>
      </c>
      <c r="G40" s="3101"/>
      <c r="H40" s="3725">
        <f>SUMIF(118:118,G40,119:119)-SUMIF(118:118,C40,119:119)+100</f>
        <v>100</v>
      </c>
      <c r="I40" s="3115"/>
      <c r="J40" s="3725">
        <f>SUMIF(118:118,I40,119:119)-SUMIF(118:118,C40,119:119)+100</f>
        <v>100</v>
      </c>
      <c r="K40" s="395"/>
      <c r="L40" s="1980"/>
      <c r="M40" s="1975"/>
      <c r="N40" s="1975"/>
      <c r="O40" s="2030"/>
      <c r="P40" s="4621"/>
      <c r="Q40" s="1507">
        <f t="shared" si="14"/>
        <v>111</v>
      </c>
      <c r="R40" s="3760" t="s">
        <v>13</v>
      </c>
      <c r="S40" s="3762">
        <f t="shared" si="10"/>
        <v>100</v>
      </c>
      <c r="T40" s="3760" t="s">
        <v>13</v>
      </c>
      <c r="U40" s="3762">
        <f t="shared" si="11"/>
        <v>100</v>
      </c>
      <c r="V40" s="3760" t="s">
        <v>13</v>
      </c>
      <c r="W40" s="3762">
        <f t="shared" si="12"/>
        <v>100</v>
      </c>
      <c r="X40" s="909"/>
      <c r="Y40" s="4547"/>
      <c r="Z40" s="907">
        <f t="shared" si="13"/>
        <v>111</v>
      </c>
      <c r="AA40" s="907">
        <f t="shared" si="3"/>
        <v>1</v>
      </c>
      <c r="AB40" s="907">
        <f t="shared" si="4"/>
        <v>1</v>
      </c>
      <c r="AC40" s="907">
        <f t="shared" si="5"/>
        <v>1</v>
      </c>
    </row>
    <row r="41" spans="1:31" ht="15">
      <c r="A41" s="3107"/>
      <c r="B41" s="3103">
        <v>111</v>
      </c>
      <c r="C41" s="3101"/>
      <c r="D41" s="2890">
        <v>100</v>
      </c>
      <c r="E41" s="3101"/>
      <c r="F41" s="3725">
        <f>SUMIF(120:120,E41,121:121)-SUMIF(120:120,C41,121:121)+100</f>
        <v>100</v>
      </c>
      <c r="G41" s="3101"/>
      <c r="H41" s="3725">
        <f>SUMIF(120:120,G41,121:121)-SUMIF(120:120,C41,121:121)+100</f>
        <v>100</v>
      </c>
      <c r="I41" s="3115"/>
      <c r="J41" s="3725">
        <f>SUMIF(120:120,I41,121:121)-SUMIF(120:120,C41,121:121)+100</f>
        <v>100</v>
      </c>
      <c r="K41" s="395"/>
      <c r="L41" s="1980"/>
      <c r="M41" s="1975"/>
      <c r="N41" s="1975"/>
      <c r="O41" s="2030"/>
      <c r="P41" s="4621"/>
      <c r="Q41" s="1507">
        <f t="shared" si="14"/>
        <v>111</v>
      </c>
      <c r="R41" s="3760" t="s">
        <v>13</v>
      </c>
      <c r="S41" s="3762">
        <f t="shared" si="10"/>
        <v>100</v>
      </c>
      <c r="T41" s="3760" t="s">
        <v>13</v>
      </c>
      <c r="U41" s="3762">
        <f t="shared" si="11"/>
        <v>100</v>
      </c>
      <c r="V41" s="3760" t="s">
        <v>13</v>
      </c>
      <c r="W41" s="3762">
        <f t="shared" si="12"/>
        <v>100</v>
      </c>
      <c r="X41" s="909"/>
      <c r="Y41" s="4547"/>
      <c r="Z41" s="907">
        <f t="shared" si="13"/>
        <v>111</v>
      </c>
      <c r="AA41" s="907">
        <f t="shared" si="3"/>
        <v>1</v>
      </c>
      <c r="AB41" s="907">
        <f t="shared" si="4"/>
        <v>1</v>
      </c>
      <c r="AC41" s="907">
        <f t="shared" si="5"/>
        <v>1</v>
      </c>
    </row>
    <row r="42" spans="1:31" s="279" customFormat="1" ht="15.75" thickBot="1">
      <c r="A42" s="3111"/>
      <c r="B42" s="3103">
        <v>111</v>
      </c>
      <c r="C42" s="3112"/>
      <c r="D42" s="3113">
        <v>100</v>
      </c>
      <c r="E42" s="3101"/>
      <c r="F42" s="3727">
        <f>SUMIF(122:122,E42,123:123)-SUMIF(122:122,C42,123:123)+100</f>
        <v>100</v>
      </c>
      <c r="G42" s="3101"/>
      <c r="H42" s="3727">
        <f>SUMIF(122:122,G42,123:123)-SUMIF(122:122,C42,123:123)+100</f>
        <v>100</v>
      </c>
      <c r="I42" s="3115"/>
      <c r="J42" s="3727">
        <f>SUMIF(122:122,I42,123:123)-SUMIF(122:122,C42,123:123)+100</f>
        <v>100</v>
      </c>
      <c r="K42" s="438"/>
      <c r="L42" s="1979"/>
      <c r="M42" s="1981"/>
      <c r="N42" s="1981"/>
      <c r="O42" s="2031"/>
      <c r="P42" s="4621"/>
      <c r="Q42" s="1507">
        <f t="shared" si="14"/>
        <v>111</v>
      </c>
      <c r="R42" s="3761" t="s">
        <v>13</v>
      </c>
      <c r="S42" s="3763">
        <f t="shared" si="10"/>
        <v>100</v>
      </c>
      <c r="T42" s="3761" t="s">
        <v>13</v>
      </c>
      <c r="U42" s="3763">
        <f t="shared" si="11"/>
        <v>100</v>
      </c>
      <c r="V42" s="3761" t="s">
        <v>13</v>
      </c>
      <c r="W42" s="3763">
        <f t="shared" si="12"/>
        <v>100</v>
      </c>
      <c r="X42" s="484"/>
      <c r="Y42" s="4547"/>
      <c r="Z42" s="485">
        <f t="shared" si="13"/>
        <v>111</v>
      </c>
      <c r="AA42" s="907">
        <f t="shared" si="3"/>
        <v>1</v>
      </c>
      <c r="AB42" s="907">
        <f t="shared" si="4"/>
        <v>1</v>
      </c>
      <c r="AC42" s="907">
        <f t="shared" si="5"/>
        <v>1</v>
      </c>
    </row>
    <row r="43" spans="1:31" ht="15">
      <c r="A43" s="286" t="s">
        <v>1751</v>
      </c>
      <c r="B43" s="1430" t="s">
        <v>1829</v>
      </c>
      <c r="C43" s="439" t="s">
        <v>0</v>
      </c>
      <c r="D43" s="3176"/>
      <c r="E43" s="3205"/>
      <c r="F43" s="3153"/>
      <c r="G43" s="3206"/>
      <c r="H43" s="3154"/>
      <c r="I43" s="3205"/>
      <c r="J43" s="3154"/>
      <c r="K43" s="2862"/>
      <c r="L43" s="1982"/>
      <c r="M43" s="1975"/>
      <c r="N43" s="1975"/>
      <c r="O43" s="1975"/>
      <c r="P43" s="4549" t="str">
        <f>A43</f>
        <v>成交单价</v>
      </c>
      <c r="Q43" s="4549"/>
      <c r="R43" s="4550">
        <f>E43</f>
        <v>0</v>
      </c>
      <c r="S43" s="4550"/>
      <c r="T43" s="4550">
        <f>G43</f>
        <v>0</v>
      </c>
      <c r="U43" s="4550"/>
      <c r="V43" s="4550">
        <f>I43</f>
        <v>0</v>
      </c>
      <c r="W43" s="4550"/>
      <c r="X43" s="265"/>
      <c r="Y43" s="486"/>
      <c r="Z43" s="265"/>
      <c r="AA43" s="265"/>
      <c r="AB43" s="265"/>
      <c r="AC43" s="265"/>
    </row>
    <row r="44" spans="1:31" ht="15.75" thickBot="1">
      <c r="A44" s="289" t="s">
        <v>1700</v>
      </c>
      <c r="B44" s="440"/>
      <c r="C44" s="3744" t="e">
        <f>R45</f>
        <v>#DIV/0!</v>
      </c>
      <c r="D44" s="3849" t="s">
        <v>2041</v>
      </c>
      <c r="E44" s="3744" t="e">
        <f>R44</f>
        <v>#DIV/0!</v>
      </c>
      <c r="F44" s="2801"/>
      <c r="G44" s="3733" t="e">
        <f>T44</f>
        <v>#DIV/0!</v>
      </c>
      <c r="H44" s="2801"/>
      <c r="I44" s="3744" t="e">
        <f>V44</f>
        <v>#DIV/0!</v>
      </c>
      <c r="J44" s="2801"/>
      <c r="K44" s="2855">
        <f>F44+H44+J44</f>
        <v>0</v>
      </c>
      <c r="L44" s="1982"/>
      <c r="M44" s="1975"/>
      <c r="N44" s="1975"/>
      <c r="O44" s="1975"/>
      <c r="P44" s="4549" t="str">
        <f>A44</f>
        <v>比较价值（元/平方米）</v>
      </c>
      <c r="Q44" s="4549"/>
      <c r="R44" s="4550" t="e">
        <f>ROUND(PRODUCT(R43,AA9:AA42),0)</f>
        <v>#DIV/0!</v>
      </c>
      <c r="S44" s="4550"/>
      <c r="T44" s="4550" t="e">
        <f>ROUND(PRODUCT(T43,AB9:AB42),0)</f>
        <v>#DIV/0!</v>
      </c>
      <c r="U44" s="4550"/>
      <c r="V44" s="4550" t="e">
        <f>ROUND(PRODUCT(V43,AC9:AC42),0)</f>
        <v>#DIV/0!</v>
      </c>
      <c r="W44" s="4550"/>
      <c r="X44" s="265"/>
      <c r="Y44" s="265"/>
      <c r="Z44" s="265"/>
      <c r="AA44" s="265"/>
      <c r="AB44" s="265"/>
      <c r="AC44" s="265"/>
    </row>
    <row r="45" spans="1:31" ht="15.75" thickBot="1">
      <c r="A45" s="291" t="s">
        <v>1701</v>
      </c>
      <c r="B45" s="292"/>
      <c r="C45" s="3745" t="e">
        <f>R45</f>
        <v>#DIV/0!</v>
      </c>
      <c r="D45" s="3155"/>
      <c r="E45" s="3155"/>
      <c r="F45" s="3155"/>
      <c r="G45" s="3155"/>
      <c r="H45" s="3155"/>
      <c r="I45" s="3155"/>
      <c r="J45" s="3155"/>
      <c r="K45" s="3177"/>
      <c r="L45" s="1982"/>
      <c r="M45" s="1975"/>
      <c r="N45" s="1975"/>
      <c r="O45" s="1975"/>
      <c r="P45" s="4551" t="str">
        <f>A45</f>
        <v>估价对象XX用房的比较价值（楼面单价，元/平方米）</v>
      </c>
      <c r="Q45" s="4552"/>
      <c r="R45" s="4553" t="e">
        <f>ROUND(IF(D44="简单平均",AVERAGE(R44:W44),R44*F44+T44*H44+V44*J44),0)</f>
        <v>#DIV/0!</v>
      </c>
      <c r="S45" s="4553"/>
      <c r="T45" s="4553"/>
      <c r="U45" s="4553"/>
      <c r="V45" s="4553"/>
      <c r="W45" s="4553"/>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603" t="s">
        <v>1794</v>
      </c>
      <c r="H52" s="4635"/>
      <c r="I52" s="3030" t="s">
        <v>1830</v>
      </c>
      <c r="J52" s="3030">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3" t="e">
        <f>C45</f>
        <v>#DIV/0!</v>
      </c>
      <c r="C53" s="3088">
        <v>1</v>
      </c>
      <c r="D53" s="3065">
        <v>1</v>
      </c>
      <c r="E53" s="3064">
        <f>'数据-汇总表'!E8+'数据-汇总表'!E9</f>
        <v>0</v>
      </c>
      <c r="F53" s="3067" t="e">
        <f t="shared" ref="F53:F62" si="15">ROUND(B53*E53/10000,0)</f>
        <v>#DIV/0!</v>
      </c>
      <c r="G53" s="4636"/>
      <c r="H53" s="4623"/>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3" t="e">
        <f>ROUND($C$45*C54*D54,0)</f>
        <v>#DIV/0!</v>
      </c>
      <c r="C54" s="3063">
        <f t="shared" ref="C54:C62" si="16">IF($C$52="北京市系数",I54,J54)</f>
        <v>0.7</v>
      </c>
      <c r="D54" s="3066">
        <v>0.25</v>
      </c>
      <c r="E54" s="3068"/>
      <c r="F54" s="3067" t="e">
        <f t="shared" si="15"/>
        <v>#DIV/0!</v>
      </c>
      <c r="G54" s="3075" t="s">
        <v>1799</v>
      </c>
      <c r="H54" s="3072" t="str">
        <f>项目基本情况!B37</f>
        <v>二级</v>
      </c>
      <c r="I54" s="2731">
        <f>SUMIF(修正!A59:A70,H54,修正!B59:B70)</f>
        <v>0.7</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3" t="e">
        <f t="shared" ref="B55:B62" si="17">ROUND($C$45*C55*D55,0)</f>
        <v>#DIV/0!</v>
      </c>
      <c r="C55" s="3063">
        <f t="shared" si="16"/>
        <v>0.4</v>
      </c>
      <c r="D55" s="3066">
        <v>0.25</v>
      </c>
      <c r="E55" s="3068"/>
      <c r="F55" s="3067" t="e">
        <f t="shared" si="15"/>
        <v>#DIV/0!</v>
      </c>
      <c r="G55" s="3076"/>
      <c r="H55" s="3072" t="str">
        <f>项目基本情况!B37</f>
        <v>二级</v>
      </c>
      <c r="I55" s="2731">
        <f>SUMIF(修正!A59:A70,H55,修正!C59:C70)</f>
        <v>0.4</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3" t="e">
        <f t="shared" si="17"/>
        <v>#DIV/0!</v>
      </c>
      <c r="C56" s="3063">
        <f t="shared" si="16"/>
        <v>0.3</v>
      </c>
      <c r="D56" s="3066">
        <v>0.25</v>
      </c>
      <c r="E56" s="3068"/>
      <c r="F56" s="3067" t="e">
        <f t="shared" si="15"/>
        <v>#DIV/0!</v>
      </c>
      <c r="G56" s="3076"/>
      <c r="H56" s="3072" t="str">
        <f>项目基本情况!B37</f>
        <v>二级</v>
      </c>
      <c r="I56" s="2731">
        <f>SUMIF(修正!A59:A70,H56,修正!D59:D70)</f>
        <v>0.3</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3"/>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3" t="e">
        <f t="shared" si="17"/>
        <v>#DIV/0!</v>
      </c>
      <c r="C58" s="3063">
        <f t="shared" si="16"/>
        <v>0</v>
      </c>
      <c r="D58" s="3066">
        <v>0.25</v>
      </c>
      <c r="E58" s="3069">
        <f>'数据-汇总表'!E11</f>
        <v>0</v>
      </c>
      <c r="F58" s="3067" t="e">
        <f t="shared" si="15"/>
        <v>#DIV/0!</v>
      </c>
      <c r="G58" s="3078" t="s">
        <v>1803</v>
      </c>
      <c r="H58" s="3072">
        <f>项目基本情况!C37</f>
        <v>0</v>
      </c>
      <c r="I58" s="2731">
        <f>SUMIF(修正!A59:A70,H58,修正!E59:E70)</f>
        <v>0</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3" t="e">
        <f t="shared" si="17"/>
        <v>#DIV/0!</v>
      </c>
      <c r="C59" s="3063">
        <f t="shared" si="16"/>
        <v>0</v>
      </c>
      <c r="D59" s="3066">
        <v>0.25</v>
      </c>
      <c r="E59" s="3069">
        <f>'数据-汇总表'!E12</f>
        <v>0</v>
      </c>
      <c r="F59" s="3067" t="e">
        <f t="shared" si="15"/>
        <v>#DIV/0!</v>
      </c>
      <c r="G59" s="3079" t="s">
        <v>1805</v>
      </c>
      <c r="H59" s="3072">
        <f>IF(G59="商业",项目基本情况!B37,IF(G59="办公",项目基本情况!C37,IF(G59="住宅",项目基本情况!D37,项目基本情况!E37)))</f>
        <v>0</v>
      </c>
      <c r="I59" s="2731">
        <f>SUMIF(修正!A59:A70,H59,修正!F59:F70)</f>
        <v>0</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3" t="e">
        <f t="shared" si="17"/>
        <v>#DIV/0!</v>
      </c>
      <c r="C60" s="3063">
        <f t="shared" si="16"/>
        <v>0</v>
      </c>
      <c r="D60" s="3066">
        <v>0.25</v>
      </c>
      <c r="E60" s="3069">
        <f>'数据-汇总表'!E13</f>
        <v>0</v>
      </c>
      <c r="F60" s="3067" t="e">
        <f t="shared" si="15"/>
        <v>#DIV/0!</v>
      </c>
      <c r="G60" s="3079" t="s">
        <v>1807</v>
      </c>
      <c r="H60" s="3072">
        <f>IF(G60="商业",项目基本情况!B37,IF(G60="办公",项目基本情况!C37,IF(G60="住宅",项目基本情况!D37,项目基本情况!E37)))</f>
        <v>0</v>
      </c>
      <c r="I60" s="2731">
        <f>SUMIF(修正!A59:A70,H60,修正!G59:G70)</f>
        <v>0</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3" t="e">
        <f t="shared" si="17"/>
        <v>#DIV/0!</v>
      </c>
      <c r="C61" s="3063">
        <f t="shared" si="16"/>
        <v>0.2</v>
      </c>
      <c r="D61" s="3066">
        <v>0.25</v>
      </c>
      <c r="E61" s="3069">
        <f>'数据-汇总表'!E14</f>
        <v>0</v>
      </c>
      <c r="F61" s="3067" t="e">
        <f t="shared" si="15"/>
        <v>#DIV/0!</v>
      </c>
      <c r="G61" s="3078" t="s">
        <v>1799</v>
      </c>
      <c r="H61" s="3072" t="str">
        <f>项目基本情况!B37</f>
        <v>二级</v>
      </c>
      <c r="I61" s="2731">
        <f>SUMIF(修正!A59:A70,H61,修正!G59:G70)</f>
        <v>0.2</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73" t="e">
        <f t="shared" si="17"/>
        <v>#DIV/0!</v>
      </c>
      <c r="C62" s="3063">
        <f t="shared" si="16"/>
        <v>0</v>
      </c>
      <c r="D62" s="3066">
        <v>0.25</v>
      </c>
      <c r="E62" s="3069">
        <f>'数据-汇总表'!E15</f>
        <v>0</v>
      </c>
      <c r="F62" s="3067" t="e">
        <f t="shared" si="15"/>
        <v>#DIV/0!</v>
      </c>
      <c r="G62" s="3080" t="s">
        <v>1803</v>
      </c>
      <c r="H62" s="3074">
        <f>项目基本情况!C37</f>
        <v>0</v>
      </c>
      <c r="I62" s="2731">
        <f>SUMIF(修正!A59:A70,H62,修正!G59:G70)</f>
        <v>0</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70">
        <f>IF(B43="楼面地价",SUM(E53:E62),'数据-汇总表'!D3)</f>
        <v>0</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23">
        <f ca="1">IF(D2="含税",C37,C36)</f>
        <v>64</v>
      </c>
      <c r="C2" s="171" t="s">
        <v>1531</v>
      </c>
      <c r="D2" s="3325"/>
      <c r="E2" s="2045"/>
      <c r="G2" s="2045"/>
      <c r="H2" s="2045"/>
      <c r="I2" s="2045"/>
      <c r="J2" s="2045"/>
      <c r="K2" s="2045"/>
    </row>
    <row r="3" spans="1:33" ht="18" customHeight="1">
      <c r="A3" s="98" t="s">
        <v>1433</v>
      </c>
      <c r="B3" s="2523">
        <f ca="1">ROUND(B2*10000/IF(C1="",'数据-汇总表'!E3,INDIRECT("'数据-取费表'!K"&amp;$K$1)),0)</f>
        <v>4611</v>
      </c>
      <c r="C3" s="171" t="s">
        <v>1532</v>
      </c>
      <c r="E3" s="514"/>
      <c r="I3" s="2045"/>
      <c r="J3" s="2045"/>
      <c r="K3" s="2045"/>
    </row>
    <row r="4" spans="1:33" ht="18" customHeight="1">
      <c r="A4" s="3378" t="s">
        <v>3617</v>
      </c>
      <c r="B4" s="3383" t="e">
        <f ca="1">ROUND(B2*10000/IF(C1="",'数据-汇总表'!D3,INDIRECT("'数据-取费表'!R"&amp;$K$1)),0)</f>
        <v>#DIV/0!</v>
      </c>
      <c r="C4" s="3382" t="s">
        <v>1532</v>
      </c>
      <c r="E4" s="514"/>
      <c r="I4" s="2045"/>
      <c r="J4" s="2045"/>
      <c r="K4" s="2045"/>
    </row>
    <row r="5" spans="1:33" ht="18" customHeight="1" thickBot="1">
      <c r="A5" s="94"/>
      <c r="B5" s="3379" t="e">
        <f ca="1">ROUND(B2/(IF(C1="",'数据-汇总表'!D3,INDIRECT("'数据-取费表'!R"&amp;$K$1))/666.67),0)</f>
        <v>#DIV/0!</v>
      </c>
      <c r="C5" s="3381" t="s">
        <v>3615</v>
      </c>
      <c r="E5" s="514"/>
      <c r="I5" s="2045"/>
      <c r="J5" s="2045"/>
      <c r="K5" s="2045"/>
    </row>
    <row r="6" spans="1:33" s="515" customFormat="1" ht="16.5" customHeight="1">
      <c r="A6" s="2653" t="s">
        <v>3364</v>
      </c>
      <c r="B6" s="2652"/>
      <c r="C6" s="4641" t="s">
        <v>3366</v>
      </c>
      <c r="D6" s="4641"/>
      <c r="E6" s="4641"/>
      <c r="F6" s="4641"/>
      <c r="G6" s="4641"/>
      <c r="H6" s="4641"/>
      <c r="I6" s="4641"/>
      <c r="J6" s="4641"/>
      <c r="K6" s="4642"/>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3945</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3946</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3948</v>
      </c>
      <c r="B10" s="4074" t="s">
        <v>3947</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45" t="s">
        <v>3379</v>
      </c>
      <c r="B11" s="4646"/>
      <c r="C11" s="4646"/>
      <c r="D11" s="4646"/>
      <c r="E11" s="4646"/>
      <c r="F11" s="4646"/>
      <c r="G11" s="4646"/>
      <c r="H11" s="4646"/>
      <c r="I11" s="4646"/>
      <c r="J11" s="4646"/>
      <c r="K11" s="4647"/>
    </row>
    <row r="12" spans="1:33" s="4071" customFormat="1" ht="13.5" customHeight="1">
      <c r="A12" s="3211" t="s">
        <v>3499</v>
      </c>
      <c r="B12" s="4068" t="s">
        <v>1537</v>
      </c>
      <c r="C12" s="4072" t="s">
        <v>3944</v>
      </c>
      <c r="D12" s="4068" t="s">
        <v>1539</v>
      </c>
      <c r="E12" s="4068" t="s">
        <v>1540</v>
      </c>
      <c r="F12" s="4068" t="s">
        <v>1541</v>
      </c>
      <c r="G12" s="4069" t="s">
        <v>3390</v>
      </c>
      <c r="H12" s="4068"/>
      <c r="I12" s="4068"/>
      <c r="J12" s="4068"/>
      <c r="K12" s="4070"/>
    </row>
    <row r="13" spans="1:33" s="521" customFormat="1" ht="13.5" customHeight="1">
      <c r="A13" s="2493">
        <v>1</v>
      </c>
      <c r="B13" s="2677" t="s">
        <v>3365</v>
      </c>
      <c r="C13" s="2662">
        <f>SUM(C10:K10)</f>
        <v>0</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7" t="s">
        <v>3655</v>
      </c>
      <c r="H14" s="25"/>
      <c r="I14" s="25"/>
      <c r="J14" s="25"/>
      <c r="K14" s="27"/>
    </row>
    <row r="15" spans="1:33" s="523" customFormat="1" ht="13.5" customHeight="1">
      <c r="A15" s="2493">
        <v>3</v>
      </c>
      <c r="B15" s="2655" t="s">
        <v>3367</v>
      </c>
      <c r="C15" s="2663">
        <f ca="1">SUM(C16:C19)+C25+C26</f>
        <v>-53.9039</v>
      </c>
      <c r="D15" s="530"/>
      <c r="E15" s="173"/>
      <c r="F15" s="2663"/>
      <c r="G15" s="2715" t="s">
        <v>3656</v>
      </c>
      <c r="H15" s="55"/>
      <c r="I15" s="55"/>
      <c r="J15" s="55"/>
      <c r="K15" s="2680"/>
    </row>
    <row r="16" spans="1:33" s="523" customFormat="1" ht="13.5" customHeight="1">
      <c r="A16" s="519" t="s">
        <v>355</v>
      </c>
      <c r="B16" s="2694" t="s">
        <v>3380</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1535</v>
      </c>
      <c r="B17" s="2694" t="s">
        <v>3381</v>
      </c>
      <c r="C17" s="2702">
        <f ca="1">ROUND(C16*F17,0)</f>
        <v>0</v>
      </c>
      <c r="D17" s="522"/>
      <c r="E17" s="55"/>
      <c r="F17" s="2671">
        <f>'数据-取费表'!B33</f>
        <v>7.0000000000000007E-2</v>
      </c>
      <c r="G17" s="3409" t="s">
        <v>3666</v>
      </c>
      <c r="H17" s="2678"/>
      <c r="I17" s="2678"/>
      <c r="J17" s="2678"/>
      <c r="K17" s="2679"/>
    </row>
    <row r="18" spans="1:33" s="523" customFormat="1" ht="13.5" customHeight="1">
      <c r="A18" s="519" t="s">
        <v>1536</v>
      </c>
      <c r="B18" s="2694" t="s">
        <v>3382</v>
      </c>
      <c r="C18" s="2702">
        <f ca="1">ROUND(IF(C1="",SUMIF('数据-取费表'!C:C,"住宅",'数据-取费表'!P:P)*F18,IF(INDIRECT("'数据-取费表'!c"&amp;$K$1)="住宅",INDIRECT("'数据-取费表'!P"&amp;$K$1)*F18,0)),0)</f>
        <v>0</v>
      </c>
      <c r="D18" s="539"/>
      <c r="E18" s="55"/>
      <c r="F18" s="2671">
        <f>'数据-取费表'!B34</f>
        <v>0</v>
      </c>
      <c r="G18" s="2678" t="s">
        <v>1542</v>
      </c>
      <c r="H18" s="2678"/>
      <c r="I18" s="2678"/>
      <c r="J18" s="2678"/>
      <c r="K18" s="2679"/>
    </row>
    <row r="19" spans="1:33" s="523" customFormat="1" ht="13.5" customHeight="1">
      <c r="A19" s="519" t="s">
        <v>3369</v>
      </c>
      <c r="B19" s="2694" t="s">
        <v>3383</v>
      </c>
      <c r="C19" s="2702">
        <f ca="1">C20+C23+C24</f>
        <v>-53.9039</v>
      </c>
      <c r="D19" s="539"/>
      <c r="E19" s="55"/>
      <c r="F19" s="2671"/>
      <c r="G19" s="2678"/>
      <c r="H19" s="2678"/>
      <c r="I19" s="2678"/>
      <c r="J19" s="2678"/>
      <c r="K19" s="2679"/>
    </row>
    <row r="20" spans="1:33" s="523" customFormat="1" ht="13.5" customHeight="1">
      <c r="A20" s="2656" t="s">
        <v>3372</v>
      </c>
      <c r="B20" s="2681" t="s">
        <v>1547</v>
      </c>
      <c r="C20" s="2702">
        <f ca="1">C21+C22-IF(C1="",'数据-取费表'!B29,IF(G20="已全部缴纳",C21+C22,H20))</f>
        <v>-53.9039</v>
      </c>
      <c r="D20" s="539"/>
      <c r="E20" s="12"/>
      <c r="F20" s="2672"/>
      <c r="G20" s="2682"/>
      <c r="H20" s="2683"/>
      <c r="I20" s="2684" t="s">
        <v>1548</v>
      </c>
      <c r="J20" s="55"/>
      <c r="K20" s="2680"/>
    </row>
    <row r="21" spans="1:33" s="523" customFormat="1" ht="13.5" customHeight="1">
      <c r="A21" s="2696" t="s">
        <v>3375</v>
      </c>
      <c r="B21" s="2697" t="s">
        <v>3386</v>
      </c>
      <c r="C21" s="2703">
        <f ca="1">ROUND(D21*E21/10000,0)</f>
        <v>0</v>
      </c>
      <c r="D21" s="2705">
        <f ca="1">IF(C1="",'数据-汇总表'!E5,IF(INDIRECT("'数据-取费表'!c"&amp;$K$1)="住宅",INDIRECT("'数据-取费表'!k"&amp;$K$1),0))</f>
        <v>0</v>
      </c>
      <c r="E21" s="2703">
        <f>'数据-取费表'!B27</f>
        <v>160</v>
      </c>
      <c r="F21" s="2698"/>
      <c r="G21" s="186"/>
      <c r="H21" s="186"/>
      <c r="I21" s="186"/>
      <c r="J21" s="186"/>
      <c r="K21" s="1868"/>
    </row>
    <row r="22" spans="1:33" s="523" customFormat="1" ht="13.5" customHeight="1">
      <c r="A22" s="2696" t="s">
        <v>3376</v>
      </c>
      <c r="B22" s="2697" t="s">
        <v>3387</v>
      </c>
      <c r="C22" s="2703">
        <f ca="1">ROUND(D22*E22/10000,0)</f>
        <v>3</v>
      </c>
      <c r="D22" s="2705">
        <f ca="1">IF(C1="",'数据-汇总表'!E6,IF(INDIRECT("'数据-取费表'!c"&amp;$K$1)="住宅",INDIRECT("'数据-取费表'!s"&amp;$K$1),INDIRECT("'数据-取费表'!k"&amp;$K$1)+INDIRECT("'数据-取费表'!s"&amp;$K$1)))</f>
        <v>138.79</v>
      </c>
      <c r="E22" s="2703">
        <f>'数据-取费表'!B28</f>
        <v>200</v>
      </c>
      <c r="F22" s="2698"/>
      <c r="G22" s="186"/>
      <c r="H22" s="186"/>
      <c r="I22" s="186"/>
      <c r="J22" s="186"/>
      <c r="K22" s="1868"/>
    </row>
    <row r="23" spans="1:33" s="524" customFormat="1" ht="13.5" customHeight="1">
      <c r="A23" s="2656" t="s">
        <v>3373</v>
      </c>
      <c r="B23" s="2681" t="s">
        <v>1543</v>
      </c>
      <c r="C23" s="2702">
        <f ca="1">ROUND(D23*E23*F16/10000,0)</f>
        <v>0</v>
      </c>
      <c r="D23" s="2706">
        <f ca="1">IF(C1="",'数据-汇总表'!E3,INDIRECT("'数据-取费表'!K"&amp;$K$1)+INDIRECT("'数据-取费表'!S"&amp;$K$1))</f>
        <v>138.79</v>
      </c>
      <c r="E23" s="2702">
        <f>'数据-取费表'!B35</f>
        <v>300</v>
      </c>
      <c r="F23" s="2672"/>
      <c r="G23" s="2677" t="s">
        <v>3657</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3374</v>
      </c>
      <c r="B24" s="2681" t="s">
        <v>1545</v>
      </c>
      <c r="C24" s="2702">
        <f ca="1">ROUND(D24*E24/10000,0)</f>
        <v>0</v>
      </c>
      <c r="D24" s="2706">
        <f ca="1">D23</f>
        <v>138.79</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3370</v>
      </c>
      <c r="B25" s="2695" t="s">
        <v>3384</v>
      </c>
      <c r="C25" s="2666">
        <f ca="1">ROUND(C16*F25,0)</f>
        <v>0</v>
      </c>
      <c r="D25" s="2657"/>
      <c r="E25" s="2658"/>
      <c r="F25" s="2671">
        <f>'数据-取费表'!B36</f>
        <v>0.01</v>
      </c>
      <c r="G25" s="2657"/>
      <c r="H25" s="2657"/>
      <c r="I25" s="2657"/>
      <c r="J25" s="2657"/>
      <c r="K25" s="2685"/>
    </row>
    <row r="26" spans="1:33" s="524" customFormat="1" ht="13.5" customHeight="1">
      <c r="A26" s="2654" t="s">
        <v>3371</v>
      </c>
      <c r="B26" s="2694" t="s">
        <v>3385</v>
      </c>
      <c r="C26" s="2667">
        <f ca="1">ROUND(C16*F26,0)</f>
        <v>0</v>
      </c>
      <c r="D26" s="525"/>
      <c r="E26" s="529"/>
      <c r="F26" s="2671">
        <f>'数据-取费表'!B37</f>
        <v>0</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-1</v>
      </c>
      <c r="D27" s="173"/>
      <c r="E27" s="173"/>
      <c r="F27" s="2670">
        <f>'数据-取费表'!B38</f>
        <v>0.02</v>
      </c>
      <c r="G27" s="2678" t="s">
        <v>1550</v>
      </c>
      <c r="H27" s="2678"/>
      <c r="I27" s="2678"/>
      <c r="J27" s="2678"/>
      <c r="K27" s="2679"/>
    </row>
    <row r="28" spans="1:33" s="523" customFormat="1" ht="13.5" customHeight="1">
      <c r="A28" s="2493">
        <v>5</v>
      </c>
      <c r="B28" s="530" t="s">
        <v>1551</v>
      </c>
      <c r="C28" s="2663">
        <f ca="1">ROUND(C13*F28*F16,0)</f>
        <v>0</v>
      </c>
      <c r="D28" s="173"/>
      <c r="E28" s="173"/>
      <c r="F28" s="2670">
        <f>'数据-取费表'!B39</f>
        <v>0.02</v>
      </c>
      <c r="G28" s="2678" t="s">
        <v>3658</v>
      </c>
      <c r="H28" s="2678"/>
      <c r="I28" s="2678"/>
      <c r="J28" s="2678"/>
      <c r="K28" s="2679"/>
    </row>
    <row r="29" spans="1:33" s="523" customFormat="1" ht="13.5" customHeight="1">
      <c r="A29" s="2493">
        <v>6</v>
      </c>
      <c r="B29" s="2655" t="s">
        <v>3368</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3388</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ROUND(C13*F32/(1+'数据-取费表'!C43),0)</f>
        <v>0</v>
      </c>
      <c r="D32" s="2678"/>
      <c r="E32" s="2690"/>
      <c r="F32" s="2687"/>
      <c r="G32" s="4643" t="s">
        <v>3378</v>
      </c>
      <c r="H32" s="4643"/>
      <c r="I32" s="4643"/>
      <c r="J32" s="4643"/>
      <c r="K32" s="4644"/>
    </row>
    <row r="33" spans="1:11" s="176" customFormat="1" ht="13.5" customHeight="1">
      <c r="A33" s="2493">
        <v>8</v>
      </c>
      <c r="B33" s="2659" t="s">
        <v>1554</v>
      </c>
      <c r="C33" s="2704" t="str">
        <f ca="1">C35&amp;"+"&amp;C34&amp;"V"</f>
        <v>-11+0V</v>
      </c>
      <c r="D33" s="172"/>
      <c r="E33" s="173"/>
      <c r="F33" s="2674">
        <f ca="1">IF(C1="",'数据-取费表'!Q16,INDIRECT("'数据-取费表'!q"&amp;$K$1))</f>
        <v>0.2</v>
      </c>
      <c r="G33" s="25"/>
      <c r="H33" s="25"/>
      <c r="I33" s="25"/>
      <c r="J33" s="25"/>
      <c r="K33" s="27"/>
    </row>
    <row r="34" spans="1:11" s="177" customFormat="1" ht="13.5" customHeight="1">
      <c r="A34" s="2700" t="s">
        <v>355</v>
      </c>
      <c r="B34" s="2681" t="s">
        <v>1555</v>
      </c>
      <c r="C34" s="2668">
        <f ca="1">ROUND((1+F14)*F33*'数据-取费表'!B24/'数据-取费表'!B22,4)</f>
        <v>0</v>
      </c>
      <c r="D34" s="174"/>
      <c r="E34" s="525"/>
      <c r="F34" s="2673"/>
      <c r="G34" s="55" t="s">
        <v>1556</v>
      </c>
      <c r="H34" s="55"/>
      <c r="I34" s="55"/>
      <c r="J34" s="55"/>
      <c r="K34" s="2680"/>
    </row>
    <row r="35" spans="1:11" s="177" customFormat="1" ht="13.5" customHeight="1">
      <c r="A35" s="2700" t="s">
        <v>1535</v>
      </c>
      <c r="B35" s="2681" t="s">
        <v>3388</v>
      </c>
      <c r="C35" s="2669">
        <f ca="1">ROUND((C15+C27+C28)*F33,0)</f>
        <v>-11</v>
      </c>
      <c r="D35" s="174"/>
      <c r="E35" s="525"/>
      <c r="F35" s="2673"/>
      <c r="G35" s="55"/>
      <c r="H35" s="55"/>
      <c r="I35" s="55"/>
      <c r="J35" s="55"/>
      <c r="K35" s="2680"/>
    </row>
    <row r="36" spans="1:11" s="521" customFormat="1" ht="15">
      <c r="A36" s="2493">
        <v>9</v>
      </c>
      <c r="B36" s="2677" t="s">
        <v>3377</v>
      </c>
      <c r="C36" s="2662">
        <f ca="1">ROUND((C13-C15-C27-C28-C31-C35-C32)/(1+F14+C30+C34),0)</f>
        <v>64</v>
      </c>
      <c r="D36" s="2678"/>
      <c r="E36" s="2678"/>
      <c r="F36" s="172"/>
      <c r="G36" s="2711" t="s">
        <v>3389</v>
      </c>
      <c r="H36" s="2678"/>
      <c r="I36" s="2678"/>
      <c r="J36" s="2678"/>
      <c r="K36" s="2679"/>
    </row>
    <row r="37" spans="1:11" s="2788" customFormat="1" ht="15.75" thickBot="1">
      <c r="A37" s="2691">
        <v>10</v>
      </c>
      <c r="B37" s="2692" t="s">
        <v>3464</v>
      </c>
      <c r="C37" s="2785">
        <f ca="1">ROUND(C36*(1+F37),0)</f>
        <v>70</v>
      </c>
      <c r="D37" s="2786"/>
      <c r="E37" s="2787"/>
      <c r="F37" s="2693">
        <v>0.09</v>
      </c>
      <c r="G37" s="2677" t="s">
        <v>3465</v>
      </c>
      <c r="H37" s="2678"/>
      <c r="I37" s="2678"/>
      <c r="J37" s="2678"/>
      <c r="K37" s="2679"/>
    </row>
    <row r="38" spans="1:11" ht="12.75" customHeight="1"/>
    <row r="44" spans="1:11" s="3209" customFormat="1" ht="19.5" thickBot="1">
      <c r="A44" s="3214" t="s">
        <v>3472</v>
      </c>
      <c r="B44" s="1861"/>
      <c r="C44" s="3215"/>
      <c r="D44" s="1861"/>
      <c r="E44" s="1861"/>
      <c r="F44" s="1861"/>
      <c r="G44" s="1861"/>
    </row>
    <row r="45" spans="1:11" s="3209" customFormat="1" ht="15">
      <c r="A45" s="3211" t="s">
        <v>3499</v>
      </c>
      <c r="B45" s="2675" t="s">
        <v>1537</v>
      </c>
      <c r="C45" s="2676" t="s">
        <v>1538</v>
      </c>
      <c r="D45" s="1164" t="s">
        <v>1539</v>
      </c>
      <c r="E45" s="1164" t="s">
        <v>1540</v>
      </c>
      <c r="F45" s="1164" t="s">
        <v>1541</v>
      </c>
      <c r="G45" s="2712" t="s">
        <v>3390</v>
      </c>
    </row>
    <row r="46" spans="1:11" s="3209" customFormat="1">
      <c r="A46" s="626">
        <v>1</v>
      </c>
      <c r="B46" s="2695" t="s">
        <v>3473</v>
      </c>
      <c r="C46" s="2666">
        <f>C13</f>
        <v>0</v>
      </c>
      <c r="D46" s="626"/>
      <c r="E46" s="626"/>
      <c r="F46" s="626"/>
      <c r="G46" s="626"/>
    </row>
    <row r="47" spans="1:11" s="3209" customFormat="1">
      <c r="A47" s="626">
        <v>2</v>
      </c>
      <c r="B47" s="2695" t="s">
        <v>3475</v>
      </c>
      <c r="C47" s="2666" t="str">
        <f>C14</f>
        <v>0.0305V</v>
      </c>
      <c r="D47" s="626"/>
      <c r="E47" s="626"/>
      <c r="F47" s="626"/>
      <c r="G47" s="626"/>
    </row>
    <row r="48" spans="1:11" s="3209" customFormat="1">
      <c r="A48" s="626">
        <v>3</v>
      </c>
      <c r="B48" s="2695" t="s">
        <v>3474</v>
      </c>
      <c r="C48" s="2666" t="e">
        <f ca="1">C49+C59+C60+C63</f>
        <v>#VALUE!</v>
      </c>
      <c r="D48" s="626"/>
      <c r="E48" s="626"/>
      <c r="F48" s="626"/>
      <c r="G48" s="626"/>
    </row>
    <row r="49" spans="1:7" s="3209" customFormat="1">
      <c r="A49" s="3212" t="s">
        <v>355</v>
      </c>
      <c r="B49" s="2695" t="s">
        <v>3484</v>
      </c>
      <c r="C49" s="2666">
        <f ca="1">C50+C51+C52+C53+C57+C58</f>
        <v>-53.9039</v>
      </c>
      <c r="D49" s="626"/>
      <c r="E49" s="626"/>
      <c r="F49" s="626"/>
      <c r="G49" s="626"/>
    </row>
    <row r="50" spans="1:7" s="3209" customFormat="1">
      <c r="A50" s="3213" t="s">
        <v>3485</v>
      </c>
      <c r="B50" s="2695" t="s">
        <v>3489</v>
      </c>
      <c r="C50" s="2666">
        <f ca="1">C16</f>
        <v>0</v>
      </c>
      <c r="D50" s="626"/>
      <c r="E50" s="626"/>
      <c r="F50" s="626"/>
      <c r="G50" s="626"/>
    </row>
    <row r="51" spans="1:7" s="3209" customFormat="1">
      <c r="A51" s="3213" t="s">
        <v>3500</v>
      </c>
      <c r="B51" s="626" t="s">
        <v>3486</v>
      </c>
      <c r="C51" s="2666">
        <f t="shared" ref="C51:C53" ca="1" si="0">C17</f>
        <v>0</v>
      </c>
      <c r="D51" s="626"/>
      <c r="E51" s="626"/>
      <c r="F51" s="626"/>
      <c r="G51" s="626"/>
    </row>
    <row r="52" spans="1:7" s="3209" customFormat="1">
      <c r="A52" s="3213" t="s">
        <v>3501</v>
      </c>
      <c r="B52" s="626" t="s">
        <v>3487</v>
      </c>
      <c r="C52" s="2666">
        <f t="shared" ca="1" si="0"/>
        <v>0</v>
      </c>
      <c r="D52" s="626"/>
      <c r="E52" s="626"/>
      <c r="F52" s="626"/>
      <c r="G52" s="626"/>
    </row>
    <row r="53" spans="1:7" s="3209" customFormat="1">
      <c r="A53" s="3213" t="s">
        <v>3502</v>
      </c>
      <c r="B53" s="626" t="s">
        <v>3488</v>
      </c>
      <c r="C53" s="2666">
        <f t="shared" ca="1" si="0"/>
        <v>-53.9039</v>
      </c>
      <c r="D53" s="626"/>
      <c r="E53" s="626"/>
      <c r="F53" s="626"/>
      <c r="G53" s="626"/>
    </row>
    <row r="54" spans="1:7" s="3209" customFormat="1">
      <c r="A54" s="3404" t="s">
        <v>3375</v>
      </c>
      <c r="B54" s="3405" t="s">
        <v>3492</v>
      </c>
      <c r="C54" s="3406">
        <f ca="1">C20</f>
        <v>-53.9039</v>
      </c>
      <c r="D54" s="626"/>
      <c r="E54" s="626"/>
      <c r="F54" s="626"/>
      <c r="G54" s="626"/>
    </row>
    <row r="55" spans="1:7" s="3209" customFormat="1">
      <c r="A55" s="3404" t="s">
        <v>3376</v>
      </c>
      <c r="B55" s="3405" t="s">
        <v>3493</v>
      </c>
      <c r="C55" s="3406">
        <f ca="1">C23</f>
        <v>0</v>
      </c>
      <c r="D55" s="626"/>
      <c r="E55" s="626"/>
      <c r="F55" s="626"/>
      <c r="G55" s="626"/>
    </row>
    <row r="56" spans="1:7" s="3209" customFormat="1">
      <c r="A56" s="3404" t="s">
        <v>3652</v>
      </c>
      <c r="B56" s="3405" t="s">
        <v>3494</v>
      </c>
      <c r="C56" s="3406">
        <f ca="1">C24</f>
        <v>0</v>
      </c>
      <c r="D56" s="626"/>
      <c r="E56" s="626"/>
      <c r="F56" s="626"/>
      <c r="G56" s="626"/>
    </row>
    <row r="57" spans="1:7" s="3209" customFormat="1">
      <c r="A57" s="3213" t="s">
        <v>3503</v>
      </c>
      <c r="B57" s="626" t="s">
        <v>3490</v>
      </c>
      <c r="C57" s="2666">
        <f ca="1">C25</f>
        <v>0</v>
      </c>
      <c r="D57" s="626"/>
      <c r="E57" s="626"/>
      <c r="F57" s="626"/>
      <c r="G57" s="626"/>
    </row>
    <row r="58" spans="1:7" s="3209" customFormat="1">
      <c r="A58" s="3213" t="s">
        <v>3504</v>
      </c>
      <c r="B58" s="626" t="s">
        <v>3491</v>
      </c>
      <c r="C58" s="2666">
        <f ca="1">C26</f>
        <v>0</v>
      </c>
      <c r="D58" s="626"/>
      <c r="E58" s="626"/>
      <c r="F58" s="626"/>
      <c r="G58" s="626"/>
    </row>
    <row r="59" spans="1:7" s="3209" customFormat="1">
      <c r="A59" s="3212" t="s">
        <v>3483</v>
      </c>
      <c r="B59" s="2695" t="s">
        <v>3477</v>
      </c>
      <c r="C59" s="2666">
        <f ca="1">C27</f>
        <v>-1</v>
      </c>
      <c r="D59" s="626"/>
      <c r="E59" s="626"/>
      <c r="F59" s="626"/>
      <c r="G59" s="626"/>
    </row>
    <row r="60" spans="1:7" s="3209" customFormat="1">
      <c r="A60" s="3212" t="s">
        <v>3495</v>
      </c>
      <c r="B60" s="2695" t="s">
        <v>3496</v>
      </c>
      <c r="C60" s="2666">
        <f ca="1">C61+C62</f>
        <v>0</v>
      </c>
      <c r="D60" s="626"/>
      <c r="E60" s="626"/>
      <c r="F60" s="626"/>
      <c r="G60" s="626"/>
    </row>
    <row r="61" spans="1:7" s="3209" customFormat="1">
      <c r="A61" s="3213" t="s">
        <v>3485</v>
      </c>
      <c r="B61" s="2695" t="s">
        <v>3480</v>
      </c>
      <c r="C61" s="2666">
        <f ca="1">C28</f>
        <v>0</v>
      </c>
      <c r="D61" s="626"/>
      <c r="E61" s="626"/>
      <c r="F61" s="626"/>
      <c r="G61" s="626"/>
    </row>
    <row r="62" spans="1:7" s="3209" customFormat="1">
      <c r="A62" s="3213" t="s">
        <v>3497</v>
      </c>
      <c r="B62" s="2695" t="s">
        <v>3479</v>
      </c>
      <c r="C62" s="2666">
        <f>C32</f>
        <v>0</v>
      </c>
      <c r="D62" s="626"/>
      <c r="E62" s="626"/>
      <c r="F62" s="626"/>
      <c r="G62" s="626"/>
    </row>
    <row r="63" spans="1:7" s="3209" customFormat="1">
      <c r="A63" s="3212" t="s">
        <v>3498</v>
      </c>
      <c r="B63" s="2695" t="s">
        <v>3478</v>
      </c>
      <c r="C63" s="2666" t="str">
        <f ca="1">C29</f>
        <v>0+0V</v>
      </c>
      <c r="D63" s="626"/>
      <c r="E63" s="626"/>
      <c r="F63" s="626"/>
      <c r="G63" s="626"/>
    </row>
    <row r="64" spans="1:7" s="3209" customFormat="1">
      <c r="A64" s="626">
        <v>4</v>
      </c>
      <c r="B64" s="2695" t="s">
        <v>3481</v>
      </c>
      <c r="C64" s="2666" t="str">
        <f ca="1">C33</f>
        <v>-11+0V</v>
      </c>
      <c r="D64" s="626"/>
      <c r="E64" s="626"/>
      <c r="F64" s="626"/>
      <c r="G64" s="626"/>
    </row>
    <row r="65" spans="1:7" s="3209" customFormat="1">
      <c r="A65" s="626">
        <v>5</v>
      </c>
      <c r="B65" s="2695" t="s">
        <v>3482</v>
      </c>
      <c r="C65" s="2666">
        <f ca="1">C36</f>
        <v>64</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3"/>
      <c r="C2" s="4273"/>
      <c r="D2" s="4273"/>
      <c r="E2" s="4273"/>
    </row>
    <row r="3" spans="1:5" ht="18">
      <c r="A3" s="4274" t="str">
        <f>IF(项目基本情况!B9="房地产市场价值","估价结果一览表（市场价值不需“结果表-1”）","估价结果一览表")</f>
        <v>估价结果一览表</v>
      </c>
      <c r="B3" s="4274"/>
      <c r="C3" s="4274"/>
      <c r="D3" s="4274"/>
      <c r="E3" s="4274"/>
    </row>
    <row r="4" spans="1:5" ht="19.5" thickBot="1">
      <c r="A4" s="1035"/>
      <c r="B4" s="4272" t="s">
        <v>901</v>
      </c>
      <c r="C4" s="4272"/>
      <c r="D4" s="4272"/>
      <c r="E4" s="1035"/>
    </row>
    <row r="5" spans="1:5" ht="16.5" thickTop="1">
      <c r="B5" s="4270" t="s">
        <v>893</v>
      </c>
      <c r="C5" s="1036" t="s">
        <v>894</v>
      </c>
      <c r="D5" s="540">
        <f ca="1">结果表!H101</f>
        <v>475.96640000000002</v>
      </c>
    </row>
    <row r="6" spans="1:5" ht="15.75">
      <c r="B6" s="4270"/>
      <c r="C6" s="1036" t="s">
        <v>895</v>
      </c>
      <c r="D6" s="540" t="str">
        <f ca="1">NUMBERSTRING(INT(D5*10000),2)&amp;"元整"</f>
        <v>肆佰柒拾伍万玖仟陆佰陆拾肆元整</v>
      </c>
    </row>
    <row r="7" spans="1:5" ht="15.75">
      <c r="B7" s="4275"/>
      <c r="C7" s="1037" t="s">
        <v>896</v>
      </c>
      <c r="D7" s="541">
        <f ca="1">结果表!H102</f>
        <v>2470927</v>
      </c>
    </row>
    <row r="8" spans="1:5" ht="15.75">
      <c r="B8" s="4276" t="str">
        <f>结果表!E103</f>
        <v>2.估价师知悉的法定优先受偿款</v>
      </c>
      <c r="C8" s="1038" t="s">
        <v>897</v>
      </c>
      <c r="D8" s="541">
        <f>结果表!H103</f>
        <v>0</v>
      </c>
    </row>
    <row r="9" spans="1:5" ht="15.75">
      <c r="B9" s="4278"/>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69" t="str">
        <f>结果表!E107</f>
        <v>3.房地产抵押价值</v>
      </c>
      <c r="C13" s="1041" t="s">
        <v>894</v>
      </c>
      <c r="D13" s="543">
        <f ca="1">结果表!H107</f>
        <v>475.96640000000002</v>
      </c>
    </row>
    <row r="14" spans="1:5" ht="15.75">
      <c r="B14" s="4270"/>
      <c r="C14" s="1036" t="s">
        <v>895</v>
      </c>
      <c r="D14" s="540" t="str">
        <f ca="1">NUMBERSTRING(INT(D13*10000),2)&amp;"元整"</f>
        <v>肆佰柒拾伍万玖仟陆佰陆拾肆元整</v>
      </c>
    </row>
    <row r="15" spans="1:5" ht="15">
      <c r="B15" s="4275"/>
      <c r="C15" s="1037" t="s">
        <v>905</v>
      </c>
      <c r="D15" s="548">
        <f ca="1">结果表!H108</f>
        <v>2470927</v>
      </c>
    </row>
    <row r="16" spans="1:5" ht="15">
      <c r="B16" s="4276" t="str">
        <f>结果表!E109</f>
        <v>——</v>
      </c>
      <c r="C16" s="1041" t="s">
        <v>906</v>
      </c>
      <c r="D16" s="1042" t="str">
        <f>结果表!H109</f>
        <v>——</v>
      </c>
    </row>
    <row r="17" spans="1:5" ht="15.75">
      <c r="B17" s="4277"/>
      <c r="C17" s="1036" t="s">
        <v>907</v>
      </c>
      <c r="D17" s="540" t="e">
        <f>NUMBERSTRING(INT(D16*10000),2)&amp;"元整"</f>
        <v>#VALUE!</v>
      </c>
    </row>
    <row r="18" spans="1:5" ht="15">
      <c r="B18" s="4278"/>
      <c r="C18" s="1037" t="s">
        <v>896</v>
      </c>
      <c r="D18" s="548" t="str">
        <f>结果表!H110</f>
        <v>——</v>
      </c>
    </row>
    <row r="19" spans="1:5" ht="15.75">
      <c r="B19" s="4269" t="str">
        <f>结果表!E111</f>
        <v>——</v>
      </c>
      <c r="C19" s="1041" t="s">
        <v>894</v>
      </c>
      <c r="D19" s="541" t="str">
        <f>结果表!H111</f>
        <v>——</v>
      </c>
    </row>
    <row r="20" spans="1:5" ht="15.75">
      <c r="B20" s="4270"/>
      <c r="C20" s="1036" t="s">
        <v>907</v>
      </c>
      <c r="D20" s="540" t="e">
        <f>NUMBERSTRING(INT(D19*10000),2)&amp;"元整"</f>
        <v>#VALUE!</v>
      </c>
    </row>
    <row r="21" spans="1:5" ht="15.75" thickBot="1">
      <c r="B21" s="4271"/>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22">
        <f ca="1">SUMIF(B6:B13,"&lt;&gt;#ref!",B6:B13)</f>
        <v>47</v>
      </c>
      <c r="C2" s="1574" t="s">
        <v>1981</v>
      </c>
      <c r="D2" s="1574" t="s">
        <v>1982</v>
      </c>
      <c r="E2" s="2923">
        <f ca="1">SUMIF(E6:E13,"&lt;&gt;#ref!",E6:E13)</f>
        <v>138.79</v>
      </c>
      <c r="F2" s="2032"/>
      <c r="G2" s="2032"/>
      <c r="H2" s="2032"/>
      <c r="I2" s="2032"/>
      <c r="J2" s="2032"/>
      <c r="K2" s="2032"/>
      <c r="L2" s="2032"/>
      <c r="M2" s="2032"/>
      <c r="N2" s="2032"/>
      <c r="O2" s="2032"/>
      <c r="P2" s="2032"/>
    </row>
    <row r="3" spans="1:16" ht="15.75">
      <c r="A3" s="1574" t="s">
        <v>1983</v>
      </c>
      <c r="B3" s="2922">
        <f ca="1">ROUND(B2*10000/E2,0)</f>
        <v>3386</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22">
        <f ca="1">SUMIF(INDIRECT("'"&amp;A6&amp;"'"&amp;"!A:A"),"总价",INDIRECT("'"&amp;A6&amp;"'"&amp;"!B:B"))</f>
        <v>47</v>
      </c>
      <c r="C6" s="1574" t="s">
        <v>1981</v>
      </c>
      <c r="D6" s="2032"/>
      <c r="E6" s="2923">
        <f ca="1">SUMIF(INDIRECT("'"&amp;A6&amp;"'"&amp;"!C:C"),"建筑面积",INDIRECT("'"&amp;A6&amp;"'"&amp;"!D:D"))</f>
        <v>138.79</v>
      </c>
      <c r="F6" s="2032"/>
      <c r="G6" s="2032"/>
      <c r="H6" s="2032"/>
      <c r="I6" s="2032"/>
      <c r="J6" s="2032"/>
      <c r="K6" s="2032"/>
      <c r="L6" s="2032"/>
      <c r="M6" s="2032"/>
      <c r="N6" s="2032"/>
      <c r="O6" s="2032"/>
      <c r="P6" s="2032"/>
    </row>
    <row r="7" spans="1:16" ht="15.75">
      <c r="A7" s="1886"/>
      <c r="B7" s="2922" t="e">
        <f ca="1">SUMIF(INDIRECT("'"&amp;A7&amp;"'"&amp;"!A:A"),"总价",INDIRECT("'"&amp;A7&amp;"'"&amp;"!B:B"))</f>
        <v>#REF!</v>
      </c>
      <c r="C7" s="1574" t="s">
        <v>1981</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2" t="e">
        <f t="shared" ref="B8:B13" ca="1" si="1">SUMIF(INDIRECT("'"&amp;A8&amp;"'"&amp;"!A:A"),"总价",INDIRECT("'"&amp;A8&amp;"'"&amp;"!B:B"))</f>
        <v>#REF!</v>
      </c>
      <c r="C8" s="1574" t="s">
        <v>1981</v>
      </c>
      <c r="D8" s="2032"/>
      <c r="E8" s="2923" t="e">
        <f t="shared" ca="1" si="0"/>
        <v>#REF!</v>
      </c>
      <c r="F8" s="2032"/>
      <c r="G8" s="2032"/>
      <c r="H8" s="2032"/>
      <c r="I8" s="2032"/>
      <c r="J8" s="2032"/>
      <c r="K8" s="2032"/>
      <c r="L8" s="2032"/>
      <c r="M8" s="2032"/>
      <c r="N8" s="2032"/>
      <c r="O8" s="2032"/>
      <c r="P8" s="2032"/>
    </row>
    <row r="9" spans="1:16" ht="15.75">
      <c r="A9" s="1886"/>
      <c r="B9" s="2922" t="e">
        <f t="shared" ca="1" si="1"/>
        <v>#REF!</v>
      </c>
      <c r="C9" s="1574" t="s">
        <v>1981</v>
      </c>
      <c r="D9" s="2032"/>
      <c r="E9" s="2923" t="e">
        <f t="shared" ca="1" si="0"/>
        <v>#REF!</v>
      </c>
      <c r="F9" s="2032"/>
      <c r="G9" s="2032"/>
      <c r="H9" s="2032"/>
      <c r="I9" s="2032"/>
      <c r="J9" s="2032"/>
      <c r="K9" s="2032"/>
      <c r="L9" s="2032"/>
      <c r="M9" s="2032"/>
      <c r="N9" s="2032"/>
      <c r="O9" s="2032"/>
      <c r="P9" s="2032"/>
    </row>
    <row r="10" spans="1:16" ht="15.75">
      <c r="A10" s="1886"/>
      <c r="B10" s="2922" t="e">
        <f t="shared" ca="1" si="1"/>
        <v>#REF!</v>
      </c>
      <c r="C10" s="1574" t="s">
        <v>1981</v>
      </c>
      <c r="D10" s="2032"/>
      <c r="E10" s="2923" t="e">
        <f t="shared" ca="1" si="0"/>
        <v>#REF!</v>
      </c>
      <c r="F10" s="2032"/>
      <c r="G10" s="2032"/>
      <c r="H10" s="2032"/>
      <c r="I10" s="2032"/>
      <c r="J10" s="2032"/>
      <c r="K10" s="2032"/>
      <c r="L10" s="2032"/>
      <c r="M10" s="2032"/>
      <c r="N10" s="2032"/>
      <c r="O10" s="2032"/>
      <c r="P10" s="2032"/>
    </row>
    <row r="11" spans="1:16" ht="15.75">
      <c r="A11" s="1886"/>
      <c r="B11" s="2922" t="e">
        <f t="shared" ca="1" si="1"/>
        <v>#REF!</v>
      </c>
      <c r="C11" s="1574" t="s">
        <v>1981</v>
      </c>
      <c r="D11" s="2032"/>
      <c r="E11" s="2923" t="e">
        <f t="shared" ca="1" si="0"/>
        <v>#REF!</v>
      </c>
      <c r="F11" s="2032"/>
      <c r="G11" s="2032"/>
      <c r="H11" s="2032"/>
      <c r="I11" s="2032"/>
      <c r="J11" s="2032"/>
      <c r="K11" s="2032"/>
      <c r="L11" s="2032"/>
      <c r="M11" s="2032"/>
      <c r="N11" s="2032"/>
      <c r="O11" s="2032"/>
      <c r="P11" s="2032"/>
    </row>
    <row r="12" spans="1:16" ht="15.75">
      <c r="A12" s="1886"/>
      <c r="B12" s="2922" t="e">
        <f t="shared" ca="1" si="1"/>
        <v>#REF!</v>
      </c>
      <c r="C12" s="1574" t="s">
        <v>1981</v>
      </c>
      <c r="D12" s="2032"/>
      <c r="E12" s="2923" t="e">
        <f t="shared" ca="1" si="0"/>
        <v>#REF!</v>
      </c>
      <c r="F12" s="2032"/>
      <c r="G12" s="2032"/>
      <c r="H12" s="2032"/>
      <c r="I12" s="2032"/>
      <c r="J12" s="2032"/>
      <c r="K12" s="2032"/>
      <c r="L12" s="2032"/>
      <c r="M12" s="2032"/>
      <c r="N12" s="2032"/>
      <c r="O12" s="2032"/>
      <c r="P12" s="2032"/>
    </row>
    <row r="13" spans="1:16" ht="15.75">
      <c r="A13" s="1886"/>
      <c r="B13" s="2922" t="e">
        <f t="shared" ca="1" si="1"/>
        <v>#REF!</v>
      </c>
      <c r="C13" s="1574" t="s">
        <v>1981</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A4" zoomScale="85" zoomScaleNormal="85" zoomScaleSheetLayoutView="100" workbookViewId="0">
      <selection activeCell="J15" sqref="J1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t="s">
        <v>4067</v>
      </c>
      <c r="C1" s="3324" t="s">
        <v>4120</v>
      </c>
      <c r="D1" s="1341" t="s">
        <v>1499</v>
      </c>
      <c r="E1" s="93"/>
      <c r="F1" s="93"/>
      <c r="G1" s="756">
        <f>MATCH(B1,'数据-取费表'!A6:A16,0)+5</f>
        <v>6</v>
      </c>
      <c r="H1" s="3019" t="str">
        <f>IF(ISERROR(FIND("住宅",B1)),"非住宅","住宅")</f>
        <v>非住宅</v>
      </c>
    </row>
    <row r="2" spans="1:10" s="95" customFormat="1" ht="15.75">
      <c r="A2" s="96" t="s">
        <v>1431</v>
      </c>
      <c r="B2" s="3675">
        <f ca="1">ROUND(D3/10000,4)</f>
        <v>149.94739999999999</v>
      </c>
      <c r="C2" s="94" t="s">
        <v>1432</v>
      </c>
      <c r="D2" s="1335" t="s">
        <v>41</v>
      </c>
      <c r="E2" s="2509">
        <f ca="1">IF(D2="——",0,SUMIF(INDIRECT("'"&amp;G2&amp;"'"&amp;"!A:A"),"承租人权益价值",INDIRECT("'"&amp;G2&amp;"'"&amp;"!c:c")))</f>
        <v>0</v>
      </c>
      <c r="F2" s="1336" t="s">
        <v>1432</v>
      </c>
      <c r="G2" s="1337"/>
    </row>
    <row r="3" spans="1:10" s="95" customFormat="1" ht="16.5" thickBot="1">
      <c r="A3" s="98" t="s">
        <v>672</v>
      </c>
      <c r="B3" s="2523">
        <f ca="1">ROUND(D3/(IF(B1="",'数据-汇总表'!E3,INDIRECT("'数据-取费表'!k"&amp;$G$1))),0)</f>
        <v>10804</v>
      </c>
      <c r="C3" s="94" t="s">
        <v>1434</v>
      </c>
      <c r="D3" s="94">
        <f ca="1">IF(C1="含税",E2+C33,E2+C32)</f>
        <v>1499474</v>
      </c>
      <c r="E3" s="2510"/>
      <c r="F3" s="94"/>
      <c r="G3" s="94"/>
    </row>
    <row r="4" spans="1:10" s="95" customFormat="1" ht="16.5" thickBot="1">
      <c r="A4" s="2567" t="s">
        <v>3319</v>
      </c>
      <c r="B4" s="2568" t="s">
        <v>3320</v>
      </c>
      <c r="C4" s="2507" t="s">
        <v>3941</v>
      </c>
      <c r="D4" s="2543" t="s">
        <v>3325</v>
      </c>
      <c r="E4" s="2544" t="s">
        <v>3326</v>
      </c>
      <c r="F4" s="2544" t="s">
        <v>3327</v>
      </c>
      <c r="G4" s="2508" t="s">
        <v>3321</v>
      </c>
    </row>
    <row r="5" spans="1:10" s="103" customFormat="1" ht="15.75">
      <c r="A5" s="2545" t="s">
        <v>3318</v>
      </c>
      <c r="B5" s="2546" t="s">
        <v>3322</v>
      </c>
      <c r="C5" s="2520">
        <f ca="1">ROUND((C6+C9+C21+C24+C25+C28)/(1-F22-C26-C29),0)</f>
        <v>1519301</v>
      </c>
      <c r="D5" s="2547"/>
      <c r="E5" s="2547"/>
      <c r="F5" s="2547"/>
      <c r="G5" s="2699" t="s">
        <v>3461</v>
      </c>
      <c r="J5" s="95"/>
    </row>
    <row r="6" spans="1:10" s="2533" customFormat="1" ht="15">
      <c r="A6" s="2512" t="s">
        <v>3328</v>
      </c>
      <c r="B6" s="2571" t="s">
        <v>3329</v>
      </c>
      <c r="C6" s="2548">
        <f>C7+C8</f>
        <v>483560.99</v>
      </c>
      <c r="D6" s="2511"/>
      <c r="E6" s="2511"/>
      <c r="F6" s="2511"/>
      <c r="G6" s="2549"/>
      <c r="J6" s="95"/>
    </row>
    <row r="7" spans="1:10" s="109" customFormat="1" ht="15">
      <c r="A7" s="2550" t="s">
        <v>344</v>
      </c>
      <c r="B7" s="2572" t="s">
        <v>1442</v>
      </c>
      <c r="C7" s="3020">
        <f>基准地价修正!G37*基准地价修正!H37</f>
        <v>469248.99</v>
      </c>
      <c r="D7" s="2551"/>
      <c r="E7" s="2552"/>
      <c r="F7" s="2552"/>
      <c r="G7" s="156"/>
      <c r="J7" s="95"/>
    </row>
    <row r="8" spans="1:10" s="109" customFormat="1" ht="15">
      <c r="A8" s="2550" t="s">
        <v>345</v>
      </c>
      <c r="B8" s="2572" t="s">
        <v>1444</v>
      </c>
      <c r="C8" s="2521">
        <f>ROUND(C7*F8,0)</f>
        <v>14312</v>
      </c>
      <c r="D8" s="144"/>
      <c r="E8" s="2552"/>
      <c r="F8" s="2553">
        <f>IF(项目基本情况!B8="出让",0,'数据-取费表'!B49+'数据-取费表'!B50)</f>
        <v>3.0499999999999999E-2</v>
      </c>
      <c r="G8" s="156"/>
      <c r="J8" s="95"/>
    </row>
    <row r="9" spans="1:10" s="2533" customFormat="1" ht="15">
      <c r="A9" s="2554" t="s">
        <v>336</v>
      </c>
      <c r="B9" s="2573" t="s">
        <v>3277</v>
      </c>
      <c r="C9" s="2534">
        <f ca="1">C10+C11+C12+C13+C19+C20</f>
        <v>683957</v>
      </c>
      <c r="D9" s="2555"/>
      <c r="E9" s="2556"/>
      <c r="F9" s="2557"/>
      <c r="G9" s="2558"/>
      <c r="J9" s="95"/>
    </row>
    <row r="10" spans="1:10" s="109" customFormat="1" ht="15">
      <c r="A10" s="2574" t="s">
        <v>344</v>
      </c>
      <c r="B10" s="2575" t="s">
        <v>3312</v>
      </c>
      <c r="C10" s="2521">
        <f ca="1">ROUND(IF(B1="",SUMPRODUCT('数据-取费表'!K6:K14,'数据-取费表'!L6:L14),INDIRECT("'数据-取费表'!l"&amp;$G$1)*INDIRECT("'数据-取费表'!k"&amp;$G$1)+'数据-取费表'!L14*INDIRECT("'数据-取费表'!S"&amp;$G$1)),0)</f>
        <v>569039</v>
      </c>
      <c r="D10" s="2551"/>
      <c r="E10" s="144"/>
      <c r="F10" s="2559">
        <f ca="1">IF('数据-取费表'!B24=0,1,IF(B1="",'数据-取费表'!N16,INDIRECT("'数据-取费表'!n"&amp;$G$1)))</f>
        <v>1</v>
      </c>
      <c r="G10" s="156" t="s">
        <v>1467</v>
      </c>
      <c r="J10" s="95"/>
    </row>
    <row r="11" spans="1:10" s="109" customFormat="1" ht="15">
      <c r="A11" s="2574" t="s">
        <v>349</v>
      </c>
      <c r="B11" s="2575" t="s">
        <v>3313</v>
      </c>
      <c r="C11" s="2521">
        <f ca="1">ROUND(C10*F11,0)</f>
        <v>39833</v>
      </c>
      <c r="D11" s="144"/>
      <c r="E11" s="144"/>
      <c r="F11" s="2532">
        <f>'数据-取费表'!B33</f>
        <v>7.0000000000000007E-2</v>
      </c>
      <c r="G11" s="156" t="s">
        <v>1469</v>
      </c>
      <c r="J11" s="95"/>
    </row>
    <row r="12" spans="1:10" s="109" customFormat="1" ht="15">
      <c r="A12" s="2574" t="s">
        <v>350</v>
      </c>
      <c r="B12" s="2575" t="s">
        <v>3314</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1" t="s">
        <v>3984</v>
      </c>
      <c r="J12" s="95"/>
    </row>
    <row r="13" spans="1:10" s="109" customFormat="1" ht="15">
      <c r="A13" s="2574" t="s">
        <v>3278</v>
      </c>
      <c r="B13" s="2575" t="s">
        <v>3315</v>
      </c>
      <c r="C13" s="2521">
        <f ca="1">C14+C17+C18</f>
        <v>69395</v>
      </c>
      <c r="D13" s="144"/>
      <c r="E13" s="2552"/>
      <c r="F13" s="2553"/>
      <c r="G13" s="156"/>
      <c r="J13" s="95"/>
    </row>
    <row r="14" spans="1:10" s="118" customFormat="1" ht="15">
      <c r="A14" s="2505" t="s">
        <v>3279</v>
      </c>
      <c r="B14" s="2576" t="s">
        <v>3311</v>
      </c>
      <c r="C14" s="2521">
        <f ca="1">IF(G14="已包含在土地购买价格中","0",IF(B1="",'数据-取费表'!B29,IF(G15="全部缴纳",C15+C16,H15)))</f>
        <v>27758</v>
      </c>
      <c r="D14" s="2560"/>
      <c r="E14" s="144"/>
      <c r="F14" s="2553"/>
      <c r="G14" s="1338" t="s">
        <v>4164</v>
      </c>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160</v>
      </c>
      <c r="F15" s="2553"/>
      <c r="G15" s="1339" t="s">
        <v>4165</v>
      </c>
      <c r="H15" s="762"/>
      <c r="I15" s="1340" t="s">
        <v>1448</v>
      </c>
      <c r="J15" s="95"/>
    </row>
    <row r="16" spans="1:10" s="109" customFormat="1" ht="15">
      <c r="A16" s="2577" t="s">
        <v>354</v>
      </c>
      <c r="B16" s="2578" t="s">
        <v>1449</v>
      </c>
      <c r="C16" s="2561">
        <f ca="1">ROUND(D16*E16,0)</f>
        <v>27758</v>
      </c>
      <c r="D16" s="2561">
        <f ca="1">IF(B1="",'数据-汇总表'!E6,IF(INDIRECT("'数据-取费表'!c"&amp;$G$1)="住宅",INDIRECT("'数据-取费表'!s"&amp;$G$1),INDIRECT("'数据-取费表'!k"&amp;$G$1)+INDIRECT("'数据-取费表'!s"&amp;$G$1)))</f>
        <v>138.79</v>
      </c>
      <c r="E16" s="2561">
        <f>'数据-取费表'!B28</f>
        <v>200</v>
      </c>
      <c r="F16" s="2553"/>
      <c r="G16" s="121"/>
      <c r="J16" s="95"/>
    </row>
    <row r="17" spans="1:10" s="109" customFormat="1" ht="15">
      <c r="A17" s="2505" t="s">
        <v>3280</v>
      </c>
      <c r="B17" s="2579" t="s">
        <v>3285</v>
      </c>
      <c r="C17" s="2521" t="str">
        <f>IF(G17="已包含在土地取得成本中","0",ROUND(D17*E17,0))</f>
        <v>0</v>
      </c>
      <c r="D17" s="2562">
        <f ca="1">D15+D16</f>
        <v>138.79</v>
      </c>
      <c r="E17" s="2562">
        <f>'数据-取费表'!B31</f>
        <v>200</v>
      </c>
      <c r="F17" s="2529"/>
      <c r="G17" s="1338" t="s">
        <v>4166</v>
      </c>
      <c r="J17" s="95"/>
    </row>
    <row r="18" spans="1:10" s="109" customFormat="1" ht="15">
      <c r="A18" s="2580" t="s">
        <v>3281</v>
      </c>
      <c r="B18" s="2579" t="s">
        <v>1472</v>
      </c>
      <c r="C18" s="2521">
        <f ca="1">ROUND(E18*D18*F10,0)</f>
        <v>41637</v>
      </c>
      <c r="D18" s="2521">
        <f ca="1">D17</f>
        <v>138.79</v>
      </c>
      <c r="E18" s="2521">
        <f>'数据-取费表'!B35</f>
        <v>300</v>
      </c>
      <c r="F18" s="2532"/>
      <c r="G18" s="156" t="str">
        <f ca="1">IF(F10=100%,"","按工程进度计取")</f>
        <v/>
      </c>
      <c r="J18" s="95"/>
    </row>
    <row r="19" spans="1:10" s="109" customFormat="1" ht="15">
      <c r="A19" s="2574" t="s">
        <v>352</v>
      </c>
      <c r="B19" s="2575" t="s">
        <v>3316</v>
      </c>
      <c r="C19" s="2521">
        <f ca="1">ROUND(C10*F19,0)</f>
        <v>5690</v>
      </c>
      <c r="D19" s="144"/>
      <c r="E19" s="144"/>
      <c r="F19" s="2532">
        <f>'数据-取费表'!B36</f>
        <v>0.01</v>
      </c>
      <c r="G19" s="156" t="s">
        <v>1469</v>
      </c>
      <c r="J19" s="95"/>
    </row>
    <row r="20" spans="1:10" s="109" customFormat="1" ht="15">
      <c r="A20" s="2574" t="s">
        <v>3282</v>
      </c>
      <c r="B20" s="2575" t="s">
        <v>3317</v>
      </c>
      <c r="C20" s="2521">
        <f ca="1">ROUND(C10*F20,0)</f>
        <v>0</v>
      </c>
      <c r="D20" s="2563"/>
      <c r="E20" s="140"/>
      <c r="F20" s="2532">
        <f>'数据-取费表'!B37</f>
        <v>0</v>
      </c>
      <c r="G20" s="156" t="s">
        <v>1469</v>
      </c>
      <c r="J20" s="95"/>
    </row>
    <row r="21" spans="1:10" s="2533" customFormat="1" ht="15">
      <c r="A21" s="2512" t="s">
        <v>3330</v>
      </c>
      <c r="B21" s="2571" t="s">
        <v>3331</v>
      </c>
      <c r="C21" s="2534">
        <f ca="1">ROUND((C6+C9)*F21,0)</f>
        <v>23350</v>
      </c>
      <c r="D21" s="2535"/>
      <c r="E21" s="2535"/>
      <c r="F21" s="2539">
        <f>'数据-取费表'!B38</f>
        <v>0.02</v>
      </c>
      <c r="G21" s="2536" t="s">
        <v>3332</v>
      </c>
      <c r="J21" s="95"/>
    </row>
    <row r="22" spans="1:10" s="2533" customFormat="1" ht="15">
      <c r="A22" s="2512" t="s">
        <v>3333</v>
      </c>
      <c r="B22" s="2571" t="s">
        <v>3334</v>
      </c>
      <c r="C22" s="2537" t="str">
        <f>F22&amp;"V"</f>
        <v>0.02V</v>
      </c>
      <c r="D22" s="296"/>
      <c r="E22" s="2535"/>
      <c r="F22" s="2539">
        <f>'数据-取费表'!B39</f>
        <v>0.02</v>
      </c>
      <c r="G22" s="3531" t="s">
        <v>3977</v>
      </c>
      <c r="J22" s="95"/>
    </row>
    <row r="23" spans="1:10" s="2533" customFormat="1" ht="15">
      <c r="A23" s="2512" t="s">
        <v>3335</v>
      </c>
      <c r="B23" s="2573" t="s">
        <v>3286</v>
      </c>
      <c r="C23" s="2513" t="str">
        <f ca="1">SUM(C24:C25)&amp;"+"&amp;C26&amp;"V"</f>
        <v>52884+0.0006V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30745</v>
      </c>
      <c r="D24" s="133"/>
      <c r="E24" s="133"/>
      <c r="F24" s="2528"/>
      <c r="G24" s="3911" t="s">
        <v>3978</v>
      </c>
      <c r="J24" s="95"/>
    </row>
    <row r="25" spans="1:10" s="109" customFormat="1" ht="15">
      <c r="A25" s="2581" t="s">
        <v>345</v>
      </c>
      <c r="B25" s="2579" t="s">
        <v>3287</v>
      </c>
      <c r="C25" s="2527">
        <f ca="1">ROUND(IF('数据-取费表'!B22&lt;=1,(C9+C21)*F23*'数据-取费表'!B23/2,(C9+C21)*(POWER((1+F23),'数据-取费表'!B23/2)-1)),0)</f>
        <v>22139</v>
      </c>
      <c r="D25" s="133"/>
      <c r="E25" s="133"/>
      <c r="F25" s="2528"/>
      <c r="G25" s="3911" t="s">
        <v>3979</v>
      </c>
      <c r="J25" s="95"/>
    </row>
    <row r="26" spans="1:10" s="109" customFormat="1" ht="15">
      <c r="A26" s="2581" t="s">
        <v>348</v>
      </c>
      <c r="B26" s="2579" t="s">
        <v>1454</v>
      </c>
      <c r="C26" s="2524">
        <f ca="1">ROUND(IF('数据-取费表'!B22&lt;=1,F22*F23*'数据-取费表'!B23/2,F22*(POWER((1+F23),'数据-取费表'!B23/2)-1)),4)</f>
        <v>5.9999999999999995E-4</v>
      </c>
      <c r="D26" s="133"/>
      <c r="E26" s="136"/>
      <c r="F26" s="2528"/>
      <c r="G26" s="4225" t="s">
        <v>3980</v>
      </c>
      <c r="J26" s="95"/>
    </row>
    <row r="27" spans="1:10" s="2533" customFormat="1" ht="15">
      <c r="A27" s="2512" t="s">
        <v>3336</v>
      </c>
      <c r="B27" s="2573" t="s">
        <v>3288</v>
      </c>
      <c r="C27" s="2540" t="str">
        <f ca="1">C28&amp;"+"&amp;C29&amp;"V"</f>
        <v>238174+0.004V</v>
      </c>
      <c r="D27" s="2538"/>
      <c r="E27" s="296"/>
      <c r="F27" s="2541">
        <f ca="1">IF(B1="",'数据-取费表'!Q16,INDIRECT("'数据-取费表'!q"&amp;$G$1))</f>
        <v>0.2</v>
      </c>
      <c r="G27" s="2536" t="s">
        <v>3986</v>
      </c>
      <c r="J27" s="95"/>
    </row>
    <row r="28" spans="1:10" s="109" customFormat="1" ht="15">
      <c r="A28" s="2574" t="s">
        <v>344</v>
      </c>
      <c r="B28" s="2579" t="s">
        <v>1459</v>
      </c>
      <c r="C28" s="2506">
        <f ca="1">ROUND(C6*F27*'数据-取费表'!B23/'数据-取费表'!B22+(C9+C21)*F27,0)</f>
        <v>238174</v>
      </c>
      <c r="D28" s="130"/>
      <c r="E28" s="131"/>
      <c r="F28" s="2529"/>
      <c r="G28" s="142" t="str">
        <f ca="1">IF(F10=100%,"","其中：土地取得成本产生的利润按已建工期计算")</f>
        <v/>
      </c>
      <c r="J28" s="95"/>
    </row>
    <row r="29" spans="1:10" s="109" customFormat="1" ht="15">
      <c r="A29" s="2574" t="s">
        <v>345</v>
      </c>
      <c r="B29" s="2579" t="s">
        <v>1460</v>
      </c>
      <c r="C29" s="2524">
        <f ca="1">ROUND(F22*F27,4)</f>
        <v>4.0000000000000001E-3</v>
      </c>
      <c r="D29" s="130"/>
      <c r="E29" s="131"/>
      <c r="F29" s="2529"/>
      <c r="G29" s="142"/>
      <c r="J29" s="95"/>
    </row>
    <row r="30" spans="1:10" s="2533" customFormat="1" ht="15">
      <c r="A30" s="2512" t="s">
        <v>3337</v>
      </c>
      <c r="B30" s="2571" t="s">
        <v>3338</v>
      </c>
      <c r="C30" s="2534">
        <v>0</v>
      </c>
      <c r="D30" s="296"/>
      <c r="E30" s="2514"/>
      <c r="F30" s="2539"/>
      <c r="G30" s="2542" t="s">
        <v>3289</v>
      </c>
      <c r="J30" s="95"/>
    </row>
    <row r="31" spans="1:10" s="109" customFormat="1" ht="15.75">
      <c r="A31" s="2582">
        <v>2</v>
      </c>
      <c r="B31" s="2583" t="s">
        <v>3290</v>
      </c>
      <c r="C31" s="2525">
        <f ca="1">C57</f>
        <v>143637</v>
      </c>
      <c r="D31" s="2516"/>
      <c r="E31" s="2516"/>
      <c r="F31" s="2530">
        <f>IF('数据-取费表'!B24=0,'数据-取费表'!N16,1)</f>
        <v>0.83</v>
      </c>
      <c r="G31" s="2517" t="s">
        <v>3798</v>
      </c>
      <c r="J31" s="95"/>
    </row>
    <row r="32" spans="1:10" s="109" customFormat="1" ht="15.75">
      <c r="A32" s="2504" t="s">
        <v>3291</v>
      </c>
      <c r="B32" s="2503" t="s">
        <v>3292</v>
      </c>
      <c r="C32" s="2525">
        <f ca="1">C5-C31</f>
        <v>1375664</v>
      </c>
      <c r="D32" s="2516"/>
      <c r="E32" s="2516"/>
      <c r="F32" s="2515"/>
      <c r="G32" s="2518" t="s">
        <v>3323</v>
      </c>
      <c r="J32" s="95"/>
    </row>
    <row r="33" spans="1:10" s="109" customFormat="1" ht="16.5" thickBot="1">
      <c r="A33" s="2584">
        <v>4</v>
      </c>
      <c r="B33" s="2585" t="s">
        <v>3324</v>
      </c>
      <c r="C33" s="2526">
        <f ca="1">ROUND(C32*(1+F33),0)</f>
        <v>1499474</v>
      </c>
      <c r="D33" s="2519"/>
      <c r="E33" s="2519"/>
      <c r="F33" s="2531">
        <f>IF(G33="其他类型公式—成本价值×（1+9%）",9%,3%)</f>
        <v>0.09</v>
      </c>
      <c r="G33" s="3532" t="s">
        <v>3674</v>
      </c>
      <c r="J33" s="95"/>
    </row>
    <row r="34" spans="1:10" s="118" customFormat="1" ht="15">
      <c r="J34" s="95"/>
    </row>
    <row r="35" spans="1:10" s="109" customFormat="1"/>
    <row r="36" spans="1:10" s="109" customFormat="1"/>
    <row r="37" spans="1:10" s="109" customFormat="1"/>
    <row r="38" spans="1:10" ht="15.75" thickBot="1">
      <c r="A38" s="2770" t="s">
        <v>3293</v>
      </c>
      <c r="B38" s="2771"/>
      <c r="C38" s="2771"/>
      <c r="D38" s="2771"/>
      <c r="E38" s="2771"/>
      <c r="F38" s="2771"/>
      <c r="G38" s="2772"/>
    </row>
    <row r="39" spans="1:10" ht="15.75" thickBot="1">
      <c r="A39" s="4110" t="s">
        <v>3319</v>
      </c>
      <c r="B39" s="2773" t="s">
        <v>3320</v>
      </c>
      <c r="C39" s="2775" t="s">
        <v>3941</v>
      </c>
      <c r="D39" s="2776" t="s">
        <v>3443</v>
      </c>
      <c r="E39" s="2777" t="s">
        <v>3444</v>
      </c>
      <c r="F39" s="2777" t="s">
        <v>3445</v>
      </c>
      <c r="G39" s="2778" t="s">
        <v>3321</v>
      </c>
    </row>
    <row r="40" spans="1:10" ht="15">
      <c r="A40" s="2632" t="s">
        <v>3446</v>
      </c>
      <c r="B40" s="4115" t="s">
        <v>3294</v>
      </c>
      <c r="C40" s="2781">
        <f ca="1">SUM(C41:C46)</f>
        <v>656199</v>
      </c>
      <c r="D40" s="2779"/>
      <c r="E40" s="2779"/>
      <c r="F40" s="2779"/>
      <c r="G40" s="3983"/>
    </row>
    <row r="41" spans="1:10" ht="15.75">
      <c r="A41" s="4111" t="s">
        <v>3295</v>
      </c>
      <c r="B41" s="4116" t="str">
        <f t="shared" ref="B41:C43" si="0">B10</f>
        <v xml:space="preserve">  建安费用</v>
      </c>
      <c r="C41" s="2501">
        <f t="shared" ca="1" si="0"/>
        <v>569039</v>
      </c>
      <c r="D41" s="2496"/>
      <c r="E41" s="2496"/>
      <c r="F41" s="2497"/>
      <c r="G41" s="3984"/>
    </row>
    <row r="42" spans="1:10" ht="15.75">
      <c r="A42" s="4111" t="s">
        <v>3296</v>
      </c>
      <c r="B42" s="4116" t="str">
        <f t="shared" si="0"/>
        <v xml:space="preserve">  前期费用</v>
      </c>
      <c r="C42" s="2501">
        <f t="shared" ca="1" si="0"/>
        <v>39833</v>
      </c>
      <c r="D42" s="2496"/>
      <c r="E42" s="2496"/>
      <c r="F42" s="2497"/>
      <c r="G42" s="3984"/>
    </row>
    <row r="43" spans="1:10" ht="15.75">
      <c r="A43" s="4111" t="s">
        <v>3360</v>
      </c>
      <c r="B43" s="4117" t="str">
        <f t="shared" si="0"/>
        <v xml:space="preserve">  公共配套设施费用</v>
      </c>
      <c r="C43" s="2501">
        <f t="shared" ca="1" si="0"/>
        <v>0</v>
      </c>
      <c r="D43" s="2496"/>
      <c r="E43" s="2496"/>
      <c r="F43" s="2497"/>
      <c r="G43" s="3984"/>
    </row>
    <row r="44" spans="1:10" ht="15.75">
      <c r="A44" s="4111" t="s">
        <v>3278</v>
      </c>
      <c r="B44" s="4117" t="str">
        <f>B18</f>
        <v>红线内市政费用</v>
      </c>
      <c r="C44" s="2501">
        <f ca="1">C18</f>
        <v>41637</v>
      </c>
      <c r="D44" s="2496"/>
      <c r="E44" s="2496"/>
      <c r="F44" s="2497"/>
      <c r="G44" s="3984"/>
    </row>
    <row r="45" spans="1:10" ht="15.75">
      <c r="A45" s="4112" t="s">
        <v>3297</v>
      </c>
      <c r="B45" s="4118" t="str">
        <f>B19</f>
        <v xml:space="preserve">  其他工程费</v>
      </c>
      <c r="C45" s="2506">
        <f ca="1">C19</f>
        <v>5690</v>
      </c>
      <c r="D45" s="2629"/>
      <c r="E45" s="2629"/>
      <c r="F45" s="2509"/>
      <c r="G45" s="3985"/>
    </row>
    <row r="46" spans="1:10" ht="15.75">
      <c r="A46" s="4112" t="s">
        <v>3359</v>
      </c>
      <c r="B46" s="4118" t="s">
        <v>3298</v>
      </c>
      <c r="C46" s="2506">
        <f ca="1">C20</f>
        <v>0</v>
      </c>
      <c r="D46" s="2629"/>
      <c r="E46" s="2629"/>
      <c r="F46" s="2509"/>
      <c r="G46" s="3985"/>
    </row>
    <row r="47" spans="1:10" ht="15">
      <c r="A47" s="4113" t="s">
        <v>3447</v>
      </c>
      <c r="B47" s="4113" t="s">
        <v>3448</v>
      </c>
      <c r="C47" s="2633">
        <f ca="1">ROUND(C40*F47,0)</f>
        <v>13124</v>
      </c>
      <c r="D47" s="2634"/>
      <c r="E47" s="2634"/>
      <c r="F47" s="2635">
        <f>F21</f>
        <v>0.02</v>
      </c>
      <c r="G47" s="2636" t="s">
        <v>3449</v>
      </c>
    </row>
    <row r="48" spans="1:10" ht="15">
      <c r="A48" s="4113" t="s">
        <v>3450</v>
      </c>
      <c r="B48" s="4113" t="s">
        <v>3451</v>
      </c>
      <c r="C48" s="2637" t="str">
        <f>F48&amp;"V建1"</f>
        <v>0.02V建1</v>
      </c>
      <c r="D48" s="2634"/>
      <c r="E48" s="2634"/>
      <c r="F48" s="2635">
        <f>F22</f>
        <v>0.02</v>
      </c>
      <c r="G48" s="4226" t="s">
        <v>3981</v>
      </c>
    </row>
    <row r="49" spans="1:7" ht="15">
      <c r="A49" s="4113" t="s">
        <v>3452</v>
      </c>
      <c r="B49" s="4119" t="s">
        <v>3358</v>
      </c>
      <c r="C49" s="2534" t="str">
        <f ca="1">C50&amp;"+"&amp;C51&amp;"V建1"</f>
        <v>20950+0.0006V建1</v>
      </c>
      <c r="D49" s="296"/>
      <c r="E49" s="296"/>
      <c r="F49" s="2639">
        <f ca="1">F23</f>
        <v>3.1300000000000001E-2</v>
      </c>
      <c r="G49" s="3986" t="str">
        <f>IF('数据-取费表'!B22&lt;=1,"单利计息","复利计息")</f>
        <v>复利计息</v>
      </c>
    </row>
    <row r="50" spans="1:7">
      <c r="A50" s="4111" t="s">
        <v>3295</v>
      </c>
      <c r="B50" s="4120" t="s">
        <v>3362</v>
      </c>
      <c r="C50" s="2650">
        <f ca="1">ROUND(IF('数据-取费表'!B22&lt;=1,(C40+C47)*F49*'数据-取费表'!B22/2,(C40+C47)*(POWER((1+F49),'数据-取费表'!B22/2)-1)),0)</f>
        <v>20950</v>
      </c>
      <c r="D50" s="1011"/>
      <c r="E50" s="1011"/>
      <c r="F50" s="994"/>
      <c r="G50" s="4483" t="str">
        <f ca="1">IF(F10=100%,"建设期均匀投入","已建工期均匀投入")</f>
        <v>建设期均匀投入</v>
      </c>
    </row>
    <row r="51" spans="1:7">
      <c r="A51" s="4111" t="s">
        <v>3296</v>
      </c>
      <c r="B51" s="4117" t="s">
        <v>3301</v>
      </c>
      <c r="C51" s="2651">
        <f ca="1">ROUND(IF('数据-取费表'!B22&lt;=1,F48*F23*'数据-取费表'!B22/2,F48*(POWER((1+F23),'数据-取费表'!B22/2)-1)),4)</f>
        <v>5.9999999999999995E-4</v>
      </c>
      <c r="D51" s="1011"/>
      <c r="E51" s="1011"/>
      <c r="F51" s="994"/>
      <c r="G51" s="4484"/>
    </row>
    <row r="52" spans="1:7" ht="15">
      <c r="A52" s="4113" t="s">
        <v>3453</v>
      </c>
      <c r="B52" s="2770" t="s">
        <v>3302</v>
      </c>
      <c r="C52" s="2641" t="str">
        <f ca="1">C53&amp;"+"&amp;C54&amp;"V建1"</f>
        <v>133865+0.004V建1</v>
      </c>
      <c r="D52" s="2642"/>
      <c r="E52" s="2634"/>
      <c r="F52" s="2643">
        <f ca="1">F27</f>
        <v>0.2</v>
      </c>
      <c r="G52" s="2644" t="s">
        <v>3454</v>
      </c>
    </row>
    <row r="53" spans="1:7">
      <c r="A53" s="4111" t="s">
        <v>3295</v>
      </c>
      <c r="B53" s="4120" t="s">
        <v>3303</v>
      </c>
      <c r="C53" s="2501">
        <f ca="1">ROUND((C40+C47)*F27,0)</f>
        <v>133865</v>
      </c>
      <c r="D53" s="2502"/>
      <c r="E53" s="2498"/>
      <c r="F53" s="2499"/>
      <c r="G53" s="2500"/>
    </row>
    <row r="54" spans="1:7">
      <c r="A54" s="4111" t="s">
        <v>3296</v>
      </c>
      <c r="B54" s="4120" t="s">
        <v>3304</v>
      </c>
      <c r="C54" s="2565">
        <f ca="1">ROUND(F48*F27,4)</f>
        <v>4.0000000000000001E-3</v>
      </c>
      <c r="D54" s="2502"/>
      <c r="E54" s="2498"/>
      <c r="F54" s="2499"/>
      <c r="G54" s="2500"/>
    </row>
    <row r="55" spans="1:7" ht="15">
      <c r="A55" s="4114" t="s">
        <v>3455</v>
      </c>
      <c r="B55" s="2512" t="s">
        <v>3456</v>
      </c>
      <c r="C55" s="3987">
        <v>0</v>
      </c>
      <c r="D55" s="2538"/>
      <c r="E55" s="296"/>
      <c r="F55" s="2639"/>
      <c r="G55" s="2646" t="s">
        <v>3307</v>
      </c>
    </row>
    <row r="56" spans="1:7" ht="16.5">
      <c r="A56" s="4114" t="s">
        <v>3460</v>
      </c>
      <c r="B56" s="4114" t="s">
        <v>3457</v>
      </c>
      <c r="C56" s="2534">
        <f ca="1">ROUND((C40+C47+C50+C53)/(1-F48-C51-C54),0)</f>
        <v>844923</v>
      </c>
      <c r="D56" s="296"/>
      <c r="E56" s="296"/>
      <c r="F56" s="2647"/>
      <c r="G56" s="2646" t="s">
        <v>3308</v>
      </c>
    </row>
    <row r="57" spans="1:7" ht="15">
      <c r="A57" s="4114" t="s">
        <v>3424</v>
      </c>
      <c r="B57" s="4121" t="s">
        <v>3290</v>
      </c>
      <c r="C57" s="2534">
        <f ca="1">ROUND(C56*(1-F57),0)</f>
        <v>143637</v>
      </c>
      <c r="D57" s="296"/>
      <c r="E57" s="296"/>
      <c r="F57" s="2647">
        <f>F31</f>
        <v>0.83</v>
      </c>
      <c r="G57" s="2646" t="s">
        <v>3309</v>
      </c>
    </row>
    <row r="58" spans="1:7" ht="16.5">
      <c r="A58" s="4114" t="s">
        <v>3458</v>
      </c>
      <c r="B58" s="4114" t="s">
        <v>3459</v>
      </c>
      <c r="C58" s="2534">
        <f ca="1">C56-C57</f>
        <v>701286</v>
      </c>
      <c r="D58" s="296"/>
      <c r="E58" s="296"/>
      <c r="F58" s="2647"/>
      <c r="G58" s="2646" t="s">
        <v>3310</v>
      </c>
    </row>
    <row r="59" spans="1:7" ht="15.75" thickBot="1">
      <c r="A59" s="2645" t="s">
        <v>3361</v>
      </c>
      <c r="B59" s="4122" t="s">
        <v>3306</v>
      </c>
      <c r="C59" s="3990">
        <f ca="1">ROUND(C58*(1+F59),0)</f>
        <v>764402</v>
      </c>
      <c r="D59" s="3991"/>
      <c r="E59" s="3991"/>
      <c r="F59" s="3992">
        <f>F33</f>
        <v>0.09</v>
      </c>
      <c r="G59" s="3993" t="s">
        <v>3982</v>
      </c>
    </row>
    <row r="60" spans="1:7" ht="14.25">
      <c r="A60" s="2494"/>
      <c r="B60" s="2495"/>
    </row>
    <row r="62" spans="1:7" ht="21" customHeight="1">
      <c r="B62" s="2564" t="s">
        <v>1498</v>
      </c>
      <c r="C62" s="166"/>
    </row>
    <row r="63" spans="1:7" ht="21" customHeight="1">
      <c r="B63" s="55" t="s">
        <v>787</v>
      </c>
      <c r="C63" s="4059">
        <f ca="1">1-C64</f>
        <v>0.49</v>
      </c>
    </row>
    <row r="64" spans="1:7" ht="21" customHeight="1">
      <c r="B64" s="55" t="s">
        <v>788</v>
      </c>
      <c r="C64" s="4060">
        <f ca="1">ROUND(C58/C32,3)</f>
        <v>0.51</v>
      </c>
      <c r="D64" s="164" t="s">
        <v>3363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2" zoomScaleNormal="80" zoomScaleSheetLayoutView="100" workbookViewId="0">
      <selection activeCell="E2" sqref="E2 C37 M41:M42"/>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138.79</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3">
        <f>C30</f>
        <v>47</v>
      </c>
      <c r="C2" s="1441" t="s">
        <v>1842</v>
      </c>
      <c r="D2" s="68" t="s">
        <v>1843</v>
      </c>
      <c r="E2" s="2468" t="s">
        <v>660</v>
      </c>
      <c r="F2" s="68" t="s">
        <v>1844</v>
      </c>
      <c r="G2" s="3541" t="str">
        <f>IF(E2="商业",项目基本情况!B37,IF(E2="办公",项目基本情况!C37,IF(E2="住宅",项目基本情况!D37,IF(E2="工业",项目基本情况!E37,项目基本情况!F37))))</f>
        <v>二级</v>
      </c>
      <c r="H2" s="68" t="s">
        <v>1845</v>
      </c>
      <c r="I2" s="3541" t="str">
        <f>IF(E2="商业",项目基本情况!B38,IF(E2="办公",项目基本情况!C38,IF(E2="住宅",项目基本情况!D38,IF(E2="工业",项目基本情况!E38,项目基本情况!F38))))</f>
        <v>Ⅱ—14</v>
      </c>
      <c r="J2" s="1437"/>
      <c r="K2" s="750"/>
      <c r="L2" s="1442" t="s">
        <v>1846</v>
      </c>
      <c r="M2" s="552">
        <f>SUMPRODUCT((区片价!B10:B29=I2)*(区片价!C3:G3=E2)*(区片价!C10:G29))</f>
        <v>27800</v>
      </c>
      <c r="N2" s="554">
        <f>SUMPRODUCT((因素修正幅度!B10:B29=I2)*(因素修正幅度!C3:G3=E2)*(因素修正幅度!C10:G29))</f>
        <v>9.9000000000000005E-2</v>
      </c>
      <c r="O2" s="750"/>
      <c r="P2" s="750"/>
      <c r="Q2" s="750"/>
      <c r="R2" s="802">
        <v>1</v>
      </c>
      <c r="S2" s="4162">
        <f>ROUND(SUMPRODUCT((B106:B110=R2)*(C105:N105=G2)*(C106:N110)),4)</f>
        <v>1.5206</v>
      </c>
      <c r="T2" s="4162">
        <f t="shared" ref="T2:T16" si="0">ROUND($C$5*$C$22*$C$23*$C$24*S2*$C$28,0)</f>
        <v>29373</v>
      </c>
      <c r="U2" s="4163"/>
      <c r="V2" s="4162">
        <f>ROUND(T2*U2/10000,0)</f>
        <v>0</v>
      </c>
      <c r="W2" s="804"/>
      <c r="X2" s="804"/>
      <c r="Y2" s="804"/>
      <c r="Z2" s="804"/>
      <c r="AA2" s="804"/>
      <c r="AB2" s="804"/>
      <c r="AC2" s="805"/>
      <c r="AD2" s="806"/>
      <c r="AE2" s="806"/>
      <c r="AF2" s="806"/>
      <c r="AG2" s="806"/>
      <c r="AH2" s="806"/>
      <c r="AI2" s="806"/>
      <c r="AJ2" s="807"/>
    </row>
    <row r="3" spans="1:36" ht="15.75">
      <c r="A3" s="98" t="s">
        <v>1847</v>
      </c>
      <c r="B3" s="2523">
        <f>ROUND(B2*10000/D1,0)</f>
        <v>3386</v>
      </c>
      <c r="C3" s="1441" t="s">
        <v>1848</v>
      </c>
      <c r="D3" s="68" t="s">
        <v>1849</v>
      </c>
      <c r="E3" s="2467" t="s">
        <v>2328</v>
      </c>
      <c r="F3" s="1443" t="s">
        <v>4151</v>
      </c>
      <c r="G3" s="4135">
        <f>IF(F3="宗地容积率",'数据-汇总表'!I4,IF(F3="估价对象容积率",'数据-汇总表'!I6,'数据-汇总表'!I7))</f>
        <v>5.99</v>
      </c>
      <c r="H3" s="68" t="s">
        <v>1850</v>
      </c>
      <c r="I3" s="4136"/>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2">
        <f>ROUND(SUMPRODUCT((B106:B110=R3)*(C105:N105=G2)*(C106:N110)),4)</f>
        <v>1.2072000000000001</v>
      </c>
      <c r="T3" s="4162">
        <f t="shared" si="0"/>
        <v>23319</v>
      </c>
      <c r="U3" s="4163"/>
      <c r="V3" s="4162">
        <f t="shared" ref="V3:V16" si="1">ROUND(T3*U3/10000,0)</f>
        <v>0</v>
      </c>
      <c r="W3" s="804"/>
      <c r="X3" s="804"/>
      <c r="Y3" s="804"/>
      <c r="Z3" s="804"/>
      <c r="AA3" s="804"/>
      <c r="AB3" s="804"/>
      <c r="AC3" s="805"/>
      <c r="AD3" s="806"/>
      <c r="AE3" s="806"/>
      <c r="AF3" s="806"/>
      <c r="AG3" s="806"/>
      <c r="AH3" s="806"/>
      <c r="AI3" s="806"/>
      <c r="AJ3" s="807"/>
    </row>
    <row r="4" spans="1:36" ht="15.75">
      <c r="A4" s="3394" t="s">
        <v>3623</v>
      </c>
      <c r="B4" s="3393" t="e">
        <f>ROUND(B2*10000/F1,0)</f>
        <v>#DIV/0!</v>
      </c>
      <c r="C4" s="3392" t="s">
        <v>3624</v>
      </c>
      <c r="D4" s="3393" t="e">
        <f>ROUND(B2/(F1/666.67),0)</f>
        <v>#DIV/0!</v>
      </c>
      <c r="E4" s="3392" t="s">
        <v>3625</v>
      </c>
      <c r="F4" s="3390"/>
      <c r="G4" s="3390"/>
      <c r="H4" s="3390"/>
      <c r="I4" s="3390"/>
      <c r="J4" s="3391"/>
      <c r="K4" s="750"/>
      <c r="L4" s="1442" t="s">
        <v>1853</v>
      </c>
      <c r="M4" s="552">
        <f>SUMPRODUCT((区片价!B55:B86=I2)*(区片价!C3:G3=E2)*(区片价!C55:G86))</f>
        <v>0</v>
      </c>
      <c r="N4" s="554">
        <f>SUMPRODUCT((因素修正幅度!B55:B86=I2)*(因素修正幅度!C3:G3=E2)*(因素修正幅度!C55:G86))</f>
        <v>0</v>
      </c>
      <c r="O4" s="750"/>
      <c r="P4" s="750"/>
      <c r="Q4" s="750"/>
      <c r="R4" s="802">
        <v>3</v>
      </c>
      <c r="S4" s="4162">
        <f>ROUND(SUMPRODUCT((B106:B110=R4)*(C105:N105=G2)*(C106:N110)),4)</f>
        <v>1.0430999999999999</v>
      </c>
      <c r="T4" s="4162">
        <f t="shared" si="0"/>
        <v>20149</v>
      </c>
      <c r="U4" s="4163"/>
      <c r="V4" s="4162">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27">
        <f>ROUND(IF(E2="商业",C6*C7*C17+C20,(IF(E2="住宅",C6*C13*C17+C20,IF(E2="办公",C6*C12*C17+C20,C6+C20)))),0)</f>
        <v>27783</v>
      </c>
      <c r="D5" s="2924">
        <f>ROUND(C6*C17+C20,0)</f>
        <v>27783</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2">
        <f>ROUND(SUMPRODUCT((B106:B110=R5)*(C105:N105=G2)*(C106:N110)),4)</f>
        <v>0.94389999999999996</v>
      </c>
      <c r="T5" s="4162">
        <f t="shared" si="0"/>
        <v>18233</v>
      </c>
      <c r="U5" s="4163"/>
      <c r="V5" s="4162">
        <f t="shared" si="1"/>
        <v>0</v>
      </c>
      <c r="W5" s="804"/>
      <c r="X5" s="804"/>
      <c r="Y5" s="804"/>
      <c r="Z5" s="804"/>
      <c r="AA5" s="804"/>
      <c r="AB5" s="804"/>
      <c r="AC5" s="1450"/>
      <c r="AD5" s="1451"/>
      <c r="AE5" s="1451"/>
      <c r="AF5" s="1451"/>
      <c r="AG5" s="1451"/>
      <c r="AH5" s="1451"/>
      <c r="AI5" s="1451"/>
      <c r="AJ5" s="1452"/>
    </row>
    <row r="6" spans="1:36" ht="15.75" thickBot="1">
      <c r="A6" s="1454" t="s">
        <v>1856</v>
      </c>
      <c r="B6" s="1455" t="s">
        <v>1857</v>
      </c>
      <c r="C6" s="4128">
        <f>SUMIF(L1:L12,G2,M1:M12)</f>
        <v>27800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2">
        <f>ROUND(SUMPRODUCT((B106:B110=R6)*(C105:N105=G2)*(C106:N110)),4)</f>
        <v>0.89959999999999996</v>
      </c>
      <c r="T6" s="4162">
        <f t="shared" si="0"/>
        <v>17377</v>
      </c>
      <c r="U6" s="4163"/>
      <c r="V6" s="4162">
        <f t="shared" si="1"/>
        <v>0</v>
      </c>
      <c r="W6" s="804"/>
      <c r="X6" s="804"/>
      <c r="Y6" s="804"/>
      <c r="Z6" s="804"/>
      <c r="AA6" s="804"/>
      <c r="AB6" s="804"/>
      <c r="AC6" s="1450"/>
      <c r="AD6" s="1451"/>
      <c r="AE6" s="1451"/>
      <c r="AF6" s="1451"/>
      <c r="AG6" s="1451"/>
      <c r="AH6" s="1451"/>
      <c r="AI6" s="1451"/>
      <c r="AJ6" s="1452"/>
    </row>
    <row r="7" spans="1:36" ht="24.75" thickBot="1">
      <c r="A7" s="2397" t="s">
        <v>3116</v>
      </c>
      <c r="B7" s="1460" t="s">
        <v>1859</v>
      </c>
      <c r="C7" s="4129">
        <f>IF(C8="不临65条商业街",1,ROUND(1+(1.6*E8+1.2*E9+0.8*E10+0.4*E11)*C9,4))</f>
        <v>1</v>
      </c>
      <c r="D7" s="1461" t="s">
        <v>1860</v>
      </c>
      <c r="E7" s="4134"/>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4"/>
      <c r="T7" s="4162">
        <f t="shared" si="0"/>
        <v>0</v>
      </c>
      <c r="U7" s="4163"/>
      <c r="V7" s="4162">
        <f t="shared" si="1"/>
        <v>0</v>
      </c>
      <c r="W7" s="910" t="s">
        <v>1862</v>
      </c>
      <c r="X7" s="4179" t="str">
        <f>G2</f>
        <v>二级</v>
      </c>
      <c r="Y7" s="803" t="s">
        <v>1863</v>
      </c>
      <c r="Z7" s="4181">
        <f>G3</f>
        <v>5.99</v>
      </c>
      <c r="AA7" s="804"/>
      <c r="AB7" s="804"/>
      <c r="AC7" s="805"/>
      <c r="AD7" s="806"/>
      <c r="AE7" s="806"/>
      <c r="AF7" s="806"/>
      <c r="AG7" s="806"/>
      <c r="AH7" s="806"/>
      <c r="AI7" s="806"/>
      <c r="AJ7" s="807"/>
    </row>
    <row r="8" spans="1:36" ht="25.5">
      <c r="A8" s="2394"/>
      <c r="B8" s="68" t="s">
        <v>1864</v>
      </c>
      <c r="C8" s="4130" t="s">
        <v>4152</v>
      </c>
      <c r="D8" s="3659" t="s">
        <v>110</v>
      </c>
      <c r="E8" s="4131"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3"/>
      <c r="T8" s="4162">
        <f t="shared" si="0"/>
        <v>0</v>
      </c>
      <c r="U8" s="4163"/>
      <c r="V8" s="4162">
        <f t="shared" si="1"/>
        <v>0</v>
      </c>
      <c r="W8" s="4652" t="s">
        <v>1867</v>
      </c>
      <c r="X8" s="4653"/>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4"/>
      <c r="B9" s="68" t="s">
        <v>1880</v>
      </c>
      <c r="C9" s="3540">
        <f>SUMIF(修正!C73:C140,C8,修正!E73:E140)</f>
        <v>0</v>
      </c>
      <c r="D9" s="3541" t="s">
        <v>111</v>
      </c>
      <c r="E9" s="3541"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3"/>
      <c r="T9" s="4162">
        <f t="shared" si="0"/>
        <v>0</v>
      </c>
      <c r="U9" s="4163"/>
      <c r="V9" s="4162">
        <f t="shared" si="1"/>
        <v>0</v>
      </c>
      <c r="W9" s="4654"/>
      <c r="X9" s="2442" t="s">
        <v>3145</v>
      </c>
      <c r="Y9" s="4176">
        <v>6</v>
      </c>
      <c r="Z9" s="4177">
        <f>$Y$9</f>
        <v>6</v>
      </c>
      <c r="AA9" s="4177">
        <f t="shared" ref="AA9:AJ9" si="2">$Y$9</f>
        <v>6</v>
      </c>
      <c r="AB9" s="4177">
        <f t="shared" si="2"/>
        <v>6</v>
      </c>
      <c r="AC9" s="4177">
        <f t="shared" si="2"/>
        <v>6</v>
      </c>
      <c r="AD9" s="4177">
        <f t="shared" si="2"/>
        <v>6</v>
      </c>
      <c r="AE9" s="4177">
        <f t="shared" si="2"/>
        <v>6</v>
      </c>
      <c r="AF9" s="4177">
        <f t="shared" si="2"/>
        <v>6</v>
      </c>
      <c r="AG9" s="4177">
        <f t="shared" si="2"/>
        <v>6</v>
      </c>
      <c r="AH9" s="4177">
        <f t="shared" si="2"/>
        <v>6</v>
      </c>
      <c r="AI9" s="4177">
        <f t="shared" si="2"/>
        <v>6</v>
      </c>
      <c r="AJ9" s="4177">
        <f t="shared" si="2"/>
        <v>6</v>
      </c>
    </row>
    <row r="10" spans="1:36" ht="15">
      <c r="A10" s="2394"/>
      <c r="B10" s="68" t="s">
        <v>1883</v>
      </c>
      <c r="C10" s="3063">
        <f>SUMIF(修正!C73:C140,C8,修正!F73:F140)</f>
        <v>0</v>
      </c>
      <c r="D10" s="3541" t="s">
        <v>112</v>
      </c>
      <c r="E10" s="3541"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3"/>
      <c r="T10" s="4162">
        <f t="shared" si="0"/>
        <v>0</v>
      </c>
      <c r="U10" s="4163"/>
      <c r="V10" s="4162">
        <f t="shared" si="1"/>
        <v>0</v>
      </c>
      <c r="W10" s="4654"/>
      <c r="X10" s="4180">
        <v>6</v>
      </c>
      <c r="Y10" s="4178">
        <f>ROUND((-0.5556*(Y9^2)-0.2719*Y9+8944)*(10^(-4)),4)</f>
        <v>0.89219999999999999</v>
      </c>
      <c r="Z10" s="4178">
        <f>ROUND((-0.5556*(Z9^2)-0.2719*Z9+8944)*(10^(-4)),4)</f>
        <v>0.89219999999999999</v>
      </c>
      <c r="AA10" s="4178">
        <f>ROUND((-0.7912*(AA9^2)-11.3794*AA9+8482)*(10^(-4)),4)</f>
        <v>0.83850000000000002</v>
      </c>
      <c r="AB10" s="4178">
        <f>ROUND((-0.7912*(AB9^2)-11.3794*AB9+8482)*(10^(-4)),4)</f>
        <v>0.83850000000000002</v>
      </c>
      <c r="AC10" s="4178">
        <f>ROUND((-0.7912*(AC9^2)-11.3794*AC9+8482)*(10^(-4)),4)</f>
        <v>0.83850000000000002</v>
      </c>
      <c r="AD10" s="4178">
        <f>ROUND((-0.7912*(AD9^2)-11.3794*AD9+8482)*(10^(-4)),4)</f>
        <v>0.83850000000000002</v>
      </c>
      <c r="AE10" s="4178">
        <f>ROUND((-0.7912*(AE9^2)-11.3794*AE9+8482)*(10^(-4)),4)</f>
        <v>0.83850000000000002</v>
      </c>
      <c r="AF10" s="4178">
        <f>ROUND((-0.989*(AF9^2)-63.78*AF9+7771)*(10^(-4)),4)</f>
        <v>0.73529999999999995</v>
      </c>
      <c r="AG10" s="4178">
        <f>ROUND((-0.989*(AG9^2)-63.78*AG9+7771)*(10^(-4)),4)</f>
        <v>0.73529999999999995</v>
      </c>
      <c r="AH10" s="4178">
        <f>ROUND((-0.989*(AH9^2)-63.78*AH9+7771)*(10^(-4)),4)</f>
        <v>0.73529999999999995</v>
      </c>
      <c r="AI10" s="4178">
        <f>ROUND((-0.989*(AI9^2)-63.78*AI9+7771)*(10^(-4)),4)</f>
        <v>0.73529999999999995</v>
      </c>
      <c r="AJ10" s="4178">
        <f>ROUND((-0.989*(AJ9^2)-63.78*AJ9+7771)*(10^(-4)),4)</f>
        <v>0.73529999999999995</v>
      </c>
    </row>
    <row r="11" spans="1:36" ht="15.75" thickBot="1">
      <c r="A11" s="2396"/>
      <c r="B11" s="1469" t="s">
        <v>1886</v>
      </c>
      <c r="C11" s="4132">
        <f>C10/4</f>
        <v>0</v>
      </c>
      <c r="D11" s="4133" t="s">
        <v>113</v>
      </c>
      <c r="E11" s="4133"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3"/>
      <c r="T11" s="4162">
        <f t="shared" si="0"/>
        <v>0</v>
      </c>
      <c r="U11" s="4163"/>
      <c r="V11" s="4162">
        <f t="shared" si="1"/>
        <v>0</v>
      </c>
      <c r="W11" s="804"/>
      <c r="X11" s="804"/>
      <c r="Y11" s="804"/>
      <c r="Z11" s="804"/>
      <c r="AA11" s="804"/>
      <c r="AB11" s="804"/>
      <c r="AC11" s="805"/>
      <c r="AD11" s="2040"/>
      <c r="AE11" s="2040"/>
      <c r="AF11" s="2040"/>
      <c r="AG11" s="2040"/>
      <c r="AH11" s="2040"/>
      <c r="AI11" s="2040"/>
      <c r="AJ11" s="2041"/>
    </row>
    <row r="12" spans="1:36" ht="25.5" thickBot="1">
      <c r="A12" s="2397" t="s">
        <v>3117</v>
      </c>
      <c r="B12" s="2398" t="s">
        <v>3118</v>
      </c>
      <c r="C12" s="4137"/>
      <c r="D12" s="2399" t="s">
        <v>3119</v>
      </c>
      <c r="E12" s="2400" t="s">
        <v>3120</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3"/>
      <c r="T12" s="4162">
        <f t="shared" si="0"/>
        <v>0</v>
      </c>
      <c r="U12" s="4163"/>
      <c r="V12" s="4162">
        <f t="shared" si="1"/>
        <v>0</v>
      </c>
      <c r="W12" s="804"/>
      <c r="X12" s="804"/>
      <c r="Y12" s="804"/>
      <c r="Z12" s="804"/>
      <c r="AA12" s="804"/>
      <c r="AB12" s="804"/>
      <c r="AC12" s="805"/>
      <c r="AD12" s="2040"/>
      <c r="AE12" s="2040"/>
      <c r="AF12" s="2040"/>
      <c r="AG12" s="2040"/>
      <c r="AH12" s="2040"/>
      <c r="AI12" s="2040"/>
      <c r="AJ12" s="2041"/>
    </row>
    <row r="13" spans="1:36" ht="15.75" thickBot="1">
      <c r="A13" s="2397" t="s">
        <v>3121</v>
      </c>
      <c r="B13" s="1473" t="s">
        <v>1889</v>
      </c>
      <c r="C13" s="4138">
        <f>ROUND(C16*D16*E16*F16*G16*H16*I16*J16,4)</f>
        <v>0</v>
      </c>
      <c r="D13" s="1474" t="s">
        <v>1890</v>
      </c>
      <c r="E13" s="1475"/>
      <c r="F13" s="1475"/>
      <c r="G13" s="1476"/>
      <c r="H13" s="1476"/>
      <c r="I13" s="1476"/>
      <c r="J13" s="1477"/>
      <c r="K13" s="750"/>
      <c r="L13" s="3"/>
      <c r="M13" s="4"/>
      <c r="N13" s="2395"/>
      <c r="O13" s="750"/>
      <c r="P13" s="750"/>
      <c r="Q13" s="750"/>
      <c r="R13" s="802">
        <v>12</v>
      </c>
      <c r="S13" s="4163"/>
      <c r="T13" s="4162">
        <f t="shared" si="0"/>
        <v>0</v>
      </c>
      <c r="U13" s="4163"/>
      <c r="V13" s="4162">
        <f t="shared" si="1"/>
        <v>0</v>
      </c>
      <c r="W13" s="804"/>
      <c r="X13" s="804"/>
      <c r="Y13" s="804"/>
      <c r="Z13" s="804"/>
      <c r="AA13" s="804"/>
      <c r="AB13" s="804"/>
      <c r="AC13" s="805"/>
      <c r="AD13" s="2040"/>
      <c r="AE13" s="2040"/>
      <c r="AF13" s="2040"/>
      <c r="AG13" s="2040"/>
      <c r="AH13" s="2040"/>
      <c r="AI13" s="2040"/>
      <c r="AJ13" s="2041"/>
    </row>
    <row r="14" spans="1:36" ht="15">
      <c r="A14" s="2393"/>
      <c r="B14" s="1478" t="s">
        <v>1892</v>
      </c>
      <c r="C14" s="1479" t="s">
        <v>1893</v>
      </c>
      <c r="D14" s="904" t="s">
        <v>1894</v>
      </c>
      <c r="E14" s="18" t="s">
        <v>1895</v>
      </c>
      <c r="F14" s="2404" t="s">
        <v>3122</v>
      </c>
      <c r="G14" s="2404" t="s">
        <v>3122</v>
      </c>
      <c r="H14" s="2404" t="s">
        <v>3122</v>
      </c>
      <c r="I14" s="2404" t="s">
        <v>3122</v>
      </c>
      <c r="J14" s="2404" t="s">
        <v>3122</v>
      </c>
      <c r="K14" s="750"/>
      <c r="L14" s="750"/>
      <c r="M14" s="750"/>
      <c r="N14" s="750"/>
      <c r="O14" s="750"/>
      <c r="P14" s="750"/>
      <c r="Q14" s="750"/>
      <c r="R14" s="802">
        <v>13</v>
      </c>
      <c r="S14" s="4163"/>
      <c r="T14" s="4162">
        <f t="shared" si="0"/>
        <v>0</v>
      </c>
      <c r="U14" s="4163"/>
      <c r="V14" s="4162">
        <f t="shared" si="1"/>
        <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3123</v>
      </c>
      <c r="G15" s="1522"/>
      <c r="H15" s="2405"/>
      <c r="I15" s="2406"/>
      <c r="J15" s="2407"/>
      <c r="K15" s="750"/>
      <c r="L15" s="750"/>
      <c r="M15" s="750"/>
      <c r="N15" s="750"/>
      <c r="O15" s="750"/>
      <c r="P15" s="750"/>
      <c r="Q15" s="750"/>
      <c r="R15" s="802">
        <v>14</v>
      </c>
      <c r="S15" s="4163"/>
      <c r="T15" s="4162">
        <f t="shared" si="0"/>
        <v>0</v>
      </c>
      <c r="U15" s="4163"/>
      <c r="V15" s="4162">
        <f t="shared" si="1"/>
        <v>0</v>
      </c>
      <c r="W15" s="804"/>
      <c r="X15" s="804"/>
      <c r="Y15" s="804"/>
      <c r="Z15" s="804"/>
      <c r="AA15" s="804"/>
      <c r="AB15" s="804"/>
      <c r="AC15" s="805"/>
      <c r="AD15" s="2040"/>
      <c r="AE15" s="2040"/>
      <c r="AF15" s="2040"/>
      <c r="AG15" s="2040"/>
      <c r="AH15" s="2040"/>
      <c r="AI15" s="2040"/>
      <c r="AJ15" s="2041"/>
    </row>
    <row r="16" spans="1:36" ht="15.75" thickBot="1">
      <c r="A16" s="2393"/>
      <c r="B16" s="2408" t="s">
        <v>1896</v>
      </c>
      <c r="C16" s="4139"/>
      <c r="D16" s="4139"/>
      <c r="E16" s="4139"/>
      <c r="F16" s="4139">
        <v>1</v>
      </c>
      <c r="G16" s="4139">
        <v>1</v>
      </c>
      <c r="H16" s="4139">
        <v>1</v>
      </c>
      <c r="I16" s="4139">
        <v>1</v>
      </c>
      <c r="J16" s="4140">
        <v>1</v>
      </c>
      <c r="K16" s="750"/>
      <c r="L16" s="1439"/>
      <c r="M16" s="1439"/>
      <c r="N16" s="1439"/>
      <c r="O16" s="1439"/>
      <c r="P16" s="1439"/>
      <c r="Q16" s="750"/>
      <c r="R16" s="802">
        <v>15</v>
      </c>
      <c r="S16" s="4163"/>
      <c r="T16" s="4162">
        <f t="shared" si="0"/>
        <v>0</v>
      </c>
      <c r="U16" s="4163"/>
      <c r="V16" s="4162">
        <f t="shared" si="1"/>
        <v>0</v>
      </c>
      <c r="W16" s="804"/>
      <c r="X16" s="804"/>
      <c r="Y16" s="804"/>
      <c r="Z16" s="804"/>
      <c r="AA16" s="804"/>
      <c r="AB16" s="804"/>
      <c r="AC16" s="805"/>
      <c r="AD16" s="2040"/>
      <c r="AE16" s="2040"/>
      <c r="AF16" s="2040"/>
      <c r="AG16" s="2040"/>
      <c r="AH16" s="2040"/>
      <c r="AI16" s="2040"/>
      <c r="AJ16" s="2041"/>
    </row>
    <row r="17" spans="1:37">
      <c r="A17" s="2416" t="s">
        <v>3124</v>
      </c>
      <c r="B17" s="2409" t="s">
        <v>3125</v>
      </c>
      <c r="C17" s="4141">
        <f>ROUND(IF(OR(E2="工业",E2="公共服务"),1,IF(AND(E18=0,E19=0),1,IF(AND(E18=J24,E19=G19),0.8,IF(E19=0,1+E17*(-0.2),1+E17*G17*(-0.2))))),4)</f>
        <v>1</v>
      </c>
      <c r="D17" s="2410" t="s">
        <v>3126</v>
      </c>
      <c r="E17" s="2417">
        <f>ROUND(G18/I18,2)</f>
        <v>0</v>
      </c>
      <c r="F17" s="2410" t="s">
        <v>3129</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2"/>
      <c r="D18" s="2411" t="s">
        <v>3127</v>
      </c>
      <c r="E18" s="2592"/>
      <c r="F18" s="2412" t="s">
        <v>3130</v>
      </c>
      <c r="G18" s="2415">
        <f>ROUND(1-(1/(POWER(1+G24,E18))),4)</f>
        <v>0</v>
      </c>
      <c r="H18" s="2412" t="s">
        <v>3132</v>
      </c>
      <c r="I18" s="2415">
        <f>ROUND(1-(1/(POWER(1+G24,J24))),4)</f>
        <v>0.88249999999999995</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3"/>
      <c r="D19" s="2423" t="s">
        <v>3128</v>
      </c>
      <c r="E19" s="2925"/>
      <c r="F19" s="2424" t="s">
        <v>3131</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55" t="s">
        <v>3133</v>
      </c>
      <c r="B20" s="66" t="s">
        <v>1901</v>
      </c>
      <c r="C20" s="4144">
        <f>ROUND(IF(F21="与级别开发程度一致",0,(G21-E21)/C21),0)</f>
        <v>-17</v>
      </c>
      <c r="D20" s="2426" t="s">
        <v>1905</v>
      </c>
      <c r="E20" s="2427"/>
      <c r="F20" s="4661" t="s">
        <v>1902</v>
      </c>
      <c r="G20" s="4662"/>
      <c r="H20" s="2413" t="s">
        <v>4154</v>
      </c>
      <c r="I20" s="2413" t="s">
        <v>4155</v>
      </c>
      <c r="J20" s="2414" t="s">
        <v>4156</v>
      </c>
      <c r="K20" s="1484" t="s">
        <v>4157</v>
      </c>
      <c r="L20" s="1484" t="s">
        <v>4158</v>
      </c>
      <c r="M20" s="1484" t="s">
        <v>4159</v>
      </c>
      <c r="N20" s="1484" t="s">
        <v>4160</v>
      </c>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656"/>
      <c r="B21" s="1589" t="s">
        <v>1904</v>
      </c>
      <c r="C21" s="4145">
        <f>IF(E3="M4科研用地",SUMPRODUCT((修正!A2:A7=E3)*(修正!B1:M1=G2)*(修正!B2:M7)),SUMPRODUCT((修正!A2:A7=E2)*(修正!B1:M1=G2)*(修正!B2:M7)))</f>
        <v>3.5</v>
      </c>
      <c r="D21" s="82" t="str">
        <f>IF(OR(G2="八级",G2="九级",G2="十级",G2="十一级",G2="十二级"),"五通一平","七通一平")</f>
        <v>七通一平</v>
      </c>
      <c r="E21" s="4165">
        <f>SUMPRODUCT((修正!B1:M1=G2)*(修正!B17:M17))</f>
        <v>375</v>
      </c>
      <c r="F21" s="1583" t="s">
        <v>4153</v>
      </c>
      <c r="G21" s="4172">
        <f>SUM(H21:O21)</f>
        <v>315</v>
      </c>
      <c r="H21" s="4173">
        <f>SUMPRODUCT((七通一平=H20)*(修正!B1:M1=G2)*(修正!B8:M16))</f>
        <v>80</v>
      </c>
      <c r="I21" s="4173">
        <f>SUMPRODUCT((七通一平=I20)*(修正!B1:M1=G2)*(修正!B8:M16))</f>
        <v>70</v>
      </c>
      <c r="J21" s="4174">
        <f>SUMPRODUCT((七通一平=J20)*(修正!B1:M1=G2)*(修正!B8:M16))</f>
        <v>20</v>
      </c>
      <c r="K21" s="4173">
        <f>SUMPRODUCT((七通一平=K20)*(修正!B1:M1=G2)*(修正!B8:M16))</f>
        <v>30</v>
      </c>
      <c r="L21" s="4173">
        <f>SUMPRODUCT((七通一平=L20)*(修正!B1:M1=G2)*(修正!B8:M16))</f>
        <v>45</v>
      </c>
      <c r="M21" s="4173">
        <f>SUMPRODUCT((七通一平=M20)*(修正!B1:M1=G2)*(修正!B8:M16))</f>
        <v>50</v>
      </c>
      <c r="N21" s="4173">
        <f>SUMPRODUCT((七通一平=N20)*(修正!B1:M1=G2)*(修正!B8:M16))</f>
        <v>20</v>
      </c>
      <c r="O21" s="4175">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46">
        <f>SUMIF(修正!C20:C53,E3,修正!E20:E53)</f>
        <v>0.8</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1908</v>
      </c>
      <c r="C23" s="414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491" t="s">
        <v>1909</v>
      </c>
      <c r="E23" s="4167">
        <v>44197</v>
      </c>
      <c r="F23" s="1491" t="s">
        <v>1910</v>
      </c>
      <c r="G23" s="4168">
        <f>'数据-取费表'!B2</f>
        <v>46050</v>
      </c>
      <c r="H23" s="2428" t="s">
        <v>4161</v>
      </c>
      <c r="I23" s="2429" t="str">
        <f>IF(H23="季度增幅（自定义）",SUMIF(N25:N28,E2,O25:O28),"")</f>
        <v/>
      </c>
      <c r="J23" s="2483" t="s">
        <v>4162</v>
      </c>
      <c r="K23" s="755"/>
      <c r="L23" s="1492" t="s">
        <v>1911</v>
      </c>
      <c r="M23" s="887">
        <f>ROUND(SUMIF(地价!B2:G2,E2,地价!B16:G16),0)</f>
        <v>350</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48">
        <f>ROUND(POWER(1+G24,J24-I24)*(POWER(1+G24,I24)-1)/(POWER(1+G24,J24)-1),4)</f>
        <v>0.8125</v>
      </c>
      <c r="D24" s="1497" t="s">
        <v>1914</v>
      </c>
      <c r="E24" s="4166">
        <f>存贷款利率!E28/100</f>
        <v>4.3499999999999997E-2</v>
      </c>
      <c r="F24" s="1497" t="s">
        <v>1906</v>
      </c>
      <c r="G24" s="4169">
        <f>SUMIF(M30:Q30,E2,M33:Q33)</f>
        <v>5.5E-2</v>
      </c>
      <c r="H24" s="1497" t="s">
        <v>1915</v>
      </c>
      <c r="I24" s="4170">
        <f>SUMIF('数据-取费表'!C6:C15,E2,'数据-取费表'!F6:F15)/COUNTIF('数据-取费表'!C6:C15,E2)</f>
        <v>23.58</v>
      </c>
      <c r="J24" s="4171">
        <f>IF(E2="住宅",70,IF(E2="商业",40,50))</f>
        <v>40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4163</v>
      </c>
      <c r="C25" s="4149">
        <f>IF(B25="容积率修正",IF(G3&lt;10,D26,J26),C27)</f>
        <v>0.94130000000000003</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3134</v>
      </c>
      <c r="D26" s="4160">
        <f>IF(E26=G26,F26,IF(G3&lt;10,ROUND(F26+(H26-F26)*(G3-E26)/(G26-E26),4),"——"))</f>
        <v>0.94130000000000003</v>
      </c>
      <c r="E26" s="4160">
        <f>ROUNDDOWN(G3,1)</f>
        <v>5.9</v>
      </c>
      <c r="F26" s="41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4160">
        <f>ROUNDUP(G3,1)</f>
        <v>6</v>
      </c>
      <c r="H26" s="41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1507" t="s">
        <v>3135</v>
      </c>
      <c r="J26" s="4161"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50">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51">
        <f>SUMIF(A47:A101,E2,B47:B101)</f>
        <v>1.0528</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52">
        <f>IF(B25="容积率修正",E33+SUM(I37:I42),SUM(V2:V16)+SUM(I37:I42))</f>
        <v>47</v>
      </c>
      <c r="D30" s="3850" t="s">
        <v>3781</v>
      </c>
      <c r="E30" s="1437"/>
      <c r="F30" s="1520"/>
      <c r="G30" s="1437"/>
      <c r="H30" s="1437"/>
      <c r="I30" s="1437"/>
      <c r="J30" s="1521"/>
      <c r="K30" s="750"/>
      <c r="L30" s="2434" t="s">
        <v>1843</v>
      </c>
      <c r="M30" s="2435" t="s">
        <v>1897</v>
      </c>
      <c r="N30" s="2435" t="s">
        <v>1898</v>
      </c>
      <c r="O30" s="2435" t="s">
        <v>1899</v>
      </c>
      <c r="P30" s="2435" t="s">
        <v>1900</v>
      </c>
      <c r="Q30" s="2438" t="s">
        <v>3139</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53">
        <f>E34+SUM(I37:I42)</f>
        <v>47</v>
      </c>
      <c r="D31" s="1523"/>
      <c r="E31" s="1524"/>
      <c r="F31" s="1525"/>
      <c r="G31" s="1524"/>
      <c r="H31" s="1524"/>
      <c r="I31" s="1524"/>
      <c r="J31" s="1526"/>
      <c r="K31" s="750"/>
      <c r="L31" s="2436" t="s">
        <v>1903</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52">
        <f>ROUND(C5*C22*C23*C24*C25*C28,0)</f>
        <v>18183</v>
      </c>
      <c r="D33" s="4154"/>
      <c r="E33" s="2610">
        <f>ROUND(C33*D33/10000,0)</f>
        <v>0</v>
      </c>
      <c r="F33" s="2430" t="s">
        <v>3137</v>
      </c>
      <c r="G33" s="1534"/>
      <c r="H33" s="1534"/>
      <c r="I33" s="1534"/>
      <c r="J33" s="1535"/>
      <c r="K33" s="750"/>
      <c r="L33" s="2433" t="s">
        <v>3140</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55">
        <f>ROUND(IF(E2="工业",C33*M42,IF(B25="楼层修正",SUM(V2:V16)*M41*10000/D34,C33*M41)),0)</f>
        <v>4546</v>
      </c>
      <c r="D34" s="4156"/>
      <c r="E34" s="2610">
        <f>ROUND(IF(B25="楼层修正",SUM(V2:V16)*M40,C34*D34/10000),0)</f>
        <v>0</v>
      </c>
      <c r="F34" s="1538" t="s">
        <v>1939</v>
      </c>
      <c r="G34" s="1539"/>
      <c r="H34" s="1539"/>
      <c r="I34" s="1539"/>
      <c r="J34" s="1540"/>
      <c r="K34" s="750"/>
      <c r="L34" s="2433" t="s">
        <v>3141</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1" t="s">
        <v>3138</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3142</v>
      </c>
      <c r="L36" s="2484">
        <f ca="1">'数据-取费表'!B41</f>
        <v>3.1300000000000001E-2</v>
      </c>
      <c r="M36" s="2928">
        <f ca="1">ROUND($L$36*(1+M31),3)</f>
        <v>3.9E-2</v>
      </c>
      <c r="N36" s="2928">
        <f ca="1">ROUND($L$36*(1+N31),3)</f>
        <v>3.7999999999999999E-2</v>
      </c>
      <c r="O36" s="2928">
        <f ca="1">ROUND($L$36*(1+O31),3)</f>
        <v>3.5999999999999997E-2</v>
      </c>
      <c r="P36" s="2928">
        <f ca="1">ROUND($L$36*(1+P31),3)</f>
        <v>3.4000000000000002E-2</v>
      </c>
      <c r="Q36" s="2928">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59"/>
      <c r="B37" s="4182" t="s">
        <v>1943</v>
      </c>
      <c r="C37" s="4152">
        <f>ROUND(D5*C22*C23*C24*C28*F37,0)</f>
        <v>13522</v>
      </c>
      <c r="D37" s="4154">
        <f>'数据-基础表'!I13</f>
        <v>138.79</v>
      </c>
      <c r="E37" s="3088">
        <f>ROUND(C37*D37/10000,0)</f>
        <v>188</v>
      </c>
      <c r="F37" s="3063">
        <f>SUMIF(修正!A59:A70,G2,修正!B59:B70)</f>
        <v>0.7</v>
      </c>
      <c r="G37" s="3088">
        <f>ROUND(IF(E2="工业",C37*$M$42,C37*$M$41),0)</f>
        <v>3381</v>
      </c>
      <c r="H37" s="3063">
        <f>D37</f>
        <v>138.79</v>
      </c>
      <c r="I37" s="3088">
        <f>ROUND(G37*H37/10000,0)</f>
        <v>47</v>
      </c>
      <c r="J37" s="2184"/>
      <c r="K37" s="2440" t="s">
        <v>3143</v>
      </c>
      <c r="L37" s="2929">
        <f ca="1">L36+K38</f>
        <v>3.6299999999999999E-2</v>
      </c>
      <c r="M37" s="2928">
        <f ca="1">ROUND($L$37*(1+M31),3)</f>
        <v>4.4999999999999998E-2</v>
      </c>
      <c r="N37" s="2928">
        <f t="shared" ref="N37:Q37" ca="1" si="3">ROUND($L$37*(1+N31),3)</f>
        <v>4.3999999999999997E-2</v>
      </c>
      <c r="O37" s="2928">
        <f t="shared" ca="1" si="3"/>
        <v>4.2000000000000003E-2</v>
      </c>
      <c r="P37" s="2928">
        <f t="shared" ca="1" si="3"/>
        <v>0.04</v>
      </c>
      <c r="Q37" s="2928">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60"/>
      <c r="B38" s="3539" t="s">
        <v>1944</v>
      </c>
      <c r="C38" s="4152">
        <f>ROUND(D5*C22*C23*C24*C28*F38,0)</f>
        <v>7727</v>
      </c>
      <c r="D38" s="4154"/>
      <c r="E38" s="3088">
        <f t="shared" ref="E38:E42" si="4">ROUND(C38*D38/10000,0)</f>
        <v>0</v>
      </c>
      <c r="F38" s="3063">
        <f>SUMIF(修正!A59:A70,G2,修正!C59:C70)</f>
        <v>0.4</v>
      </c>
      <c r="G38" s="3088">
        <f>ROUND(IF(E2="工业",C38*$M$42,C38*$M$41),0)</f>
        <v>1932</v>
      </c>
      <c r="H38" s="3063">
        <f t="shared" ref="H38:H42" si="5">D38</f>
        <v>0</v>
      </c>
      <c r="I38" s="3088">
        <f t="shared" ref="I38:I42" si="6">ROUND(G38*H38/10000,0)</f>
        <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60"/>
      <c r="B39" s="3539" t="s">
        <v>3136</v>
      </c>
      <c r="C39" s="4152">
        <f>ROUND(D5*C22*C23*C24*C28*F39,0)</f>
        <v>5795</v>
      </c>
      <c r="D39" s="4154"/>
      <c r="E39" s="3088">
        <f t="shared" si="4"/>
        <v>0</v>
      </c>
      <c r="F39" s="3063">
        <f>SUMIF(修正!A59:A70,G2,修正!D59:D70)</f>
        <v>0.3</v>
      </c>
      <c r="G39" s="3088">
        <f>ROUND(IF(E2="工业",C39*$M$42,C39*$M$41),0)</f>
        <v>1449</v>
      </c>
      <c r="H39" s="3063">
        <f t="shared" si="5"/>
        <v>0</v>
      </c>
      <c r="I39" s="3088">
        <f t="shared" si="6"/>
        <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9" t="s">
        <v>1945</v>
      </c>
      <c r="C40" s="3088">
        <f>ROUND(D5*C22*C23*C24*C28*F40,0)</f>
        <v>5795</v>
      </c>
      <c r="D40" s="4154"/>
      <c r="E40" s="3088">
        <f t="shared" si="4"/>
        <v>0</v>
      </c>
      <c r="F40" s="4157">
        <f>SUMIF(修正!A59:A70,G2,修正!E59:E70)</f>
        <v>0.3</v>
      </c>
      <c r="G40" s="3088">
        <f>ROUND(IF(E2="工业",C40*$M$42,C40*$M$41),0)</f>
        <v>1449</v>
      </c>
      <c r="H40" s="3063">
        <f t="shared" si="5"/>
        <v>0</v>
      </c>
      <c r="I40" s="3088">
        <f t="shared" si="6"/>
        <v>0</v>
      </c>
      <c r="J40" s="665"/>
      <c r="L40" s="1548" t="s">
        <v>1946</v>
      </c>
      <c r="M40" s="1549"/>
      <c r="Z40" s="751"/>
      <c r="AA40" s="751"/>
      <c r="AB40" s="751"/>
      <c r="AC40" s="751"/>
      <c r="AD40" s="751"/>
      <c r="AE40" s="751"/>
      <c r="AF40" s="751"/>
      <c r="AG40" s="751"/>
      <c r="AH40" s="751"/>
      <c r="AI40" s="751"/>
      <c r="AJ40" s="751"/>
    </row>
    <row r="41" spans="1:37" s="750" customFormat="1">
      <c r="A41" s="1547"/>
      <c r="B41" s="3539" t="s">
        <v>1947</v>
      </c>
      <c r="C41" s="3088">
        <f>ROUND(D5*C22*C23*C44*C28*F41,0)</f>
        <v>5492</v>
      </c>
      <c r="D41" s="4154"/>
      <c r="E41" s="3088">
        <f t="shared" si="4"/>
        <v>0</v>
      </c>
      <c r="F41" s="4157">
        <f>SUMIF(修正!A59:A70,G2,修正!F59:F70)</f>
        <v>0.3</v>
      </c>
      <c r="G41" s="3088">
        <f>ROUND(IF(E2="工业",C41*$M$42,C41*$M$41),0)</f>
        <v>1373</v>
      </c>
      <c r="H41" s="3063">
        <f t="shared" si="5"/>
        <v>0</v>
      </c>
      <c r="I41" s="3088">
        <f t="shared" si="6"/>
        <v>0</v>
      </c>
      <c r="J41" s="665"/>
      <c r="L41" s="2441" t="s">
        <v>3144</v>
      </c>
      <c r="M41" s="1550">
        <v>0.25</v>
      </c>
      <c r="Z41" s="751"/>
      <c r="AA41" s="751"/>
      <c r="AB41" s="751"/>
      <c r="AC41" s="751"/>
      <c r="AD41" s="751"/>
      <c r="AE41" s="751"/>
      <c r="AF41" s="751"/>
      <c r="AG41" s="751"/>
      <c r="AH41" s="751"/>
      <c r="AI41" s="751"/>
      <c r="AJ41" s="751"/>
    </row>
    <row r="42" spans="1:37" s="750" customFormat="1" ht="13.5" thickBot="1">
      <c r="A42" s="1536"/>
      <c r="B42" s="4183" t="s">
        <v>1948</v>
      </c>
      <c r="C42" s="4155">
        <f>ROUND(D5*C22*C23*C44*C28*F42,0)</f>
        <v>3661</v>
      </c>
      <c r="D42" s="4156"/>
      <c r="E42" s="4155">
        <f t="shared" si="4"/>
        <v>0</v>
      </c>
      <c r="F42" s="4158">
        <f>SUMIF(修正!A59:A70,G2,修正!G59:G70)</f>
        <v>0.2</v>
      </c>
      <c r="G42" s="4155">
        <f>ROUND(IF(E2="工业",C42*$M$42,C42*$M$41),0)</f>
        <v>915</v>
      </c>
      <c r="H42" s="4159">
        <f t="shared" si="5"/>
        <v>0</v>
      </c>
      <c r="I42" s="4155">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2025</v>
      </c>
      <c r="C44" s="224">
        <f>ROUND(POWER(1+E44,H44-G44)*(POWER(1+E44,G44)-1)/(POWER(1+E44,H44)-1),4)</f>
        <v>0.77</v>
      </c>
      <c r="D44" s="69" t="s">
        <v>1906</v>
      </c>
      <c r="E44" s="1581">
        <f>G24</f>
        <v>5.5E-2</v>
      </c>
      <c r="F44" s="69" t="s">
        <v>1915</v>
      </c>
      <c r="G44" s="78">
        <f>项目基本情况!D15</f>
        <v>23.58</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84">
        <f>1+E50</f>
        <v>1.0528</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t="s">
        <v>3602</v>
      </c>
      <c r="D50" s="4185">
        <f t="shared" ref="D50:D58" si="7">SUMIF($J$49:$N$49,C50,J50:N50)</f>
        <v>1.4800000000000001E-2</v>
      </c>
      <c r="E50" s="4186">
        <f>ROUND(SUM(D50:D58),4)</f>
        <v>5.28E-2</v>
      </c>
      <c r="F50" s="4194">
        <f>IF(E2="商业",SUMIF(L1:L12,G2,N1:N12),"——")</f>
        <v>9.9000000000000005E-2</v>
      </c>
      <c r="G50" s="4189">
        <f>H50</f>
        <v>1.4800000000000001E-2</v>
      </c>
      <c r="H50" s="4190">
        <f t="shared" ref="H50:H58" si="8">IFERROR(ROUNDDOWN($F$50*I50/2,4),"——")</f>
        <v>1.4800000000000001E-2</v>
      </c>
      <c r="I50" s="4191">
        <v>0.3</v>
      </c>
      <c r="J50" s="4192">
        <f t="shared" ref="J50:J58" si="9">K50+$G50</f>
        <v>2.9600000000000001E-2</v>
      </c>
      <c r="K50" s="4192">
        <f t="shared" ref="K50:K58" si="10">$L50+$G50</f>
        <v>1.4800000000000001E-2</v>
      </c>
      <c r="L50" s="4192">
        <v>0</v>
      </c>
      <c r="M50" s="4192">
        <f t="shared" ref="M50:N58" si="11">L50-$G50</f>
        <v>-1.4800000000000001E-2</v>
      </c>
      <c r="N50" s="4192">
        <f t="shared" si="11"/>
        <v>-2.9600000000000001E-2</v>
      </c>
      <c r="AA50" s="751"/>
      <c r="AB50" s="751"/>
      <c r="AC50" s="751"/>
      <c r="AD50" s="751"/>
      <c r="AE50" s="751"/>
      <c r="AF50" s="751"/>
      <c r="AG50" s="751"/>
      <c r="AH50" s="751"/>
      <c r="AI50" s="751"/>
      <c r="AJ50" s="751"/>
      <c r="AK50" s="751"/>
    </row>
    <row r="51" spans="1:37" s="750" customFormat="1" ht="14.25">
      <c r="A51" s="1560" t="s">
        <v>1960</v>
      </c>
      <c r="B51" s="905">
        <f>估价对象房地状况!C18</f>
        <v>0</v>
      </c>
      <c r="C51" s="1482" t="s">
        <v>3602</v>
      </c>
      <c r="D51" s="4185">
        <f t="shared" si="7"/>
        <v>1.0800000000000001E-2</v>
      </c>
      <c r="E51" s="4187"/>
      <c r="F51" s="1301"/>
      <c r="G51" s="4189">
        <f t="shared" ref="G51:G58" si="12">H51</f>
        <v>1.0800000000000001E-2</v>
      </c>
      <c r="H51" s="4190">
        <f t="shared" si="8"/>
        <v>1.0800000000000001E-2</v>
      </c>
      <c r="I51" s="4191">
        <v>0.22</v>
      </c>
      <c r="J51" s="4192">
        <f t="shared" si="9"/>
        <v>2.1600000000000001E-2</v>
      </c>
      <c r="K51" s="4192">
        <f t="shared" si="10"/>
        <v>1.0800000000000001E-2</v>
      </c>
      <c r="L51" s="4192">
        <v>0</v>
      </c>
      <c r="M51" s="4192">
        <f t="shared" si="11"/>
        <v>-1.0800000000000001E-2</v>
      </c>
      <c r="N51" s="4192">
        <f t="shared" si="11"/>
        <v>-2.1600000000000001E-2</v>
      </c>
      <c r="AA51" s="751"/>
      <c r="AB51" s="751"/>
      <c r="AC51" s="751"/>
      <c r="AD51" s="751"/>
      <c r="AE51" s="751"/>
      <c r="AF51" s="751"/>
      <c r="AG51" s="751"/>
      <c r="AH51" s="751"/>
      <c r="AI51" s="751"/>
      <c r="AJ51" s="751"/>
      <c r="AK51" s="751"/>
    </row>
    <row r="52" spans="1:37" s="750" customFormat="1" ht="36">
      <c r="A52" s="2443" t="s">
        <v>3146</v>
      </c>
      <c r="B52" s="905">
        <f>估价对象房地状况!C19</f>
        <v>0</v>
      </c>
      <c r="C52" s="1482" t="s">
        <v>3602</v>
      </c>
      <c r="D52" s="4185">
        <f t="shared" si="7"/>
        <v>5.8999999999999999E-3</v>
      </c>
      <c r="E52" s="4187"/>
      <c r="F52" s="1301"/>
      <c r="G52" s="4189">
        <f t="shared" si="12"/>
        <v>5.8999999999999999E-3</v>
      </c>
      <c r="H52" s="4190">
        <f t="shared" si="8"/>
        <v>5.8999999999999999E-3</v>
      </c>
      <c r="I52" s="4191">
        <v>0.12</v>
      </c>
      <c r="J52" s="4192">
        <f t="shared" si="9"/>
        <v>1.18E-2</v>
      </c>
      <c r="K52" s="4192">
        <f t="shared" si="10"/>
        <v>5.8999999999999999E-3</v>
      </c>
      <c r="L52" s="4192">
        <v>0</v>
      </c>
      <c r="M52" s="4192">
        <f t="shared" si="11"/>
        <v>-5.8999999999999999E-3</v>
      </c>
      <c r="N52" s="4192">
        <f t="shared" si="11"/>
        <v>-1.18E-2</v>
      </c>
      <c r="AA52" s="751"/>
      <c r="AB52" s="751"/>
      <c r="AC52" s="751"/>
      <c r="AD52" s="751"/>
      <c r="AE52" s="751"/>
      <c r="AF52" s="751"/>
      <c r="AG52" s="751"/>
      <c r="AH52" s="751"/>
      <c r="AI52" s="751"/>
      <c r="AJ52" s="751"/>
      <c r="AK52" s="751"/>
    </row>
    <row r="53" spans="1:37" s="750" customFormat="1" ht="36.75">
      <c r="A53" s="1560" t="s">
        <v>1961</v>
      </c>
      <c r="B53" s="1564" t="s">
        <v>1962</v>
      </c>
      <c r="C53" s="1482" t="s">
        <v>3602</v>
      </c>
      <c r="D53" s="4185">
        <f t="shared" si="7"/>
        <v>2.3999999999999998E-3</v>
      </c>
      <c r="E53" s="4187"/>
      <c r="F53" s="1301"/>
      <c r="G53" s="4189">
        <f t="shared" si="12"/>
        <v>2.3999999999999998E-3</v>
      </c>
      <c r="H53" s="4190">
        <f t="shared" si="8"/>
        <v>2.3999999999999998E-3</v>
      </c>
      <c r="I53" s="4191">
        <v>0.05</v>
      </c>
      <c r="J53" s="4192">
        <f t="shared" si="9"/>
        <v>4.7999999999999996E-3</v>
      </c>
      <c r="K53" s="4192">
        <f t="shared" si="10"/>
        <v>2.3999999999999998E-3</v>
      </c>
      <c r="L53" s="4192">
        <v>0</v>
      </c>
      <c r="M53" s="4192">
        <f t="shared" si="11"/>
        <v>-2.3999999999999998E-3</v>
      </c>
      <c r="N53" s="4192">
        <f t="shared" si="11"/>
        <v>-4.7999999999999996E-3</v>
      </c>
      <c r="AA53" s="751"/>
      <c r="AB53" s="751"/>
      <c r="AC53" s="751"/>
      <c r="AD53" s="751"/>
      <c r="AE53" s="751"/>
      <c r="AF53" s="751"/>
      <c r="AG53" s="751"/>
      <c r="AH53" s="751"/>
      <c r="AI53" s="751"/>
      <c r="AJ53" s="751"/>
      <c r="AK53" s="751"/>
    </row>
    <row r="54" spans="1:37" s="750" customFormat="1" ht="24">
      <c r="A54" s="1560" t="s">
        <v>1963</v>
      </c>
      <c r="B54" s="905">
        <f>估价对象房地状况!C24</f>
        <v>0</v>
      </c>
      <c r="C54" s="1482" t="s">
        <v>3602</v>
      </c>
      <c r="D54" s="4185">
        <f t="shared" si="7"/>
        <v>3.8999999999999998E-3</v>
      </c>
      <c r="E54" s="4187"/>
      <c r="F54" s="1301"/>
      <c r="G54" s="4189">
        <f t="shared" si="12"/>
        <v>3.8999999999999998E-3</v>
      </c>
      <c r="H54" s="4190">
        <f t="shared" si="8"/>
        <v>3.8999999999999998E-3</v>
      </c>
      <c r="I54" s="4191">
        <v>0.08</v>
      </c>
      <c r="J54" s="4192">
        <f t="shared" si="9"/>
        <v>7.7999999999999996E-3</v>
      </c>
      <c r="K54" s="4192">
        <f t="shared" si="10"/>
        <v>3.8999999999999998E-3</v>
      </c>
      <c r="L54" s="4192">
        <v>0</v>
      </c>
      <c r="M54" s="4192">
        <f t="shared" si="11"/>
        <v>-3.8999999999999998E-3</v>
      </c>
      <c r="N54" s="4192">
        <f t="shared" si="11"/>
        <v>-7.7999999999999996E-3</v>
      </c>
      <c r="AA54" s="751"/>
      <c r="AB54" s="751"/>
      <c r="AC54" s="751"/>
      <c r="AD54" s="751"/>
      <c r="AE54" s="751"/>
      <c r="AF54" s="751"/>
      <c r="AG54" s="751"/>
      <c r="AH54" s="751"/>
      <c r="AI54" s="751"/>
      <c r="AJ54" s="751"/>
      <c r="AK54" s="751"/>
    </row>
    <row r="55" spans="1:37" s="750" customFormat="1" ht="24">
      <c r="A55" s="1560" t="s">
        <v>1964</v>
      </c>
      <c r="B55" s="1565" t="s">
        <v>1965</v>
      </c>
      <c r="C55" s="1482" t="s">
        <v>3602</v>
      </c>
      <c r="D55" s="4185">
        <f t="shared" si="7"/>
        <v>2.3999999999999998E-3</v>
      </c>
      <c r="E55" s="4187"/>
      <c r="F55" s="1301"/>
      <c r="G55" s="4189">
        <f t="shared" si="12"/>
        <v>2.3999999999999998E-3</v>
      </c>
      <c r="H55" s="4190">
        <f t="shared" si="8"/>
        <v>2.3999999999999998E-3</v>
      </c>
      <c r="I55" s="4191">
        <v>0.05</v>
      </c>
      <c r="J55" s="4192">
        <f t="shared" si="9"/>
        <v>4.7999999999999996E-3</v>
      </c>
      <c r="K55" s="4192">
        <f t="shared" si="10"/>
        <v>2.3999999999999998E-3</v>
      </c>
      <c r="L55" s="4192">
        <v>0</v>
      </c>
      <c r="M55" s="4192">
        <f t="shared" si="11"/>
        <v>-2.3999999999999998E-3</v>
      </c>
      <c r="N55" s="4192">
        <f t="shared" si="11"/>
        <v>-4.7999999999999996E-3</v>
      </c>
      <c r="AA55" s="751"/>
      <c r="AB55" s="751"/>
      <c r="AC55" s="751"/>
      <c r="AD55" s="751"/>
      <c r="AE55" s="751"/>
      <c r="AF55" s="751"/>
      <c r="AG55" s="751"/>
      <c r="AH55" s="751"/>
      <c r="AI55" s="751"/>
      <c r="AJ55" s="751"/>
      <c r="AK55" s="751"/>
    </row>
    <row r="56" spans="1:37" s="750" customFormat="1" ht="24">
      <c r="A56" s="1566" t="s">
        <v>1966</v>
      </c>
      <c r="B56" s="886">
        <f>估价对象房地状况!C21</f>
        <v>0</v>
      </c>
      <c r="C56" s="1482" t="s">
        <v>3602</v>
      </c>
      <c r="D56" s="4185">
        <f t="shared" si="7"/>
        <v>2.3999999999999998E-3</v>
      </c>
      <c r="E56" s="4187"/>
      <c r="F56" s="1301"/>
      <c r="G56" s="4189">
        <f t="shared" si="12"/>
        <v>2.3999999999999998E-3</v>
      </c>
      <c r="H56" s="4190">
        <f t="shared" si="8"/>
        <v>2.3999999999999998E-3</v>
      </c>
      <c r="I56" s="4191">
        <v>0.05</v>
      </c>
      <c r="J56" s="4192">
        <f t="shared" si="9"/>
        <v>4.7999999999999996E-3</v>
      </c>
      <c r="K56" s="4192">
        <f t="shared" si="10"/>
        <v>2.3999999999999998E-3</v>
      </c>
      <c r="L56" s="4192">
        <v>0</v>
      </c>
      <c r="M56" s="4192">
        <f t="shared" si="11"/>
        <v>-2.3999999999999998E-3</v>
      </c>
      <c r="N56" s="4192">
        <f t="shared" si="11"/>
        <v>-4.7999999999999996E-3</v>
      </c>
      <c r="AA56" s="751"/>
      <c r="AB56" s="751"/>
      <c r="AC56" s="751"/>
      <c r="AD56" s="751"/>
      <c r="AE56" s="751"/>
      <c r="AF56" s="751"/>
      <c r="AG56" s="751"/>
      <c r="AH56" s="751"/>
      <c r="AI56" s="751"/>
      <c r="AJ56" s="751"/>
      <c r="AK56" s="751"/>
    </row>
    <row r="57" spans="1:37" s="750" customFormat="1" ht="24">
      <c r="A57" s="1566" t="s">
        <v>1967</v>
      </c>
      <c r="B57" s="905">
        <f>估价对象房地状况!C22</f>
        <v>0</v>
      </c>
      <c r="C57" s="1482" t="s">
        <v>4142</v>
      </c>
      <c r="D57" s="4185">
        <f t="shared" si="7"/>
        <v>7.7999999999999996E-3</v>
      </c>
      <c r="E57" s="4187"/>
      <c r="F57" s="1301"/>
      <c r="G57" s="4189">
        <f t="shared" si="12"/>
        <v>3.8999999999999998E-3</v>
      </c>
      <c r="H57" s="4190">
        <f t="shared" si="8"/>
        <v>3.8999999999999998E-3</v>
      </c>
      <c r="I57" s="4191">
        <v>0.08</v>
      </c>
      <c r="J57" s="4192">
        <f t="shared" si="9"/>
        <v>7.7999999999999996E-3</v>
      </c>
      <c r="K57" s="4192">
        <f t="shared" si="10"/>
        <v>3.8999999999999998E-3</v>
      </c>
      <c r="L57" s="4192">
        <v>0</v>
      </c>
      <c r="M57" s="4192">
        <f t="shared" si="11"/>
        <v>-3.8999999999999998E-3</v>
      </c>
      <c r="N57" s="4192">
        <f t="shared" si="11"/>
        <v>-7.7999999999999996E-3</v>
      </c>
      <c r="AA57" s="751"/>
      <c r="AB57" s="751"/>
      <c r="AC57" s="751"/>
      <c r="AD57" s="751"/>
      <c r="AE57" s="751"/>
      <c r="AF57" s="751"/>
      <c r="AG57" s="751"/>
      <c r="AH57" s="751"/>
      <c r="AI57" s="751"/>
      <c r="AJ57" s="751"/>
      <c r="AK57" s="751"/>
    </row>
    <row r="58" spans="1:37" s="750" customFormat="1" ht="24.75" thickBot="1">
      <c r="A58" s="1567" t="s">
        <v>1968</v>
      </c>
      <c r="B58" s="1568">
        <f>估价对象房地状况!C20</f>
        <v>0</v>
      </c>
      <c r="C58" s="1482" t="s">
        <v>3602</v>
      </c>
      <c r="D58" s="4185">
        <f t="shared" si="7"/>
        <v>2.3999999999999998E-3</v>
      </c>
      <c r="E58" s="4188"/>
      <c r="F58" s="1301"/>
      <c r="G58" s="4189">
        <f t="shared" si="12"/>
        <v>2.3999999999999998E-3</v>
      </c>
      <c r="H58" s="4190">
        <f t="shared" si="8"/>
        <v>2.3999999999999998E-3</v>
      </c>
      <c r="I58" s="4193">
        <v>0.05</v>
      </c>
      <c r="J58" s="4192">
        <f t="shared" si="9"/>
        <v>4.7999999999999996E-3</v>
      </c>
      <c r="K58" s="4192">
        <f t="shared" si="10"/>
        <v>2.3999999999999998E-3</v>
      </c>
      <c r="L58" s="4192">
        <v>0</v>
      </c>
      <c r="M58" s="4192">
        <f t="shared" si="11"/>
        <v>-2.3999999999999998E-3</v>
      </c>
      <c r="N58" s="4192">
        <f t="shared" si="11"/>
        <v>-4.7999999999999996E-3</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c r="D61" s="4185">
        <f t="shared" ref="D61:D69" si="13">SUMIF($J$60:$N$60,C61,J61:N61)</f>
        <v>0</v>
      </c>
      <c r="E61" s="4186">
        <f>ROUND(SUM(D61:D69),4)</f>
        <v>0</v>
      </c>
      <c r="F61" s="4194" t="str">
        <f>IF(E2="办公",SUMIF(L1:L12,G2,N1:N12),"——")</f>
        <v>——</v>
      </c>
      <c r="G61" s="4189"/>
      <c r="H61" s="4190" t="str">
        <f t="shared" ref="H61:H69" si="14">IFERROR(ROUNDDOWN($F$61*I61/2,4),"——")</f>
        <v>——</v>
      </c>
      <c r="I61" s="4191">
        <v>0.25</v>
      </c>
      <c r="J61" s="4192">
        <f t="shared" ref="J61:J69" si="15">K61+$G61</f>
        <v>0</v>
      </c>
      <c r="K61" s="4192">
        <f t="shared" ref="K61:K69" si="16">$L61+$G61</f>
        <v>0</v>
      </c>
      <c r="L61" s="4192">
        <v>0</v>
      </c>
      <c r="M61" s="4192">
        <f t="shared" ref="M61:N69" si="17">L61-$G61</f>
        <v>0</v>
      </c>
      <c r="N61" s="4192">
        <f t="shared" si="17"/>
        <v>0</v>
      </c>
      <c r="AA61" s="751"/>
      <c r="AB61" s="751"/>
      <c r="AC61" s="751"/>
      <c r="AD61" s="751"/>
      <c r="AE61" s="751"/>
      <c r="AF61" s="751"/>
      <c r="AG61" s="751"/>
      <c r="AH61" s="751"/>
      <c r="AI61" s="751"/>
      <c r="AJ61" s="751"/>
      <c r="AK61" s="751"/>
    </row>
    <row r="62" spans="1:37" s="750" customFormat="1" ht="14.25">
      <c r="A62" s="1560" t="s">
        <v>1960</v>
      </c>
      <c r="B62" s="905">
        <f>估价对象房地状况!C18</f>
        <v>0</v>
      </c>
      <c r="C62" s="1482"/>
      <c r="D62" s="4185">
        <f t="shared" si="13"/>
        <v>0</v>
      </c>
      <c r="E62" s="4187"/>
      <c r="F62" s="4194"/>
      <c r="G62" s="4189"/>
      <c r="H62" s="4190" t="str">
        <f t="shared" si="14"/>
        <v>——</v>
      </c>
      <c r="I62" s="4191">
        <v>0.26</v>
      </c>
      <c r="J62" s="4192">
        <f t="shared" si="15"/>
        <v>0</v>
      </c>
      <c r="K62" s="4192">
        <f t="shared" si="16"/>
        <v>0</v>
      </c>
      <c r="L62" s="4192">
        <v>0</v>
      </c>
      <c r="M62" s="4192">
        <f t="shared" si="17"/>
        <v>0</v>
      </c>
      <c r="N62" s="4192">
        <f t="shared" si="17"/>
        <v>0</v>
      </c>
      <c r="AA62" s="751"/>
      <c r="AB62" s="751"/>
      <c r="AC62" s="751"/>
      <c r="AD62" s="751"/>
      <c r="AE62" s="751"/>
      <c r="AF62" s="751"/>
      <c r="AG62" s="751"/>
      <c r="AH62" s="751"/>
      <c r="AI62" s="751"/>
      <c r="AJ62" s="751"/>
      <c r="AK62" s="751"/>
    </row>
    <row r="63" spans="1:37" s="750" customFormat="1" ht="36">
      <c r="A63" s="2443" t="s">
        <v>3146</v>
      </c>
      <c r="B63" s="905">
        <f>估价对象房地状况!C19</f>
        <v>0</v>
      </c>
      <c r="C63" s="1482"/>
      <c r="D63" s="4185">
        <f t="shared" si="13"/>
        <v>0</v>
      </c>
      <c r="E63" s="4187"/>
      <c r="F63" s="4194"/>
      <c r="G63" s="4189"/>
      <c r="H63" s="4190" t="str">
        <f t="shared" si="14"/>
        <v>——</v>
      </c>
      <c r="I63" s="4191">
        <v>0.11</v>
      </c>
      <c r="J63" s="4192">
        <f t="shared" si="15"/>
        <v>0</v>
      </c>
      <c r="K63" s="4192">
        <f t="shared" si="16"/>
        <v>0</v>
      </c>
      <c r="L63" s="4192">
        <v>0</v>
      </c>
      <c r="M63" s="4192">
        <f t="shared" si="17"/>
        <v>0</v>
      </c>
      <c r="N63" s="4192">
        <f t="shared" si="17"/>
        <v>0</v>
      </c>
      <c r="AA63" s="751"/>
      <c r="AB63" s="751"/>
      <c r="AC63" s="751"/>
      <c r="AD63" s="751"/>
      <c r="AE63" s="751"/>
      <c r="AF63" s="751"/>
      <c r="AG63" s="751"/>
      <c r="AH63" s="751"/>
      <c r="AI63" s="751"/>
      <c r="AJ63" s="751"/>
      <c r="AK63" s="751"/>
    </row>
    <row r="64" spans="1:37" s="750" customFormat="1" ht="36.75">
      <c r="A64" s="1560" t="s">
        <v>1961</v>
      </c>
      <c r="B64" s="1564" t="s">
        <v>1962</v>
      </c>
      <c r="C64" s="1482"/>
      <c r="D64" s="4185">
        <f t="shared" si="13"/>
        <v>0</v>
      </c>
      <c r="E64" s="4187"/>
      <c r="F64" s="4194"/>
      <c r="G64" s="4189"/>
      <c r="H64" s="4190" t="str">
        <f t="shared" si="14"/>
        <v>——</v>
      </c>
      <c r="I64" s="4191">
        <v>0.05</v>
      </c>
      <c r="J64" s="4192">
        <f t="shared" si="15"/>
        <v>0</v>
      </c>
      <c r="K64" s="4192">
        <f t="shared" si="16"/>
        <v>0</v>
      </c>
      <c r="L64" s="4192">
        <v>0</v>
      </c>
      <c r="M64" s="4192">
        <f t="shared" si="17"/>
        <v>0</v>
      </c>
      <c r="N64" s="4192">
        <f t="shared" si="17"/>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85">
        <f t="shared" si="13"/>
        <v>0</v>
      </c>
      <c r="E65" s="4187"/>
      <c r="F65" s="4194"/>
      <c r="G65" s="4189"/>
      <c r="H65" s="4190" t="str">
        <f t="shared" si="14"/>
        <v>——</v>
      </c>
      <c r="I65" s="4191">
        <v>0.05</v>
      </c>
      <c r="J65" s="4192">
        <f t="shared" si="15"/>
        <v>0</v>
      </c>
      <c r="K65" s="4192">
        <f t="shared" si="16"/>
        <v>0</v>
      </c>
      <c r="L65" s="4192">
        <v>0</v>
      </c>
      <c r="M65" s="4192">
        <f t="shared" si="17"/>
        <v>0</v>
      </c>
      <c r="N65" s="4192">
        <f t="shared" si="17"/>
        <v>0</v>
      </c>
      <c r="AA65" s="751"/>
      <c r="AB65" s="751"/>
      <c r="AC65" s="751"/>
      <c r="AD65" s="751"/>
      <c r="AE65" s="751"/>
      <c r="AF65" s="751"/>
      <c r="AG65" s="751"/>
      <c r="AH65" s="751"/>
      <c r="AI65" s="751"/>
      <c r="AJ65" s="751"/>
      <c r="AK65" s="751"/>
    </row>
    <row r="66" spans="1:37" s="750" customFormat="1" ht="24">
      <c r="A66" s="1560" t="s">
        <v>1964</v>
      </c>
      <c r="B66" s="1565" t="s">
        <v>1965</v>
      </c>
      <c r="C66" s="1482"/>
      <c r="D66" s="4185">
        <f t="shared" si="13"/>
        <v>0</v>
      </c>
      <c r="E66" s="4187"/>
      <c r="F66" s="4194"/>
      <c r="G66" s="4189"/>
      <c r="H66" s="4190" t="str">
        <f t="shared" si="14"/>
        <v>——</v>
      </c>
      <c r="I66" s="4191">
        <v>0.06</v>
      </c>
      <c r="J66" s="4192">
        <f t="shared" si="15"/>
        <v>0</v>
      </c>
      <c r="K66" s="4192">
        <f t="shared" si="16"/>
        <v>0</v>
      </c>
      <c r="L66" s="4192">
        <v>0</v>
      </c>
      <c r="M66" s="4192">
        <f t="shared" si="17"/>
        <v>0</v>
      </c>
      <c r="N66" s="4192">
        <f t="shared" si="17"/>
        <v>0</v>
      </c>
      <c r="AA66" s="751"/>
      <c r="AB66" s="751"/>
      <c r="AC66" s="751"/>
      <c r="AD66" s="751"/>
      <c r="AE66" s="751"/>
      <c r="AF66" s="751"/>
      <c r="AG66" s="751"/>
      <c r="AH66" s="751"/>
      <c r="AI66" s="751"/>
      <c r="AJ66" s="751"/>
      <c r="AK66" s="751"/>
    </row>
    <row r="67" spans="1:37" s="750" customFormat="1" ht="24">
      <c r="A67" s="1560" t="s">
        <v>1966</v>
      </c>
      <c r="B67" s="886">
        <f>估价对象房地状况!C21</f>
        <v>0</v>
      </c>
      <c r="C67" s="1482"/>
      <c r="D67" s="4185">
        <f t="shared" si="13"/>
        <v>0</v>
      </c>
      <c r="E67" s="4187"/>
      <c r="F67" s="4194"/>
      <c r="G67" s="4189"/>
      <c r="H67" s="4190" t="str">
        <f t="shared" si="14"/>
        <v>——</v>
      </c>
      <c r="I67" s="4191">
        <v>0.06</v>
      </c>
      <c r="J67" s="4192">
        <f t="shared" si="15"/>
        <v>0</v>
      </c>
      <c r="K67" s="4192">
        <f t="shared" si="16"/>
        <v>0</v>
      </c>
      <c r="L67" s="4192">
        <v>0</v>
      </c>
      <c r="M67" s="4192">
        <f t="shared" si="17"/>
        <v>0</v>
      </c>
      <c r="N67" s="4192">
        <f t="shared" si="17"/>
        <v>0</v>
      </c>
      <c r="AA67" s="751"/>
      <c r="AB67" s="751"/>
      <c r="AC67" s="751"/>
      <c r="AD67" s="751"/>
      <c r="AE67" s="751"/>
      <c r="AF67" s="751"/>
      <c r="AG67" s="751"/>
      <c r="AH67" s="751"/>
      <c r="AI67" s="751"/>
      <c r="AJ67" s="751"/>
      <c r="AK67" s="751"/>
    </row>
    <row r="68" spans="1:37" s="750" customFormat="1" ht="24">
      <c r="A68" s="1560" t="s">
        <v>1967</v>
      </c>
      <c r="B68" s="886">
        <f>估价对象房地状况!C22</f>
        <v>0</v>
      </c>
      <c r="C68" s="1482"/>
      <c r="D68" s="4185">
        <f t="shared" si="13"/>
        <v>0</v>
      </c>
      <c r="E68" s="4187"/>
      <c r="F68" s="4194"/>
      <c r="G68" s="4189"/>
      <c r="H68" s="4190" t="str">
        <f t="shared" si="14"/>
        <v>——</v>
      </c>
      <c r="I68" s="4191">
        <v>0.09</v>
      </c>
      <c r="J68" s="4192">
        <f t="shared" si="15"/>
        <v>0</v>
      </c>
      <c r="K68" s="4192">
        <f t="shared" si="16"/>
        <v>0</v>
      </c>
      <c r="L68" s="4192">
        <v>0</v>
      </c>
      <c r="M68" s="4192">
        <f t="shared" si="17"/>
        <v>0</v>
      </c>
      <c r="N68" s="4192">
        <f t="shared" si="17"/>
        <v>0</v>
      </c>
      <c r="AA68" s="751"/>
      <c r="AB68" s="751"/>
      <c r="AC68" s="751"/>
      <c r="AD68" s="751"/>
      <c r="AE68" s="751"/>
      <c r="AF68" s="751"/>
      <c r="AG68" s="751"/>
      <c r="AH68" s="751"/>
      <c r="AI68" s="751"/>
      <c r="AJ68" s="751"/>
      <c r="AK68" s="751"/>
    </row>
    <row r="69" spans="1:37" s="750" customFormat="1" ht="24.75" thickBot="1">
      <c r="A69" s="1567" t="s">
        <v>1968</v>
      </c>
      <c r="B69" s="1569">
        <f>估价对象房地状况!C20</f>
        <v>0</v>
      </c>
      <c r="C69" s="1482"/>
      <c r="D69" s="4185">
        <f t="shared" si="13"/>
        <v>0</v>
      </c>
      <c r="E69" s="4188"/>
      <c r="F69" s="4194"/>
      <c r="G69" s="4189"/>
      <c r="H69" s="4190" t="str">
        <f t="shared" si="14"/>
        <v>——</v>
      </c>
      <c r="I69" s="4193">
        <v>7.0000000000000007E-2</v>
      </c>
      <c r="J69" s="4192">
        <f t="shared" si="15"/>
        <v>0</v>
      </c>
      <c r="K69" s="4192">
        <f t="shared" si="16"/>
        <v>0</v>
      </c>
      <c r="L69" s="4192">
        <v>0</v>
      </c>
      <c r="M69" s="4192">
        <f t="shared" si="17"/>
        <v>0</v>
      </c>
      <c r="N69" s="4192">
        <f t="shared" si="17"/>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85">
        <f t="shared" ref="D72:D80" si="18">SUMIF($J$71:$N$71,C72,J72:N72)</f>
        <v>0</v>
      </c>
      <c r="E72" s="4186">
        <f>ROUND(SUM(D72:D80),4)</f>
        <v>0</v>
      </c>
      <c r="F72" s="4194" t="str">
        <f>IF(E2="住宅",SUMIF(L1:L12,G2,N1:N12),"——")</f>
        <v>——</v>
      </c>
      <c r="G72" s="4189"/>
      <c r="H72" s="4190" t="str">
        <f t="shared" ref="H72:H80" si="19">IFERROR(ROUNDDOWN($F$72*I72/2,4),"——")</f>
        <v>——</v>
      </c>
      <c r="I72" s="4191">
        <v>0.2</v>
      </c>
      <c r="J72" s="4192">
        <f t="shared" ref="J72:J80" si="20">K72+$G72</f>
        <v>0</v>
      </c>
      <c r="K72" s="4192">
        <f t="shared" ref="K72:K80" si="21">$L72+$G72</f>
        <v>0</v>
      </c>
      <c r="L72" s="4192">
        <v>0</v>
      </c>
      <c r="M72" s="4192">
        <f t="shared" ref="M72:N80" si="22">L72-$G72</f>
        <v>0</v>
      </c>
      <c r="N72" s="4192">
        <f t="shared" si="22"/>
        <v>0</v>
      </c>
      <c r="AA72" s="751"/>
      <c r="AB72" s="751"/>
      <c r="AC72" s="751"/>
      <c r="AD72" s="751"/>
      <c r="AE72" s="751"/>
      <c r="AF72" s="751"/>
      <c r="AG72" s="751"/>
      <c r="AH72" s="751"/>
      <c r="AI72" s="751"/>
      <c r="AJ72" s="751"/>
      <c r="AK72" s="751"/>
    </row>
    <row r="73" spans="1:37" s="750" customFormat="1" ht="14.25">
      <c r="A73" s="1560" t="s">
        <v>1960</v>
      </c>
      <c r="B73" s="905">
        <f>估价对象房地状况!C18</f>
        <v>0</v>
      </c>
      <c r="C73" s="1482"/>
      <c r="D73" s="4185">
        <f t="shared" si="18"/>
        <v>0</v>
      </c>
      <c r="E73" s="4187"/>
      <c r="F73" s="4194"/>
      <c r="G73" s="4189"/>
      <c r="H73" s="4190" t="str">
        <f t="shared" si="19"/>
        <v>——</v>
      </c>
      <c r="I73" s="4191">
        <v>0.26</v>
      </c>
      <c r="J73" s="4192">
        <f t="shared" si="20"/>
        <v>0</v>
      </c>
      <c r="K73" s="4192">
        <f t="shared" si="21"/>
        <v>0</v>
      </c>
      <c r="L73" s="4192">
        <v>0</v>
      </c>
      <c r="M73" s="4192">
        <f t="shared" si="22"/>
        <v>0</v>
      </c>
      <c r="N73" s="4192">
        <f t="shared" si="22"/>
        <v>0</v>
      </c>
      <c r="AA73" s="751"/>
      <c r="AB73" s="751"/>
      <c r="AC73" s="751"/>
      <c r="AD73" s="751"/>
      <c r="AE73" s="751"/>
      <c r="AF73" s="751"/>
      <c r="AG73" s="751"/>
      <c r="AH73" s="751"/>
      <c r="AI73" s="751"/>
      <c r="AJ73" s="751"/>
      <c r="AK73" s="751"/>
    </row>
    <row r="74" spans="1:37" s="1439" customFormat="1" ht="36">
      <c r="A74" s="2443" t="s">
        <v>3146</v>
      </c>
      <c r="B74" s="905">
        <f>估价对象房地状况!C19</f>
        <v>0</v>
      </c>
      <c r="C74" s="1482"/>
      <c r="D74" s="4185">
        <f t="shared" si="18"/>
        <v>0</v>
      </c>
      <c r="E74" s="4187"/>
      <c r="F74" s="4194"/>
      <c r="G74" s="4189"/>
      <c r="H74" s="4190" t="str">
        <f t="shared" si="19"/>
        <v>——</v>
      </c>
      <c r="I74" s="4191">
        <v>0.1</v>
      </c>
      <c r="J74" s="4192">
        <f t="shared" si="20"/>
        <v>0</v>
      </c>
      <c r="K74" s="4192">
        <f t="shared" si="21"/>
        <v>0</v>
      </c>
      <c r="L74" s="4192">
        <v>0</v>
      </c>
      <c r="M74" s="4192">
        <f t="shared" si="22"/>
        <v>0</v>
      </c>
      <c r="N74" s="4192">
        <f t="shared" si="22"/>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85">
        <f t="shared" si="18"/>
        <v>0</v>
      </c>
      <c r="E75" s="4187"/>
      <c r="F75" s="4194"/>
      <c r="G75" s="4189"/>
      <c r="H75" s="4190" t="str">
        <f t="shared" si="19"/>
        <v>——</v>
      </c>
      <c r="I75" s="4191">
        <v>0.05</v>
      </c>
      <c r="J75" s="4192">
        <f t="shared" si="20"/>
        <v>0</v>
      </c>
      <c r="K75" s="4192">
        <f t="shared" si="21"/>
        <v>0</v>
      </c>
      <c r="L75" s="4192">
        <v>0</v>
      </c>
      <c r="M75" s="4192">
        <f t="shared" si="22"/>
        <v>0</v>
      </c>
      <c r="N75" s="4192">
        <f t="shared" si="22"/>
        <v>0</v>
      </c>
      <c r="O75" s="750"/>
      <c r="P75" s="750"/>
      <c r="Q75" s="1439"/>
      <c r="Z75" s="1440"/>
      <c r="AA75" s="1490"/>
      <c r="AG75" s="752"/>
      <c r="AK75" s="1490"/>
    </row>
    <row r="76" spans="1:37" ht="24">
      <c r="A76" s="1560" t="s">
        <v>1966</v>
      </c>
      <c r="B76" s="886">
        <f>估价对象房地状况!C21</f>
        <v>0</v>
      </c>
      <c r="C76" s="1482"/>
      <c r="D76" s="4185">
        <f t="shared" si="18"/>
        <v>0</v>
      </c>
      <c r="E76" s="4187"/>
      <c r="F76" s="4194"/>
      <c r="G76" s="4189"/>
      <c r="H76" s="4190" t="str">
        <f t="shared" si="19"/>
        <v>——</v>
      </c>
      <c r="I76" s="4191">
        <v>0.08</v>
      </c>
      <c r="J76" s="4192">
        <f t="shared" si="20"/>
        <v>0</v>
      </c>
      <c r="K76" s="4192">
        <f t="shared" si="21"/>
        <v>0</v>
      </c>
      <c r="L76" s="4192">
        <v>0</v>
      </c>
      <c r="M76" s="4192">
        <f t="shared" si="22"/>
        <v>0</v>
      </c>
      <c r="N76" s="4192">
        <f t="shared" si="22"/>
        <v>0</v>
      </c>
      <c r="O76" s="750"/>
      <c r="P76" s="750"/>
      <c r="Z76" s="1440"/>
      <c r="AA76" s="1490"/>
      <c r="AG76" s="752"/>
      <c r="AK76" s="1490"/>
    </row>
    <row r="77" spans="1:37" ht="24">
      <c r="A77" s="1560" t="s">
        <v>1967</v>
      </c>
      <c r="B77" s="886">
        <f>估价对象房地状况!C22</f>
        <v>0</v>
      </c>
      <c r="C77" s="1482"/>
      <c r="D77" s="4185">
        <f t="shared" si="18"/>
        <v>0</v>
      </c>
      <c r="E77" s="4187"/>
      <c r="F77" s="4194"/>
      <c r="G77" s="4189"/>
      <c r="H77" s="4190" t="str">
        <f t="shared" si="19"/>
        <v>——</v>
      </c>
      <c r="I77" s="4191">
        <v>0.09</v>
      </c>
      <c r="J77" s="4192">
        <f t="shared" si="20"/>
        <v>0</v>
      </c>
      <c r="K77" s="4192">
        <f t="shared" si="21"/>
        <v>0</v>
      </c>
      <c r="L77" s="4192">
        <v>0</v>
      </c>
      <c r="M77" s="4192">
        <f t="shared" si="22"/>
        <v>0</v>
      </c>
      <c r="N77" s="4192">
        <f t="shared" si="22"/>
        <v>0</v>
      </c>
      <c r="O77" s="750"/>
      <c r="P77" s="750"/>
      <c r="Z77" s="1440"/>
      <c r="AA77" s="1490"/>
      <c r="AG77" s="752"/>
      <c r="AK77" s="1490"/>
    </row>
    <row r="78" spans="1:37" ht="24">
      <c r="A78" s="1560" t="s">
        <v>1964</v>
      </c>
      <c r="B78" s="1565" t="s">
        <v>1965</v>
      </c>
      <c r="C78" s="1482"/>
      <c r="D78" s="4185">
        <f t="shared" si="18"/>
        <v>0</v>
      </c>
      <c r="E78" s="4187"/>
      <c r="F78" s="4194"/>
      <c r="G78" s="4189"/>
      <c r="H78" s="4190" t="str">
        <f t="shared" si="19"/>
        <v>——</v>
      </c>
      <c r="I78" s="4191">
        <v>0.05</v>
      </c>
      <c r="J78" s="4192">
        <f t="shared" si="20"/>
        <v>0</v>
      </c>
      <c r="K78" s="4192">
        <f t="shared" si="21"/>
        <v>0</v>
      </c>
      <c r="L78" s="4192">
        <v>0</v>
      </c>
      <c r="M78" s="4192">
        <f t="shared" si="22"/>
        <v>0</v>
      </c>
      <c r="N78" s="4192">
        <f t="shared" si="22"/>
        <v>0</v>
      </c>
      <c r="O78" s="1439"/>
      <c r="P78" s="1439"/>
      <c r="Z78" s="1440"/>
      <c r="AA78" s="1490"/>
      <c r="AG78" s="752"/>
      <c r="AK78" s="1490"/>
    </row>
    <row r="79" spans="1:37" ht="24">
      <c r="A79" s="1560" t="s">
        <v>1968</v>
      </c>
      <c r="B79" s="1563">
        <f>估价对象房地状况!C20</f>
        <v>0</v>
      </c>
      <c r="C79" s="1482"/>
      <c r="D79" s="4185">
        <f t="shared" si="18"/>
        <v>0</v>
      </c>
      <c r="E79" s="4187"/>
      <c r="F79" s="4194"/>
      <c r="G79" s="4189"/>
      <c r="H79" s="4190" t="str">
        <f t="shared" si="19"/>
        <v>——</v>
      </c>
      <c r="I79" s="4191">
        <v>0.12</v>
      </c>
      <c r="J79" s="4192">
        <f t="shared" si="20"/>
        <v>0</v>
      </c>
      <c r="K79" s="4192">
        <f t="shared" si="21"/>
        <v>0</v>
      </c>
      <c r="L79" s="4192">
        <v>0</v>
      </c>
      <c r="M79" s="4192">
        <f t="shared" si="22"/>
        <v>0</v>
      </c>
      <c r="N79" s="4192">
        <f t="shared" si="22"/>
        <v>0</v>
      </c>
      <c r="Z79" s="1440"/>
      <c r="AA79" s="1490"/>
      <c r="AG79" s="752"/>
      <c r="AK79" s="1490"/>
    </row>
    <row r="80" spans="1:37" ht="24.75" thickBot="1">
      <c r="A80" s="1567" t="s">
        <v>1975</v>
      </c>
      <c r="B80" s="1571"/>
      <c r="C80" s="1482"/>
      <c r="D80" s="4185">
        <f t="shared" si="18"/>
        <v>0</v>
      </c>
      <c r="E80" s="4188"/>
      <c r="F80" s="4194"/>
      <c r="G80" s="4189"/>
      <c r="H80" s="4190" t="str">
        <f t="shared" si="19"/>
        <v>——</v>
      </c>
      <c r="I80" s="4193">
        <v>0.05</v>
      </c>
      <c r="J80" s="4192">
        <f t="shared" si="20"/>
        <v>0</v>
      </c>
      <c r="K80" s="4192">
        <f t="shared" si="21"/>
        <v>0</v>
      </c>
      <c r="L80" s="4192">
        <v>0</v>
      </c>
      <c r="M80" s="4192">
        <f t="shared" si="22"/>
        <v>0</v>
      </c>
      <c r="N80" s="4192">
        <f t="shared" si="22"/>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85">
        <f t="shared" ref="D83:D90" si="23">SUMIF($J$82:$N$82,C83,J83:N83)</f>
        <v>0</v>
      </c>
      <c r="E83" s="4186">
        <f>ROUND(SUM(D83:D90),4)</f>
        <v>0</v>
      </c>
      <c r="F83" s="4194" t="str">
        <f>IF(E2="工业",SUMIF(L1:L12,G2,N1:N12),"——")</f>
        <v>——</v>
      </c>
      <c r="G83" s="4189"/>
      <c r="H83" s="4190" t="str">
        <f t="shared" ref="H83:H90" si="24">IFERROR(ROUNDDOWN($F$83*I83/2,4),"——")</f>
        <v>——</v>
      </c>
      <c r="I83" s="4191">
        <v>0.26</v>
      </c>
      <c r="J83" s="4192">
        <f t="shared" ref="J83:J90" si="25">K83+$G83</f>
        <v>0</v>
      </c>
      <c r="K83" s="4192">
        <f t="shared" ref="K83:K90" si="26">$L83+$G83</f>
        <v>0</v>
      </c>
      <c r="L83" s="4192">
        <v>0</v>
      </c>
      <c r="M83" s="4192">
        <f t="shared" ref="M83:N90" si="27">L83-$G83</f>
        <v>0</v>
      </c>
      <c r="N83" s="4192">
        <f t="shared" si="27"/>
        <v>0</v>
      </c>
      <c r="Z83" s="1440"/>
      <c r="AA83" s="1490"/>
      <c r="AG83" s="752"/>
      <c r="AK83" s="1490"/>
    </row>
    <row r="84" spans="1:37" ht="14.25">
      <c r="A84" s="1560" t="s">
        <v>1960</v>
      </c>
      <c r="B84" s="905">
        <f>估价对象房地状况!G16</f>
        <v>0</v>
      </c>
      <c r="C84" s="1482"/>
      <c r="D84" s="4185">
        <f t="shared" si="23"/>
        <v>0</v>
      </c>
      <c r="E84" s="4187"/>
      <c r="F84" s="4194"/>
      <c r="G84" s="4189"/>
      <c r="H84" s="4190" t="str">
        <f t="shared" si="24"/>
        <v>——</v>
      </c>
      <c r="I84" s="4191">
        <v>0.3</v>
      </c>
      <c r="J84" s="4192">
        <f t="shared" si="25"/>
        <v>0</v>
      </c>
      <c r="K84" s="4192">
        <f t="shared" si="26"/>
        <v>0</v>
      </c>
      <c r="L84" s="4192">
        <v>0</v>
      </c>
      <c r="M84" s="4192">
        <f t="shared" si="27"/>
        <v>0</v>
      </c>
      <c r="N84" s="4192">
        <f t="shared" si="27"/>
        <v>0</v>
      </c>
      <c r="Z84" s="1440"/>
      <c r="AA84" s="1490"/>
      <c r="AG84" s="752"/>
      <c r="AK84" s="1490"/>
    </row>
    <row r="85" spans="1:37" ht="36">
      <c r="A85" s="2443" t="s">
        <v>3147</v>
      </c>
      <c r="B85" s="905">
        <f>估价对象房地状况!G17</f>
        <v>0</v>
      </c>
      <c r="C85" s="1482"/>
      <c r="D85" s="4185">
        <f t="shared" si="23"/>
        <v>0</v>
      </c>
      <c r="E85" s="4187"/>
      <c r="F85" s="4194"/>
      <c r="G85" s="4189"/>
      <c r="H85" s="4190" t="str">
        <f t="shared" si="24"/>
        <v>——</v>
      </c>
      <c r="I85" s="4191">
        <v>0.1</v>
      </c>
      <c r="J85" s="4192">
        <f t="shared" si="25"/>
        <v>0</v>
      </c>
      <c r="K85" s="4192">
        <f t="shared" si="26"/>
        <v>0</v>
      </c>
      <c r="L85" s="4192">
        <v>0</v>
      </c>
      <c r="M85" s="4192">
        <f t="shared" si="27"/>
        <v>0</v>
      </c>
      <c r="N85" s="4192">
        <f t="shared" si="27"/>
        <v>0</v>
      </c>
      <c r="Z85" s="1440"/>
      <c r="AA85" s="1490"/>
      <c r="AG85" s="752"/>
      <c r="AK85" s="1490"/>
    </row>
    <row r="86" spans="1:37" ht="14.25">
      <c r="A86" s="1560" t="s">
        <v>1974</v>
      </c>
      <c r="B86" s="905">
        <f>估价对象房地状况!G22</f>
        <v>0</v>
      </c>
      <c r="C86" s="1482"/>
      <c r="D86" s="4185">
        <f t="shared" si="23"/>
        <v>0</v>
      </c>
      <c r="E86" s="4187"/>
      <c r="F86" s="4194"/>
      <c r="G86" s="4189"/>
      <c r="H86" s="4190" t="str">
        <f t="shared" si="24"/>
        <v>——</v>
      </c>
      <c r="I86" s="4191">
        <v>0.05</v>
      </c>
      <c r="J86" s="4192">
        <f t="shared" si="25"/>
        <v>0</v>
      </c>
      <c r="K86" s="4192">
        <f t="shared" si="26"/>
        <v>0</v>
      </c>
      <c r="L86" s="4192">
        <v>0</v>
      </c>
      <c r="M86" s="4192">
        <f t="shared" si="27"/>
        <v>0</v>
      </c>
      <c r="N86" s="4192">
        <f t="shared" si="27"/>
        <v>0</v>
      </c>
      <c r="Z86" s="1440"/>
      <c r="AA86" s="1490"/>
      <c r="AG86" s="752"/>
      <c r="AK86" s="1490"/>
    </row>
    <row r="87" spans="1:37" ht="24">
      <c r="A87" s="1560" t="s">
        <v>1966</v>
      </c>
      <c r="B87" s="886">
        <f>估价对象房地状况!G19</f>
        <v>0</v>
      </c>
      <c r="C87" s="1482"/>
      <c r="D87" s="4185">
        <f t="shared" si="23"/>
        <v>0</v>
      </c>
      <c r="E87" s="4187"/>
      <c r="F87" s="4194"/>
      <c r="G87" s="4189"/>
      <c r="H87" s="4190" t="str">
        <f t="shared" si="24"/>
        <v>——</v>
      </c>
      <c r="I87" s="4191">
        <v>0.06</v>
      </c>
      <c r="J87" s="4192">
        <f t="shared" si="25"/>
        <v>0</v>
      </c>
      <c r="K87" s="4192">
        <f t="shared" si="26"/>
        <v>0</v>
      </c>
      <c r="L87" s="4192">
        <v>0</v>
      </c>
      <c r="M87" s="4192">
        <f t="shared" si="27"/>
        <v>0</v>
      </c>
      <c r="N87" s="4192">
        <f t="shared" si="27"/>
        <v>0</v>
      </c>
    </row>
    <row r="88" spans="1:37" ht="24">
      <c r="A88" s="1560" t="s">
        <v>1967</v>
      </c>
      <c r="B88" s="886">
        <f>估价对象房地状况!G20</f>
        <v>0</v>
      </c>
      <c r="C88" s="1482"/>
      <c r="D88" s="4185">
        <f t="shared" si="23"/>
        <v>0</v>
      </c>
      <c r="E88" s="4187"/>
      <c r="F88" s="4194"/>
      <c r="G88" s="4189"/>
      <c r="H88" s="4190" t="str">
        <f t="shared" si="24"/>
        <v>——</v>
      </c>
      <c r="I88" s="4191">
        <v>0.12</v>
      </c>
      <c r="J88" s="4192">
        <f t="shared" si="25"/>
        <v>0</v>
      </c>
      <c r="K88" s="4192">
        <f t="shared" si="26"/>
        <v>0</v>
      </c>
      <c r="L88" s="4192">
        <v>0</v>
      </c>
      <c r="M88" s="4192">
        <f t="shared" si="27"/>
        <v>0</v>
      </c>
      <c r="N88" s="4192">
        <f t="shared" si="27"/>
        <v>0</v>
      </c>
    </row>
    <row r="89" spans="1:37" ht="24">
      <c r="A89" s="1560" t="s">
        <v>1964</v>
      </c>
      <c r="B89" s="1565" t="s">
        <v>1978</v>
      </c>
      <c r="C89" s="1482"/>
      <c r="D89" s="4185">
        <f t="shared" si="23"/>
        <v>0</v>
      </c>
      <c r="E89" s="4187"/>
      <c r="F89" s="4194"/>
      <c r="G89" s="4189"/>
      <c r="H89" s="4190" t="str">
        <f t="shared" si="24"/>
        <v>——</v>
      </c>
      <c r="I89" s="4191">
        <v>0.06</v>
      </c>
      <c r="J89" s="4192">
        <f t="shared" si="25"/>
        <v>0</v>
      </c>
      <c r="K89" s="4192">
        <f t="shared" si="26"/>
        <v>0</v>
      </c>
      <c r="L89" s="4192">
        <v>0</v>
      </c>
      <c r="M89" s="4192">
        <f t="shared" si="27"/>
        <v>0</v>
      </c>
      <c r="N89" s="4192">
        <f t="shared" si="27"/>
        <v>0</v>
      </c>
    </row>
    <row r="90" spans="1:37" ht="15" thickBot="1">
      <c r="A90" s="1567" t="s">
        <v>1979</v>
      </c>
      <c r="B90" s="1572">
        <f>估价对象房地状况!G18</f>
        <v>0</v>
      </c>
      <c r="C90" s="1482"/>
      <c r="D90" s="4185">
        <f t="shared" si="23"/>
        <v>0</v>
      </c>
      <c r="E90" s="4188"/>
      <c r="F90" s="4194"/>
      <c r="G90" s="4189"/>
      <c r="H90" s="4190" t="str">
        <f t="shared" si="24"/>
        <v>——</v>
      </c>
      <c r="I90" s="4193">
        <v>0.05</v>
      </c>
      <c r="J90" s="4192">
        <f t="shared" si="25"/>
        <v>0</v>
      </c>
      <c r="K90" s="4192">
        <f t="shared" si="26"/>
        <v>0</v>
      </c>
      <c r="L90" s="4192">
        <v>0</v>
      </c>
      <c r="M90" s="4192">
        <f t="shared" si="27"/>
        <v>0</v>
      </c>
      <c r="N90" s="4192">
        <f t="shared" si="27"/>
        <v>0</v>
      </c>
    </row>
    <row r="91" spans="1:37" ht="15">
      <c r="A91" s="2451" t="s">
        <v>2491</v>
      </c>
      <c r="B91" s="2452">
        <f>1+E93</f>
        <v>1</v>
      </c>
      <c r="C91" s="2445"/>
      <c r="D91" s="2446"/>
      <c r="E91" s="1301"/>
      <c r="F91" s="1301"/>
      <c r="G91" s="2447"/>
      <c r="H91" s="2448"/>
      <c r="I91" s="2449"/>
      <c r="J91" s="2450"/>
      <c r="K91" s="2450"/>
      <c r="L91" s="2450"/>
      <c r="M91" s="2450"/>
      <c r="N91" s="2450"/>
    </row>
    <row r="92" spans="1:37" ht="24.75">
      <c r="A92" s="2453" t="s">
        <v>3148</v>
      </c>
      <c r="B92" s="1848"/>
      <c r="C92" s="1848" t="s">
        <v>3157</v>
      </c>
      <c r="D92" s="1848" t="s">
        <v>3158</v>
      </c>
      <c r="E92" s="2432" t="s">
        <v>3159</v>
      </c>
      <c r="F92" s="2455" t="s">
        <v>3160</v>
      </c>
      <c r="G92" s="1848" t="s">
        <v>3161</v>
      </c>
      <c r="H92" s="2459" t="s">
        <v>3164</v>
      </c>
      <c r="I92" s="1848" t="s">
        <v>3165</v>
      </c>
      <c r="J92" s="1698" t="s">
        <v>3166</v>
      </c>
      <c r="K92" s="1698" t="s">
        <v>3167</v>
      </c>
      <c r="L92" s="1698" t="s">
        <v>3168</v>
      </c>
      <c r="M92" s="1698" t="s">
        <v>3169</v>
      </c>
      <c r="N92" s="1698" t="s">
        <v>3170</v>
      </c>
    </row>
    <row r="93" spans="1:37" ht="24">
      <c r="A93" s="2443" t="s">
        <v>3149</v>
      </c>
      <c r="B93" s="877"/>
      <c r="C93" s="1482"/>
      <c r="D93" s="4195">
        <f>SUMIF($J$92:$N$92,C93,J93:N93)</f>
        <v>0</v>
      </c>
      <c r="E93" s="4196">
        <f>ROUND(SUM(D93:D101),4)</f>
        <v>0</v>
      </c>
      <c r="F93" s="4194" t="str">
        <f>IF(E2="公共服务",SUMIF(L1:L12,G2,N1:N12),"——")</f>
        <v>——</v>
      </c>
      <c r="G93" s="4197"/>
      <c r="H93" s="4198" t="str">
        <f>IFERROR(ROUNDDOWN($F$93*I93/2,4),"——")</f>
        <v>——</v>
      </c>
      <c r="I93" s="4191">
        <v>0.25</v>
      </c>
      <c r="J93" s="4199">
        <f t="shared" ref="J93:J101" si="28">K93+$G93</f>
        <v>0</v>
      </c>
      <c r="K93" s="4199">
        <f t="shared" ref="K93:K101" si="29">$L93+$G93</f>
        <v>0</v>
      </c>
      <c r="L93" s="4199">
        <v>0</v>
      </c>
      <c r="M93" s="4199">
        <f t="shared" ref="M93:N101" si="30">L93-$G93</f>
        <v>0</v>
      </c>
      <c r="N93" s="4199">
        <f t="shared" si="30"/>
        <v>0</v>
      </c>
    </row>
    <row r="94" spans="1:37" ht="14.25">
      <c r="A94" s="2453" t="s">
        <v>3150</v>
      </c>
      <c r="B94" s="2444">
        <f>估价对象房地状况!C18</f>
        <v>0</v>
      </c>
      <c r="C94" s="1482"/>
      <c r="D94" s="4195">
        <f t="shared" ref="D94:D101" si="31">SUMIF($J$60:$N$60,C94,J94:N94)</f>
        <v>0</v>
      </c>
      <c r="E94" s="4200"/>
      <c r="F94" s="4194"/>
      <c r="G94" s="4197"/>
      <c r="H94" s="4198" t="str">
        <f>IFERROR(ROUNDDOWN($F$93*I94/2,4),"——")</f>
        <v>——</v>
      </c>
      <c r="I94" s="4191">
        <v>0.26</v>
      </c>
      <c r="J94" s="4199">
        <f t="shared" si="28"/>
        <v>0</v>
      </c>
      <c r="K94" s="4199">
        <f t="shared" si="29"/>
        <v>0</v>
      </c>
      <c r="L94" s="4199">
        <v>0</v>
      </c>
      <c r="M94" s="4199">
        <f t="shared" si="30"/>
        <v>0</v>
      </c>
      <c r="N94" s="4199">
        <f t="shared" si="30"/>
        <v>0</v>
      </c>
    </row>
    <row r="95" spans="1:37" ht="36">
      <c r="A95" s="2443" t="s">
        <v>3146</v>
      </c>
      <c r="B95" s="2444">
        <f>估价对象房地状况!C19</f>
        <v>0</v>
      </c>
      <c r="C95" s="1482"/>
      <c r="D95" s="4195">
        <f t="shared" si="31"/>
        <v>0</v>
      </c>
      <c r="E95" s="4200"/>
      <c r="F95" s="4194"/>
      <c r="G95" s="4197"/>
      <c r="H95" s="4198" t="str">
        <f t="shared" ref="H95:H101" si="32">IFERROR(ROUNDDOWN($F$93*I95/2,4),"——")</f>
        <v>——</v>
      </c>
      <c r="I95" s="4191">
        <v>0.11</v>
      </c>
      <c r="J95" s="4199">
        <f t="shared" si="28"/>
        <v>0</v>
      </c>
      <c r="K95" s="4199">
        <f t="shared" si="29"/>
        <v>0</v>
      </c>
      <c r="L95" s="4199">
        <v>0</v>
      </c>
      <c r="M95" s="4199">
        <f t="shared" si="30"/>
        <v>0</v>
      </c>
      <c r="N95" s="4199">
        <f t="shared" si="30"/>
        <v>0</v>
      </c>
    </row>
    <row r="96" spans="1:37" ht="36.75">
      <c r="A96" s="2453" t="s">
        <v>3151</v>
      </c>
      <c r="B96" s="2456" t="s">
        <v>3162</v>
      </c>
      <c r="C96" s="1482"/>
      <c r="D96" s="4195">
        <f t="shared" si="31"/>
        <v>0</v>
      </c>
      <c r="E96" s="4200"/>
      <c r="F96" s="4194"/>
      <c r="G96" s="4197"/>
      <c r="H96" s="4198" t="str">
        <f t="shared" si="32"/>
        <v>——</v>
      </c>
      <c r="I96" s="4191">
        <v>0.05</v>
      </c>
      <c r="J96" s="4199">
        <f t="shared" si="28"/>
        <v>0</v>
      </c>
      <c r="K96" s="4199">
        <f t="shared" si="29"/>
        <v>0</v>
      </c>
      <c r="L96" s="4199">
        <v>0</v>
      </c>
      <c r="M96" s="4199">
        <f t="shared" si="30"/>
        <v>0</v>
      </c>
      <c r="N96" s="4199">
        <f t="shared" si="30"/>
        <v>0</v>
      </c>
    </row>
    <row r="97" spans="1:14" ht="24">
      <c r="A97" s="2453" t="s">
        <v>3152</v>
      </c>
      <c r="B97" s="2444">
        <f>估价对象房地状况!C24</f>
        <v>0</v>
      </c>
      <c r="C97" s="1482"/>
      <c r="D97" s="4195">
        <f t="shared" si="31"/>
        <v>0</v>
      </c>
      <c r="E97" s="4200"/>
      <c r="F97" s="4194"/>
      <c r="G97" s="4197"/>
      <c r="H97" s="4198" t="str">
        <f t="shared" si="32"/>
        <v>——</v>
      </c>
      <c r="I97" s="4191">
        <v>0.05</v>
      </c>
      <c r="J97" s="4199">
        <f t="shared" si="28"/>
        <v>0</v>
      </c>
      <c r="K97" s="4199">
        <f t="shared" si="29"/>
        <v>0</v>
      </c>
      <c r="L97" s="4199">
        <v>0</v>
      </c>
      <c r="M97" s="4199">
        <f t="shared" si="30"/>
        <v>0</v>
      </c>
      <c r="N97" s="4199">
        <f t="shared" si="30"/>
        <v>0</v>
      </c>
    </row>
    <row r="98" spans="1:14" ht="24">
      <c r="A98" s="2453" t="s">
        <v>3153</v>
      </c>
      <c r="B98" s="2457" t="s">
        <v>3163</v>
      </c>
      <c r="C98" s="1482"/>
      <c r="D98" s="4195">
        <f t="shared" si="31"/>
        <v>0</v>
      </c>
      <c r="E98" s="4200"/>
      <c r="F98" s="4194"/>
      <c r="G98" s="4197"/>
      <c r="H98" s="4198" t="str">
        <f t="shared" si="32"/>
        <v>——</v>
      </c>
      <c r="I98" s="4191">
        <v>0.06</v>
      </c>
      <c r="J98" s="4199">
        <f t="shared" si="28"/>
        <v>0</v>
      </c>
      <c r="K98" s="4199">
        <f t="shared" si="29"/>
        <v>0</v>
      </c>
      <c r="L98" s="4199">
        <v>0</v>
      </c>
      <c r="M98" s="4199">
        <f t="shared" si="30"/>
        <v>0</v>
      </c>
      <c r="N98" s="4199">
        <f t="shared" si="30"/>
        <v>0</v>
      </c>
    </row>
    <row r="99" spans="1:14" ht="24">
      <c r="A99" s="2453" t="s">
        <v>3154</v>
      </c>
      <c r="B99" s="2444">
        <f>估价对象房地状况!C21</f>
        <v>0</v>
      </c>
      <c r="C99" s="1482"/>
      <c r="D99" s="4195">
        <f t="shared" si="31"/>
        <v>0</v>
      </c>
      <c r="E99" s="4200"/>
      <c r="F99" s="4194"/>
      <c r="G99" s="4197"/>
      <c r="H99" s="4198" t="str">
        <f t="shared" si="32"/>
        <v>——</v>
      </c>
      <c r="I99" s="4191">
        <v>0.06</v>
      </c>
      <c r="J99" s="4199">
        <f t="shared" si="28"/>
        <v>0</v>
      </c>
      <c r="K99" s="4199">
        <f t="shared" si="29"/>
        <v>0</v>
      </c>
      <c r="L99" s="4199">
        <v>0</v>
      </c>
      <c r="M99" s="4199">
        <f t="shared" si="30"/>
        <v>0</v>
      </c>
      <c r="N99" s="4199">
        <f t="shared" si="30"/>
        <v>0</v>
      </c>
    </row>
    <row r="100" spans="1:14" ht="24">
      <c r="A100" s="2453" t="s">
        <v>3155</v>
      </c>
      <c r="B100" s="2444">
        <f>估价对象房地状况!C22</f>
        <v>0</v>
      </c>
      <c r="C100" s="1482"/>
      <c r="D100" s="4195">
        <f t="shared" si="31"/>
        <v>0</v>
      </c>
      <c r="E100" s="4200"/>
      <c r="F100" s="4194"/>
      <c r="G100" s="4197"/>
      <c r="H100" s="4198" t="str">
        <f t="shared" si="32"/>
        <v>——</v>
      </c>
      <c r="I100" s="4191">
        <v>0.09</v>
      </c>
      <c r="J100" s="4199">
        <f t="shared" si="28"/>
        <v>0</v>
      </c>
      <c r="K100" s="4199">
        <f t="shared" si="29"/>
        <v>0</v>
      </c>
      <c r="L100" s="4199">
        <v>0</v>
      </c>
      <c r="M100" s="4199">
        <f t="shared" si="30"/>
        <v>0</v>
      </c>
      <c r="N100" s="4199">
        <f t="shared" si="30"/>
        <v>0</v>
      </c>
    </row>
    <row r="101" spans="1:14" ht="24.75" thickBot="1">
      <c r="A101" s="2454" t="s">
        <v>3156</v>
      </c>
      <c r="B101" s="2458">
        <f>估价对象房地状况!C20</f>
        <v>0</v>
      </c>
      <c r="C101" s="1482"/>
      <c r="D101" s="4195">
        <f t="shared" si="31"/>
        <v>0</v>
      </c>
      <c r="E101" s="4175"/>
      <c r="F101" s="4194"/>
      <c r="G101" s="4197"/>
      <c r="H101" s="4198" t="str">
        <f t="shared" si="32"/>
        <v>——</v>
      </c>
      <c r="I101" s="4193">
        <v>7.0000000000000007E-2</v>
      </c>
      <c r="J101" s="4199">
        <f t="shared" si="28"/>
        <v>0</v>
      </c>
      <c r="K101" s="4199">
        <f t="shared" si="29"/>
        <v>0</v>
      </c>
      <c r="L101" s="4199">
        <v>0</v>
      </c>
      <c r="M101" s="4199">
        <f t="shared" si="30"/>
        <v>0</v>
      </c>
      <c r="N101" s="4199">
        <f t="shared" si="30"/>
        <v>0</v>
      </c>
    </row>
    <row r="103" spans="1:14">
      <c r="A103" s="4657" t="s">
        <v>3171</v>
      </c>
      <c r="B103" s="4657"/>
      <c r="C103" s="4657"/>
      <c r="D103" s="4657"/>
      <c r="E103" s="4657"/>
      <c r="F103" s="4657"/>
      <c r="G103" s="4657"/>
      <c r="H103" s="4657"/>
      <c r="I103" s="4657"/>
      <c r="J103" s="4657"/>
      <c r="K103" s="1293"/>
      <c r="L103" s="1293"/>
      <c r="M103" s="1293"/>
      <c r="N103" s="1293"/>
    </row>
    <row r="104" spans="1:14">
      <c r="A104" s="4658" t="s">
        <v>3172</v>
      </c>
      <c r="B104" s="4658" t="s">
        <v>3173</v>
      </c>
      <c r="C104" s="4215" t="s">
        <v>3174</v>
      </c>
      <c r="D104" s="1534"/>
      <c r="E104" s="1534"/>
      <c r="F104" s="1534"/>
      <c r="G104" s="1534"/>
      <c r="H104" s="1534"/>
      <c r="I104" s="1534"/>
      <c r="J104" s="1534"/>
      <c r="K104" s="1534"/>
      <c r="L104" s="1534"/>
      <c r="M104" s="1534"/>
      <c r="N104" s="4216"/>
    </row>
    <row r="105" spans="1:14">
      <c r="A105" s="4658"/>
      <c r="B105" s="4658"/>
      <c r="C105" s="2460" t="s">
        <v>3175</v>
      </c>
      <c r="D105" s="2460" t="s">
        <v>3176</v>
      </c>
      <c r="E105" s="2460" t="s">
        <v>3177</v>
      </c>
      <c r="F105" s="2460" t="s">
        <v>3178</v>
      </c>
      <c r="G105" s="2460" t="s">
        <v>3179</v>
      </c>
      <c r="H105" s="2460" t="s">
        <v>3180</v>
      </c>
      <c r="I105" s="2460" t="s">
        <v>3181</v>
      </c>
      <c r="J105" s="2460" t="s">
        <v>3182</v>
      </c>
      <c r="K105" s="2460" t="s">
        <v>3183</v>
      </c>
      <c r="L105" s="2460" t="s">
        <v>3184</v>
      </c>
      <c r="M105" s="2460" t="s">
        <v>3185</v>
      </c>
      <c r="N105" s="2460" t="s">
        <v>3186</v>
      </c>
    </row>
    <row r="106" spans="1:14">
      <c r="A106" s="4648" t="s">
        <v>3187</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49"/>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49"/>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49"/>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49"/>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49"/>
      <c r="B111" s="2460" t="s">
        <v>3145</v>
      </c>
      <c r="C111" s="4201">
        <f>$I$3</f>
        <v>0</v>
      </c>
      <c r="D111" s="4201">
        <f t="shared" ref="D111:M111" si="33">$I$3</f>
        <v>0</v>
      </c>
      <c r="E111" s="4201">
        <f t="shared" si="33"/>
        <v>0</v>
      </c>
      <c r="F111" s="4201">
        <f t="shared" si="33"/>
        <v>0</v>
      </c>
      <c r="G111" s="4201">
        <f t="shared" si="33"/>
        <v>0</v>
      </c>
      <c r="H111" s="4201">
        <f t="shared" si="33"/>
        <v>0</v>
      </c>
      <c r="I111" s="4201">
        <f t="shared" si="33"/>
        <v>0</v>
      </c>
      <c r="J111" s="4201">
        <f t="shared" si="33"/>
        <v>0</v>
      </c>
      <c r="K111" s="4201">
        <f t="shared" si="33"/>
        <v>0</v>
      </c>
      <c r="L111" s="4201">
        <f t="shared" si="33"/>
        <v>0</v>
      </c>
      <c r="M111" s="4201">
        <f t="shared" si="33"/>
        <v>0</v>
      </c>
      <c r="N111" s="4201">
        <f>$I$3</f>
        <v>0</v>
      </c>
    </row>
    <row r="112" spans="1:14">
      <c r="A112" s="4650"/>
      <c r="B112" s="2460">
        <v>6</v>
      </c>
      <c r="C112" s="4202">
        <f>(-0.5556*(C111^2)-0.2719*C111+8944)*(10^(-4))</f>
        <v>0.89440000000000008</v>
      </c>
      <c r="D112" s="4202">
        <f>(-0.5556*(D111^2)-0.2719*D111+8944)*(10^(-4))</f>
        <v>0.89440000000000008</v>
      </c>
      <c r="E112" s="4202">
        <f>(-0.7912*(E111^2)-11.3794*E111+8482)*(10^(-4))</f>
        <v>0.84820000000000007</v>
      </c>
      <c r="F112" s="4202">
        <f t="shared" ref="F112:I112" si="34">(-0.7912*(F111^2)-11.3794*F111+8482)*(10^(-4))</f>
        <v>0.84820000000000007</v>
      </c>
      <c r="G112" s="4202">
        <f t="shared" si="34"/>
        <v>0.84820000000000007</v>
      </c>
      <c r="H112" s="4202">
        <f t="shared" si="34"/>
        <v>0.84820000000000007</v>
      </c>
      <c r="I112" s="4202">
        <f t="shared" si="34"/>
        <v>0.84820000000000007</v>
      </c>
      <c r="J112" s="4202">
        <f>(-0.989*(J111^2)-63.78*J111+7771)*(10^(-4))</f>
        <v>0.77710000000000001</v>
      </c>
      <c r="K112" s="4202">
        <f t="shared" ref="K112:N112" si="35">(-0.989*(K111^2)-63.78*K111+7771)*(10^(-4))</f>
        <v>0.77710000000000001</v>
      </c>
      <c r="L112" s="4202">
        <f t="shared" si="35"/>
        <v>0.77710000000000001</v>
      </c>
      <c r="M112" s="4202">
        <f t="shared" si="35"/>
        <v>0.77710000000000001</v>
      </c>
      <c r="N112" s="4202">
        <f t="shared" si="35"/>
        <v>0.77710000000000001</v>
      </c>
    </row>
    <row r="113" spans="1:14">
      <c r="A113" s="4651" t="s">
        <v>3188</v>
      </c>
      <c r="B113" s="4651"/>
      <c r="C113" s="4651"/>
      <c r="D113" s="4651"/>
      <c r="E113" s="4651"/>
      <c r="F113" s="4651"/>
      <c r="G113" s="4651"/>
      <c r="H113" s="4651"/>
      <c r="I113" s="4651"/>
      <c r="J113" s="4651"/>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09" t="s">
        <v>3189</v>
      </c>
      <c r="B116" s="4213">
        <f>G3</f>
        <v>5.99</v>
      </c>
      <c r="C116" s="4210" t="s">
        <v>3190</v>
      </c>
      <c r="D116" s="4214">
        <f>SUMPRODUCT((A118:A122=F116)*(B117:M117=H116)*B118:M122)</f>
        <v>0.93089999999999995</v>
      </c>
      <c r="E116" s="4210" t="s">
        <v>3191</v>
      </c>
      <c r="F116" s="4211" t="str">
        <f>E2</f>
        <v>商业</v>
      </c>
      <c r="G116" s="4210" t="s">
        <v>3192</v>
      </c>
      <c r="H116" s="4211" t="str">
        <f>G2</f>
        <v>二级</v>
      </c>
      <c r="I116" s="4212"/>
      <c r="J116" s="2463"/>
      <c r="K116" s="2463"/>
      <c r="L116" s="2463"/>
      <c r="M116" s="2463"/>
      <c r="N116" s="2462"/>
    </row>
    <row r="117" spans="1:14">
      <c r="A117" s="2434"/>
      <c r="B117" s="2464" t="s">
        <v>3193</v>
      </c>
      <c r="C117" s="2464" t="s">
        <v>3194</v>
      </c>
      <c r="D117" s="2464" t="s">
        <v>3195</v>
      </c>
      <c r="E117" s="2464" t="s">
        <v>3196</v>
      </c>
      <c r="F117" s="2464" t="s">
        <v>3197</v>
      </c>
      <c r="G117" s="2464" t="s">
        <v>3198</v>
      </c>
      <c r="H117" s="4206" t="s">
        <v>3199</v>
      </c>
      <c r="I117" s="4206" t="s">
        <v>3200</v>
      </c>
      <c r="J117" s="2464" t="s">
        <v>3201</v>
      </c>
      <c r="K117" s="2464" t="s">
        <v>3202</v>
      </c>
      <c r="L117" s="2464" t="s">
        <v>3203</v>
      </c>
      <c r="M117" s="4207" t="s">
        <v>3204</v>
      </c>
      <c r="N117" s="2462"/>
    </row>
    <row r="118" spans="1:14">
      <c r="A118" s="2436" t="s">
        <v>3205</v>
      </c>
      <c r="B118" s="4202">
        <f>ROUND(0.9968-0.011*B116,4)</f>
        <v>0.93089999999999995</v>
      </c>
      <c r="C118" s="4202">
        <f>B118</f>
        <v>0.93089999999999995</v>
      </c>
      <c r="D118" s="4202">
        <f>ROUND(0.949-0.014*B116,4)</f>
        <v>0.86509999999999998</v>
      </c>
      <c r="E118" s="4202">
        <f>D118</f>
        <v>0.86509999999999998</v>
      </c>
      <c r="F118" s="4202">
        <f>E118</f>
        <v>0.86509999999999998</v>
      </c>
      <c r="G118" s="4202">
        <f>F118</f>
        <v>0.86509999999999998</v>
      </c>
      <c r="H118" s="4202">
        <f>G118</f>
        <v>0.86509999999999998</v>
      </c>
      <c r="I118" s="4202">
        <f>ROUND(0.8486-0.018*B116,4)</f>
        <v>0.74080000000000001</v>
      </c>
      <c r="J118" s="4202">
        <f t="shared" ref="J118:M122" si="36">I118</f>
        <v>0.74080000000000001</v>
      </c>
      <c r="K118" s="4202">
        <f t="shared" si="36"/>
        <v>0.74080000000000001</v>
      </c>
      <c r="L118" s="4202">
        <f t="shared" si="36"/>
        <v>0.74080000000000001</v>
      </c>
      <c r="M118" s="4203">
        <f t="shared" si="36"/>
        <v>0.74080000000000001</v>
      </c>
      <c r="N118" s="2462"/>
    </row>
    <row r="119" spans="1:14">
      <c r="A119" s="2436" t="s">
        <v>3206</v>
      </c>
      <c r="B119" s="4202">
        <f>ROUND(0.993-0.0112*B116,4)</f>
        <v>0.92589999999999995</v>
      </c>
      <c r="C119" s="4202">
        <f>B119</f>
        <v>0.92589999999999995</v>
      </c>
      <c r="D119" s="4202">
        <f>ROUND(0.9415-0.0142*B116,4)</f>
        <v>0.85640000000000005</v>
      </c>
      <c r="E119" s="4202">
        <f t="shared" ref="E119:H120" si="37">D119</f>
        <v>0.85640000000000005</v>
      </c>
      <c r="F119" s="4202">
        <f t="shared" si="37"/>
        <v>0.85640000000000005</v>
      </c>
      <c r="G119" s="4202">
        <f t="shared" si="37"/>
        <v>0.85640000000000005</v>
      </c>
      <c r="H119" s="4202">
        <f t="shared" si="37"/>
        <v>0.85640000000000005</v>
      </c>
      <c r="I119" s="4202">
        <f>ROUND(0.838-0.0182*B116,4)</f>
        <v>0.72899999999999998</v>
      </c>
      <c r="J119" s="4202">
        <f t="shared" si="36"/>
        <v>0.72899999999999998</v>
      </c>
      <c r="K119" s="4202">
        <f t="shared" si="36"/>
        <v>0.72899999999999998</v>
      </c>
      <c r="L119" s="4202">
        <f t="shared" si="36"/>
        <v>0.72899999999999998</v>
      </c>
      <c r="M119" s="4203">
        <f t="shared" si="36"/>
        <v>0.72899999999999998</v>
      </c>
      <c r="N119" s="2462"/>
    </row>
    <row r="120" spans="1:14">
      <c r="A120" s="2436" t="s">
        <v>3207</v>
      </c>
      <c r="B120" s="4202">
        <f>ROUND(0.9448-0.0115*B116,4)</f>
        <v>0.87590000000000001</v>
      </c>
      <c r="C120" s="4202">
        <f>B120</f>
        <v>0.87590000000000001</v>
      </c>
      <c r="D120" s="4202">
        <f>ROUND(0.937-0.0145*B116,4)</f>
        <v>0.85009999999999997</v>
      </c>
      <c r="E120" s="4202">
        <f t="shared" si="37"/>
        <v>0.85009999999999997</v>
      </c>
      <c r="F120" s="4202">
        <f t="shared" si="37"/>
        <v>0.85009999999999997</v>
      </c>
      <c r="G120" s="4202">
        <f t="shared" si="37"/>
        <v>0.85009999999999997</v>
      </c>
      <c r="H120" s="4202">
        <f t="shared" si="37"/>
        <v>0.85009999999999997</v>
      </c>
      <c r="I120" s="4202">
        <f>ROUND(0.7965-0.0185*B116,4)</f>
        <v>0.68569999999999998</v>
      </c>
      <c r="J120" s="4202">
        <f t="shared" si="36"/>
        <v>0.68569999999999998</v>
      </c>
      <c r="K120" s="4202">
        <f t="shared" si="36"/>
        <v>0.68569999999999998</v>
      </c>
      <c r="L120" s="4202">
        <f t="shared" si="36"/>
        <v>0.68569999999999998</v>
      </c>
      <c r="M120" s="4203">
        <f t="shared" si="36"/>
        <v>0.68569999999999998</v>
      </c>
      <c r="N120" s="2462"/>
    </row>
    <row r="121" spans="1:14">
      <c r="A121" s="2436" t="s">
        <v>3208</v>
      </c>
      <c r="B121" s="4202">
        <f>ROUND(0.7836-0.012*B116,4)</f>
        <v>0.7117</v>
      </c>
      <c r="C121" s="4202">
        <f>B121</f>
        <v>0.7117</v>
      </c>
      <c r="D121" s="4202">
        <f>ROUND(0.753-0.015*B116,4)</f>
        <v>0.66320000000000001</v>
      </c>
      <c r="E121" s="4202">
        <f>D121</f>
        <v>0.66320000000000001</v>
      </c>
      <c r="F121" s="4202">
        <f>E121</f>
        <v>0.66320000000000001</v>
      </c>
      <c r="G121" s="4202">
        <f>ROUND(0.6612-0.018*B116,4)</f>
        <v>0.5534</v>
      </c>
      <c r="H121" s="4202">
        <f>G121</f>
        <v>0.5534</v>
      </c>
      <c r="I121" s="4202">
        <f>ROUND(0.5905-0.019*B116,4)</f>
        <v>0.47670000000000001</v>
      </c>
      <c r="J121" s="4202">
        <f t="shared" si="36"/>
        <v>0.47670000000000001</v>
      </c>
      <c r="K121" s="4202">
        <f t="shared" si="36"/>
        <v>0.47670000000000001</v>
      </c>
      <c r="L121" s="4202">
        <f t="shared" si="36"/>
        <v>0.47670000000000001</v>
      </c>
      <c r="M121" s="4203">
        <f t="shared" si="36"/>
        <v>0.47670000000000001</v>
      </c>
      <c r="N121" s="2462"/>
    </row>
    <row r="122" spans="1:14" ht="13.5" thickBot="1">
      <c r="A122" s="4208" t="s">
        <v>2491</v>
      </c>
      <c r="B122" s="4204">
        <f>ROUND(0.9404-0.0106*B116,4)</f>
        <v>0.87690000000000001</v>
      </c>
      <c r="C122" s="4204">
        <f>B122</f>
        <v>0.87690000000000001</v>
      </c>
      <c r="D122" s="4204">
        <f>ROUND(0.8955-0.0135*B116,4)</f>
        <v>0.81459999999999999</v>
      </c>
      <c r="E122" s="4204">
        <f t="shared" ref="E122:H122" si="38">D122</f>
        <v>0.81459999999999999</v>
      </c>
      <c r="F122" s="4204">
        <f t="shared" si="38"/>
        <v>0.81459999999999999</v>
      </c>
      <c r="G122" s="4204">
        <f t="shared" si="38"/>
        <v>0.81459999999999999</v>
      </c>
      <c r="H122" s="4204">
        <f t="shared" si="38"/>
        <v>0.81459999999999999</v>
      </c>
      <c r="I122" s="4204">
        <f>ROUND(0.7632-0.0166*B116,4)</f>
        <v>0.66379999999999995</v>
      </c>
      <c r="J122" s="4204">
        <f t="shared" si="36"/>
        <v>0.66379999999999995</v>
      </c>
      <c r="K122" s="4204">
        <f t="shared" si="36"/>
        <v>0.66379999999999995</v>
      </c>
      <c r="L122" s="4204">
        <f t="shared" si="36"/>
        <v>0.66379999999999995</v>
      </c>
      <c r="M122" s="4205">
        <f t="shared" si="36"/>
        <v>0.66379999999999995</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disablePrompts="1"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500-00000B000000}">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6" t="s">
        <v>3505</v>
      </c>
      <c r="B1" s="47"/>
      <c r="C1" s="785"/>
      <c r="D1" s="784"/>
      <c r="E1" s="2045"/>
      <c r="F1" s="2045"/>
      <c r="G1" s="1938"/>
      <c r="H1" s="2045"/>
      <c r="I1" s="2045"/>
      <c r="J1" s="2045"/>
      <c r="K1" s="2046">
        <f>MATCH(C1,'数据-取费表'!A6:A16,0)+5</f>
        <v>7</v>
      </c>
    </row>
    <row r="2" spans="1:33" ht="18" customHeight="1">
      <c r="A2" s="96" t="s">
        <v>1431</v>
      </c>
      <c r="B2" s="2523">
        <f ca="1">C34</f>
        <v>-70</v>
      </c>
      <c r="C2" s="171" t="s">
        <v>1531</v>
      </c>
      <c r="D2" s="171"/>
      <c r="E2" s="2045"/>
      <c r="F2" s="2045"/>
      <c r="G2" s="2045"/>
      <c r="H2" s="2045"/>
      <c r="I2" s="2045"/>
      <c r="J2" s="2045"/>
      <c r="K2" s="2045"/>
    </row>
    <row r="3" spans="1:33" ht="18" customHeight="1">
      <c r="A3" s="98" t="s">
        <v>1433</v>
      </c>
      <c r="B3" s="2523">
        <f ca="1">ROUND(B2*10000/IF(C1="",'数据-汇总表'!E3,INDIRECT("'数据-取费表'!K"&amp;$K$1)),0)</f>
        <v>-5044</v>
      </c>
      <c r="C3" s="171" t="s">
        <v>1532</v>
      </c>
      <c r="D3" s="171"/>
      <c r="E3" s="2045"/>
      <c r="F3" s="2045"/>
      <c r="G3" s="2045"/>
      <c r="H3" s="2045"/>
      <c r="I3" s="2045"/>
      <c r="J3" s="2045"/>
      <c r="K3" s="2045"/>
    </row>
    <row r="4" spans="1:33" ht="18" customHeight="1">
      <c r="A4" s="3386" t="s">
        <v>3620</v>
      </c>
      <c r="B4" s="2522" t="e">
        <f ca="1">ROUND(B2*10000/IF(C1="",'数据-汇总表'!D3,INDIRECT("'数据-取费表'!R"&amp;$K$1)),0)</f>
        <v>#DIV/0!</v>
      </c>
      <c r="C4" s="1336" t="s">
        <v>3622</v>
      </c>
      <c r="D4" s="171"/>
      <c r="E4" s="2045"/>
      <c r="F4" s="2045"/>
      <c r="G4" s="2045"/>
      <c r="H4" s="2045"/>
      <c r="I4" s="2045"/>
      <c r="J4" s="2045"/>
      <c r="K4" s="2045"/>
    </row>
    <row r="5" spans="1:33" ht="18" customHeight="1" thickBot="1">
      <c r="A5" s="94"/>
      <c r="B5" s="3395" t="e">
        <f ca="1">ROUND(B2/(IF(C1="",'数据-汇总表'!D3,INDIRECT("'数据-取费表'!R"&amp;$K$1))/666.67),0)</f>
        <v>#DIV/0!</v>
      </c>
      <c r="C5" s="3389" t="s">
        <v>3621</v>
      </c>
      <c r="D5" s="171"/>
      <c r="E5" s="2045"/>
      <c r="F5" s="2045"/>
      <c r="G5" s="2045"/>
      <c r="H5" s="2045"/>
      <c r="I5" s="2045"/>
      <c r="J5" s="2045"/>
      <c r="K5" s="2045"/>
    </row>
    <row r="6" spans="1:33" s="515" customFormat="1" ht="16.5" customHeight="1">
      <c r="A6" s="2653" t="s">
        <v>3509</v>
      </c>
      <c r="B6" s="2652"/>
      <c r="C6" s="4641" t="s">
        <v>3366</v>
      </c>
      <c r="D6" s="4641"/>
      <c r="E6" s="4641"/>
      <c r="F6" s="4641"/>
      <c r="G6" s="4641"/>
      <c r="H6" s="4641"/>
      <c r="I6" s="4641"/>
      <c r="J6" s="4641"/>
      <c r="K6" s="4642"/>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3945</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3946</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3949</v>
      </c>
      <c r="B10" s="4074" t="s">
        <v>3944</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63" t="s">
        <v>3510</v>
      </c>
      <c r="B11" s="4664"/>
      <c r="C11" s="4664"/>
      <c r="D11" s="4664"/>
      <c r="E11" s="4664"/>
      <c r="F11" s="4664"/>
      <c r="G11" s="4664"/>
      <c r="H11" s="4664"/>
      <c r="I11" s="4664"/>
      <c r="J11" s="4664"/>
      <c r="K11" s="4665"/>
    </row>
    <row r="12" spans="1:33" s="4071" customFormat="1" ht="13.5" customHeight="1">
      <c r="A12" s="3211" t="s">
        <v>3499</v>
      </c>
      <c r="B12" s="4068" t="s">
        <v>1537</v>
      </c>
      <c r="C12" s="4072" t="s">
        <v>3944</v>
      </c>
      <c r="D12" s="4068" t="s">
        <v>1539</v>
      </c>
      <c r="E12" s="4068" t="s">
        <v>1540</v>
      </c>
      <c r="F12" s="4068" t="s">
        <v>1541</v>
      </c>
      <c r="G12" s="4080" t="s">
        <v>3390</v>
      </c>
      <c r="H12" s="4081"/>
      <c r="I12" s="4081"/>
      <c r="J12" s="4081"/>
      <c r="K12" s="4082"/>
    </row>
    <row r="13" spans="1:33" s="521" customFormat="1" ht="13.5" customHeight="1">
      <c r="A13" s="2493">
        <v>1</v>
      </c>
      <c r="B13" s="2677" t="s">
        <v>3511</v>
      </c>
      <c r="C13" s="2662">
        <f>SUM(C10:K10)</f>
        <v>0</v>
      </c>
      <c r="D13" s="520"/>
      <c r="E13" s="520"/>
      <c r="F13" s="3225"/>
      <c r="G13" s="3350"/>
      <c r="H13" s="3349"/>
      <c r="I13" s="3349"/>
      <c r="J13" s="3349"/>
      <c r="K13" s="3361"/>
    </row>
    <row r="14" spans="1:33" s="521" customFormat="1" ht="13.5" customHeight="1">
      <c r="A14" s="2493">
        <v>2</v>
      </c>
      <c r="B14" s="2678" t="s">
        <v>3614</v>
      </c>
      <c r="C14" s="2662">
        <v>0</v>
      </c>
      <c r="D14" s="2678"/>
      <c r="E14" s="2678"/>
      <c r="F14" s="2596">
        <v>0</v>
      </c>
      <c r="G14" s="3529" t="s">
        <v>3664</v>
      </c>
      <c r="H14" s="3349"/>
      <c r="I14" s="3349"/>
      <c r="J14" s="3349"/>
      <c r="K14" s="3361"/>
    </row>
    <row r="15" spans="1:33" s="523" customFormat="1" ht="13.5" customHeight="1">
      <c r="A15" s="2493">
        <v>3</v>
      </c>
      <c r="B15" s="530" t="s">
        <v>3584</v>
      </c>
      <c r="C15" s="2534">
        <f ca="1">C32-C33</f>
        <v>70</v>
      </c>
      <c r="D15" s="530"/>
      <c r="E15" s="173"/>
      <c r="F15" s="3226"/>
      <c r="G15" s="3351" t="s">
        <v>3529</v>
      </c>
      <c r="H15" s="526"/>
      <c r="I15" s="526"/>
      <c r="J15" s="526"/>
      <c r="K15" s="527"/>
    </row>
    <row r="16" spans="1:33" s="523" customFormat="1" ht="13.5" customHeight="1">
      <c r="A16" s="3362" t="s">
        <v>3579</v>
      </c>
      <c r="B16" s="3230" t="s">
        <v>3512</v>
      </c>
      <c r="C16" s="3231">
        <f ca="1">SUM(C17:C22)</f>
        <v>66</v>
      </c>
      <c r="D16" s="3230"/>
      <c r="E16" s="3230"/>
      <c r="F16" s="3232"/>
      <c r="G16" s="2632"/>
      <c r="H16" s="3349"/>
      <c r="I16" s="3349"/>
      <c r="J16" s="3349"/>
      <c r="K16" s="3361"/>
    </row>
    <row r="17" spans="1:33" s="523" customFormat="1" ht="13.5" customHeight="1">
      <c r="A17" s="3363" t="s">
        <v>3530</v>
      </c>
      <c r="B17" s="3217" t="s">
        <v>3517</v>
      </c>
      <c r="C17" s="2501">
        <f ca="1">IF(C1="",'数据-取费表'!M16,INDIRECT("'数据-取费表'!M"&amp;$K$1)+INDIRECT("'数据-取费表'!ap"&amp;$K$1))</f>
        <v>57</v>
      </c>
      <c r="D17" s="3233"/>
      <c r="E17" s="3234"/>
      <c r="F17" s="3246"/>
      <c r="G17" s="3352"/>
      <c r="H17" s="3349"/>
      <c r="I17" s="3349"/>
      <c r="J17" s="3349"/>
      <c r="K17" s="3361"/>
    </row>
    <row r="18" spans="1:33" s="523" customFormat="1" ht="13.5" customHeight="1">
      <c r="A18" s="3363" t="s">
        <v>3518</v>
      </c>
      <c r="B18" s="3218" t="s">
        <v>3519</v>
      </c>
      <c r="C18" s="2501">
        <f ca="1">ROUND(C17*F18,0)</f>
        <v>4</v>
      </c>
      <c r="D18" s="3230"/>
      <c r="E18" s="3230"/>
      <c r="F18" s="3247">
        <f>'数据-取费表'!B33</f>
        <v>7.0000000000000007E-2</v>
      </c>
      <c r="G18" s="2632"/>
      <c r="H18" s="3349"/>
      <c r="I18" s="3349"/>
      <c r="J18" s="3349"/>
      <c r="K18" s="3361"/>
    </row>
    <row r="19" spans="1:33" s="523" customFormat="1" ht="13.5" customHeight="1">
      <c r="A19" s="3363" t="s">
        <v>3531</v>
      </c>
      <c r="B19" s="3219" t="s">
        <v>3487</v>
      </c>
      <c r="C19" s="2501">
        <f ca="1">ROUND(IF(C1="",SUMIF('数据-取费表'!C:C,"住宅",'数据-取费表'!M:M)*F19,IF(INDIRECT("'数据-取费表'!c"&amp;$K$1)="住宅",INDIRECT("'数据-取费表'!M"&amp;$K$1)*F19,0)),0)</f>
        <v>0</v>
      </c>
      <c r="D19" s="3235"/>
      <c r="E19" s="3235"/>
      <c r="F19" s="3247">
        <f>'数据-取费表'!B34</f>
        <v>0</v>
      </c>
      <c r="G19" s="2497"/>
      <c r="H19" s="3349"/>
      <c r="I19" s="3349"/>
      <c r="J19" s="3349"/>
      <c r="K19" s="3361"/>
    </row>
    <row r="20" spans="1:33" s="523" customFormat="1" ht="13.5" customHeight="1">
      <c r="A20" s="3363" t="s">
        <v>3532</v>
      </c>
      <c r="B20" s="3219" t="s">
        <v>3540</v>
      </c>
      <c r="C20" s="2501">
        <f ca="1">ROUND(D20*E20/10000,0)</f>
        <v>4</v>
      </c>
      <c r="D20" s="3228">
        <f ca="1">IF(C1="",'数据-汇总表'!E3,INDIRECT("'数据-取费表'!K"&amp;$K$1)+INDIRECT("'数据-取费表'!S"&amp;$K$1))</f>
        <v>138.79</v>
      </c>
      <c r="E20" s="3229">
        <f>'数据-取费表'!B35</f>
        <v>300</v>
      </c>
      <c r="F20" s="3228"/>
      <c r="G20" s="2497"/>
      <c r="H20" s="3349"/>
      <c r="I20" s="3349"/>
      <c r="J20" s="526"/>
      <c r="K20" s="527"/>
    </row>
    <row r="21" spans="1:33" s="523" customFormat="1" ht="13.5" customHeight="1">
      <c r="A21" s="3363" t="s">
        <v>3533</v>
      </c>
      <c r="B21" s="3220" t="s">
        <v>3490</v>
      </c>
      <c r="C21" s="2501">
        <f ca="1">ROUND(C17*F21,0)</f>
        <v>1</v>
      </c>
      <c r="D21" s="3235"/>
      <c r="E21" s="3235"/>
      <c r="F21" s="3247">
        <f>'数据-取费表'!B36</f>
        <v>0.01</v>
      </c>
      <c r="G21" s="2497"/>
      <c r="H21" s="528"/>
      <c r="I21" s="528"/>
      <c r="J21" s="528"/>
      <c r="K21" s="3364"/>
    </row>
    <row r="22" spans="1:33" s="523" customFormat="1" ht="13.5" customHeight="1">
      <c r="A22" s="3363" t="s">
        <v>3534</v>
      </c>
      <c r="B22" s="3220" t="s">
        <v>3541</v>
      </c>
      <c r="C22" s="2501">
        <f ca="1">ROUND(C17*F22,0)</f>
        <v>0</v>
      </c>
      <c r="D22" s="3235"/>
      <c r="E22" s="3235"/>
      <c r="F22" s="3247">
        <f>'数据-取费表'!B37</f>
        <v>0</v>
      </c>
      <c r="G22" s="2497"/>
      <c r="H22" s="528"/>
      <c r="I22" s="528"/>
      <c r="J22" s="528"/>
      <c r="K22" s="3364"/>
    </row>
    <row r="23" spans="1:33" s="524" customFormat="1" ht="13.5" customHeight="1">
      <c r="A23" s="3362" t="s">
        <v>3580</v>
      </c>
      <c r="B23" s="3230" t="s">
        <v>3476</v>
      </c>
      <c r="C23" s="2506">
        <f ca="1">ROUND(C16*F23,0)</f>
        <v>1</v>
      </c>
      <c r="D23" s="3236"/>
      <c r="E23" s="3236"/>
      <c r="F23" s="3248">
        <f>'数据-取费表'!B38</f>
        <v>0.02</v>
      </c>
      <c r="G23" s="2509" t="s">
        <v>3513</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3581</v>
      </c>
      <c r="B24" s="3230" t="s">
        <v>3520</v>
      </c>
      <c r="C24" s="2506" t="str">
        <f>F24&amp;"V建"</f>
        <v>0.02V建</v>
      </c>
      <c r="D24" s="3236"/>
      <c r="E24" s="3236"/>
      <c r="F24" s="3248">
        <f>'数据-取费表'!B39</f>
        <v>0.02</v>
      </c>
      <c r="G24" s="2509" t="s">
        <v>3514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2" t="s">
        <v>3582</v>
      </c>
      <c r="B25" s="3230" t="s">
        <v>3407</v>
      </c>
      <c r="C25" s="3237" t="str">
        <f ca="1">C26&amp;"+"&amp;C27&amp;"V建"</f>
        <v>2+0.0004V建</v>
      </c>
      <c r="D25" s="3238"/>
      <c r="E25" s="3238"/>
      <c r="F25" s="3247">
        <f ca="1">'数据-取费表'!B41</f>
        <v>3.1300000000000001E-2</v>
      </c>
      <c r="G25" s="3353" t="s">
        <v>3521</v>
      </c>
      <c r="H25" s="3354"/>
      <c r="I25" s="3354"/>
      <c r="J25" s="3354"/>
      <c r="K25" s="3365"/>
    </row>
    <row r="26" spans="1:33" s="524" customFormat="1" ht="13.5" customHeight="1">
      <c r="A26" s="3363" t="s">
        <v>3522</v>
      </c>
      <c r="B26" s="3220" t="s">
        <v>3545</v>
      </c>
      <c r="C26" s="3237">
        <f ca="1">ROUND(IF('数据-取费表'!B20&lt;=1,(C16+C23)*F25*'数据-取费表'!B20/2,(C23+C16)*(POWER((1+F25),'数据-取费表'!B20/2)-1)),0)</f>
        <v>2</v>
      </c>
      <c r="D26" s="3238"/>
      <c r="E26" s="3238"/>
      <c r="F26" s="3228"/>
      <c r="G26" s="3353" t="s">
        <v>3523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3524</v>
      </c>
      <c r="B27" s="3220" t="s">
        <v>3546</v>
      </c>
      <c r="C27" s="3239">
        <f>ROUND(IF('数据-取费表'!B20&lt;=1,F24*F25*'数据-取费表'!B20/2,F24*(POWER((1+F23),'数据-取费表'!B20/2)-1)),4)</f>
        <v>4.0000000000000002E-4</v>
      </c>
      <c r="D27" s="3030"/>
      <c r="E27" s="3030"/>
      <c r="F27" s="3246"/>
      <c r="G27" s="3355"/>
      <c r="H27" s="3349"/>
      <c r="I27" s="3349"/>
      <c r="J27" s="3349"/>
      <c r="K27" s="3361"/>
    </row>
    <row r="28" spans="1:33" s="523" customFormat="1" ht="13.5" customHeight="1">
      <c r="A28" s="3362" t="s">
        <v>3525</v>
      </c>
      <c r="B28" s="3230" t="s">
        <v>3542</v>
      </c>
      <c r="C28" s="2650" t="str">
        <f ca="1">C29&amp;"+"&amp;C30&amp;"V建"</f>
        <v>13+0.004V建</v>
      </c>
      <c r="D28" s="1011"/>
      <c r="E28" s="1011"/>
      <c r="F28" s="3249">
        <f ca="1">IF(C1="",'数据-取费表'!Q16,INDIRECT("'数据-取费表'!q"&amp;$K$1))</f>
        <v>0.2</v>
      </c>
      <c r="G28" s="4666" t="s">
        <v>3526</v>
      </c>
      <c r="H28" s="3349"/>
      <c r="I28" s="3349"/>
      <c r="J28" s="3349"/>
      <c r="K28" s="3361"/>
    </row>
    <row r="29" spans="1:33" s="523" customFormat="1" ht="13.5" customHeight="1">
      <c r="A29" s="3363" t="s">
        <v>3538</v>
      </c>
      <c r="B29" s="3220" t="s">
        <v>3543</v>
      </c>
      <c r="C29" s="2651">
        <f ca="1">ROUND((C16+C23)*F28,0)</f>
        <v>13</v>
      </c>
      <c r="D29" s="1011"/>
      <c r="E29" s="1011"/>
      <c r="F29" s="2720"/>
      <c r="G29" s="4666"/>
      <c r="H29" s="3356"/>
      <c r="I29" s="3356"/>
      <c r="J29" s="3356"/>
      <c r="K29" s="3366"/>
    </row>
    <row r="30" spans="1:33" s="531" customFormat="1" ht="13.5" customHeight="1">
      <c r="A30" s="3363" t="s">
        <v>3539</v>
      </c>
      <c r="B30" s="3220" t="s">
        <v>3544</v>
      </c>
      <c r="C30" s="2501">
        <f ca="1">ROUND(F24*F28,4)</f>
        <v>4.0000000000000001E-3</v>
      </c>
      <c r="D30" s="3240"/>
      <c r="E30" s="3238"/>
      <c r="F30" s="3228"/>
      <c r="G30" s="3357"/>
      <c r="H30" s="526"/>
      <c r="I30" s="526"/>
      <c r="J30" s="526"/>
      <c r="K30" s="527"/>
    </row>
    <row r="31" spans="1:33" s="531" customFormat="1" ht="13.5" customHeight="1">
      <c r="A31" s="3362" t="s">
        <v>3535</v>
      </c>
      <c r="B31" s="3230" t="s">
        <v>3547</v>
      </c>
      <c r="C31" s="2501">
        <v>0</v>
      </c>
      <c r="D31" s="3241"/>
      <c r="E31" s="3242"/>
      <c r="F31" s="3228"/>
      <c r="G31" s="3358" t="s">
        <v>3515</v>
      </c>
      <c r="H31" s="526"/>
      <c r="I31" s="526"/>
      <c r="J31" s="526"/>
      <c r="K31" s="527"/>
    </row>
    <row r="32" spans="1:33" s="523" customFormat="1" ht="13.5" customHeight="1">
      <c r="A32" s="3362" t="s">
        <v>3536</v>
      </c>
      <c r="B32" s="3230" t="s">
        <v>3583</v>
      </c>
      <c r="C32" s="3231">
        <f ca="1">ROUND((C16+C23+C26+C29)/(1-F24-C27-C30),0)</f>
        <v>84</v>
      </c>
      <c r="D32" s="3241"/>
      <c r="E32" s="3242"/>
      <c r="F32" s="3228"/>
      <c r="G32" s="3359" t="s">
        <v>3516</v>
      </c>
      <c r="H32" s="3360"/>
      <c r="I32" s="3360"/>
      <c r="J32" s="3360"/>
      <c r="K32" s="3367"/>
    </row>
    <row r="33" spans="1:11" s="176" customFormat="1" ht="13.5" customHeight="1">
      <c r="A33" s="3362" t="s">
        <v>3537</v>
      </c>
      <c r="B33" s="3243" t="s">
        <v>3527</v>
      </c>
      <c r="C33" s="3244">
        <f ca="1">ROUND(C32*(1-F33),0)</f>
        <v>14</v>
      </c>
      <c r="D33" s="3245"/>
      <c r="E33" s="3030"/>
      <c r="F33" s="3248">
        <f>IF('数据-取费表'!B24=0,'数据-取费表'!N16,1)</f>
        <v>0.83</v>
      </c>
      <c r="G33" s="3351" t="s">
        <v>3528</v>
      </c>
      <c r="H33" s="3356"/>
      <c r="I33" s="3356"/>
      <c r="J33" s="3356"/>
      <c r="K33" s="3366"/>
    </row>
    <row r="34" spans="1:11" s="521" customFormat="1" ht="15.75" thickBot="1">
      <c r="A34" s="3368">
        <v>4</v>
      </c>
      <c r="B34" s="3369" t="s">
        <v>3585</v>
      </c>
      <c r="C34" s="3370">
        <f ca="1">C13-C15</f>
        <v>-70</v>
      </c>
      <c r="D34" s="3369"/>
      <c r="E34" s="3369"/>
      <c r="F34" s="3371"/>
      <c r="G34" s="3372" t="s">
        <v>3613</v>
      </c>
      <c r="H34" s="3373"/>
      <c r="I34" s="3373"/>
      <c r="J34" s="3373"/>
      <c r="K34" s="337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6" t="s">
        <v>3506</v>
      </c>
      <c r="B1" s="3224"/>
      <c r="C1" s="2828"/>
      <c r="D1" s="93"/>
      <c r="E1" s="93"/>
      <c r="F1" s="93"/>
      <c r="G1" s="756">
        <f>MATCH(C1,'数据-取费表'!A6:A16,0)+5</f>
        <v>7</v>
      </c>
    </row>
    <row r="2" spans="1:7" s="95" customFormat="1" ht="15.75">
      <c r="A2" s="96" t="s">
        <v>1431</v>
      </c>
      <c r="B2" s="2522">
        <f ca="1">C34</f>
        <v>58</v>
      </c>
      <c r="C2" s="94" t="s">
        <v>1432</v>
      </c>
      <c r="D2" s="94"/>
      <c r="E2" s="2510"/>
      <c r="F2" s="94"/>
      <c r="G2" s="94"/>
    </row>
    <row r="3" spans="1:7" s="95" customFormat="1" ht="15.75">
      <c r="A3" s="98" t="s">
        <v>1433</v>
      </c>
      <c r="B3" s="2523">
        <f ca="1">ROUND(B2*10000/(IF(C1="",'数据-汇总表'!E3,INDIRECT("'数据-取费表'!k"&amp;$G$1))),0)</f>
        <v>4179</v>
      </c>
      <c r="C3" s="94" t="s">
        <v>1434</v>
      </c>
      <c r="D3" s="94"/>
      <c r="E3" s="2510"/>
      <c r="F3" s="94"/>
      <c r="G3" s="94"/>
    </row>
    <row r="4" spans="1:7" s="95" customFormat="1" ht="15.75">
      <c r="A4" s="3386" t="s">
        <v>3620</v>
      </c>
      <c r="B4" s="2522" t="e">
        <f ca="1">ROUND(B2*10000/'数据-汇总表'!D3,0)</f>
        <v>#DIV/0!</v>
      </c>
      <c r="C4" s="96" t="s">
        <v>3622</v>
      </c>
      <c r="D4" s="94"/>
      <c r="E4" s="2510"/>
      <c r="F4" s="94"/>
      <c r="G4" s="94"/>
    </row>
    <row r="5" spans="1:7" s="95" customFormat="1" ht="16.5" thickBot="1">
      <c r="A5" s="94"/>
      <c r="B5" s="3395" t="e">
        <f ca="1">ROUND(B2/('数据-汇总表'!D3/666.67),0)</f>
        <v>#DIV/0!</v>
      </c>
      <c r="C5" s="3380" t="s">
        <v>3621</v>
      </c>
      <c r="D5" s="94"/>
      <c r="E5" s="2510"/>
      <c r="F5" s="94"/>
      <c r="G5" s="94"/>
    </row>
    <row r="6" spans="1:7" s="95" customFormat="1" ht="15.75">
      <c r="A6" s="3268" t="s">
        <v>3319</v>
      </c>
      <c r="B6" s="3269" t="s">
        <v>3320</v>
      </c>
      <c r="C6" s="3270" t="s">
        <v>3941</v>
      </c>
      <c r="D6" s="3271" t="s">
        <v>3325</v>
      </c>
      <c r="E6" s="3272" t="s">
        <v>3326</v>
      </c>
      <c r="F6" s="3272" t="s">
        <v>3327</v>
      </c>
      <c r="G6" s="3273" t="s">
        <v>3321</v>
      </c>
    </row>
    <row r="7" spans="1:7" s="103" customFormat="1" ht="15.75">
      <c r="A7" s="3274" t="s">
        <v>3318</v>
      </c>
      <c r="B7" s="2503" t="s">
        <v>3565</v>
      </c>
      <c r="C7" s="2525">
        <f>IF(G7="征收国有地",C8,IF(G7="征收集体地",C11,C17))</f>
        <v>0</v>
      </c>
      <c r="D7" s="3256"/>
      <c r="E7" s="3256"/>
      <c r="F7" s="3256"/>
      <c r="G7" s="3331"/>
    </row>
    <row r="8" spans="1:7" s="109" customFormat="1">
      <c r="A8" s="3275" t="s">
        <v>3589</v>
      </c>
      <c r="B8" s="3263" t="s">
        <v>3560</v>
      </c>
      <c r="C8" s="2562">
        <f>C9+C10</f>
        <v>0</v>
      </c>
      <c r="D8" s="3222"/>
      <c r="E8" s="3222"/>
      <c r="F8" s="3222"/>
      <c r="G8" s="3254"/>
    </row>
    <row r="9" spans="1:7" s="109" customFormat="1">
      <c r="A9" s="2581" t="s">
        <v>1451</v>
      </c>
      <c r="B9" s="124" t="s">
        <v>3548</v>
      </c>
      <c r="C9" s="3407">
        <f>ROUND(D9*E9/10000,0)</f>
        <v>0</v>
      </c>
      <c r="D9" s="3252"/>
      <c r="E9" s="3252"/>
      <c r="F9" s="3222"/>
      <c r="G9" s="3276"/>
    </row>
    <row r="10" spans="1:7" s="109" customFormat="1">
      <c r="A10" s="2581" t="s">
        <v>1453</v>
      </c>
      <c r="B10" s="124" t="s">
        <v>3549</v>
      </c>
      <c r="C10" s="3407">
        <f>ROUND(D10*E10/10000,0)</f>
        <v>0</v>
      </c>
      <c r="D10" s="3252"/>
      <c r="E10" s="3252"/>
      <c r="F10" s="3222"/>
      <c r="G10" s="3276"/>
    </row>
    <row r="11" spans="1:7" s="109" customFormat="1" ht="13.5">
      <c r="A11" s="3223" t="s">
        <v>3571</v>
      </c>
      <c r="B11" s="3326" t="s">
        <v>3561</v>
      </c>
      <c r="C11" s="136">
        <f>C12+C15+C16</f>
        <v>0</v>
      </c>
      <c r="D11" s="3222"/>
      <c r="E11" s="3222"/>
      <c r="F11" s="3222"/>
      <c r="G11" s="3276"/>
    </row>
    <row r="12" spans="1:7" s="109" customFormat="1">
      <c r="A12" s="2581" t="s">
        <v>1451</v>
      </c>
      <c r="B12" s="124" t="s">
        <v>3550</v>
      </c>
      <c r="C12" s="124">
        <f>C13+C14</f>
        <v>0</v>
      </c>
      <c r="D12" s="994"/>
      <c r="E12" s="994"/>
      <c r="F12" s="3222"/>
      <c r="G12" s="3277" t="s">
        <v>3551</v>
      </c>
    </row>
    <row r="13" spans="1:7" s="109" customFormat="1">
      <c r="A13" s="3327" t="s">
        <v>3573</v>
      </c>
      <c r="B13" s="3328" t="s">
        <v>3572</v>
      </c>
      <c r="C13" s="3407">
        <f>ROUND(D13*E13/10000,0)</f>
        <v>0</v>
      </c>
      <c r="D13" s="3252"/>
      <c r="E13" s="3252"/>
      <c r="F13" s="3222"/>
      <c r="G13" s="3278" t="s">
        <v>3653</v>
      </c>
    </row>
    <row r="14" spans="1:7" s="109" customFormat="1">
      <c r="A14" s="3327" t="s">
        <v>3575</v>
      </c>
      <c r="B14" s="3328" t="s">
        <v>3574</v>
      </c>
      <c r="C14" s="3252">
        <v>0</v>
      </c>
      <c r="D14" s="994"/>
      <c r="E14" s="994"/>
      <c r="F14" s="3222"/>
      <c r="G14" s="3278"/>
    </row>
    <row r="15" spans="1:7" s="109" customFormat="1">
      <c r="A15" s="2581" t="s">
        <v>1453</v>
      </c>
      <c r="B15" s="124" t="s">
        <v>3552</v>
      </c>
      <c r="C15" s="3407">
        <f t="shared" ref="C15" si="0">ROUND(D15*E15/10000,0)</f>
        <v>0</v>
      </c>
      <c r="D15" s="3252"/>
      <c r="E15" s="3252"/>
      <c r="F15" s="3222"/>
      <c r="G15" s="3278" t="s">
        <v>3553</v>
      </c>
    </row>
    <row r="16" spans="1:7" s="109" customFormat="1">
      <c r="A16" s="2581" t="s">
        <v>3564</v>
      </c>
      <c r="B16" s="3264" t="s">
        <v>3554</v>
      </c>
      <c r="C16" s="3407">
        <f>C13*F16</f>
        <v>0</v>
      </c>
      <c r="D16" s="3252"/>
      <c r="E16" s="3252"/>
      <c r="F16" s="3408">
        <v>0.25</v>
      </c>
      <c r="G16" s="3341" t="s">
        <v>3555</v>
      </c>
    </row>
    <row r="17" spans="1:9" s="109" customFormat="1" ht="13.5">
      <c r="A17" s="3223" t="s">
        <v>337</v>
      </c>
      <c r="B17" s="3263" t="s">
        <v>3562</v>
      </c>
      <c r="C17" s="2521">
        <f>C18+C19</f>
        <v>0</v>
      </c>
      <c r="D17" s="3333"/>
      <c r="E17" s="3334"/>
      <c r="F17" s="2553"/>
      <c r="G17" s="3342"/>
    </row>
    <row r="18" spans="1:9" s="109" customFormat="1">
      <c r="A18" s="3221" t="s">
        <v>347</v>
      </c>
      <c r="B18" s="3264" t="s">
        <v>1442</v>
      </c>
      <c r="C18" s="3020"/>
      <c r="D18" s="3335"/>
      <c r="E18" s="3334"/>
      <c r="F18" s="2552"/>
      <c r="G18" s="3409" t="s">
        <v>3654</v>
      </c>
    </row>
    <row r="19" spans="1:9" s="109" customFormat="1">
      <c r="A19" s="3221" t="s">
        <v>1443</v>
      </c>
      <c r="B19" s="3264" t="s">
        <v>1444</v>
      </c>
      <c r="C19" s="2521">
        <f>ROUND(C18*F19,0)</f>
        <v>0</v>
      </c>
      <c r="D19" s="3333"/>
      <c r="E19" s="3334"/>
      <c r="F19" s="2553">
        <f>IF(项目基本情况!B8="出让",0,'数据-取费表'!B49+'数据-取费表'!B50)</f>
        <v>3.0499999999999999E-2</v>
      </c>
      <c r="G19" s="3342"/>
    </row>
    <row r="20" spans="1:9" s="2533" customFormat="1" ht="15.75">
      <c r="A20" s="3274" t="s">
        <v>3590</v>
      </c>
      <c r="B20" s="2503" t="s">
        <v>3563</v>
      </c>
      <c r="C20" s="2534">
        <f ca="1">C21+C24+C25</f>
        <v>63.9039</v>
      </c>
      <c r="D20" s="3336"/>
      <c r="E20" s="3337"/>
      <c r="F20" s="2557"/>
      <c r="G20" s="3343"/>
    </row>
    <row r="21" spans="1:9" s="118" customFormat="1" ht="15">
      <c r="A21" s="3279" t="s">
        <v>3586</v>
      </c>
      <c r="B21" s="3257" t="s">
        <v>3311</v>
      </c>
      <c r="C21" s="2562">
        <f ca="1">IF(G21="已包含在土地购买价格中","0",IF(C1="",'数据-取费表'!B29,IF(G22="全部缴纳",C22+C23,H22)))</f>
        <v>56.9039</v>
      </c>
      <c r="D21" s="3338"/>
      <c r="E21" s="3339"/>
      <c r="F21" s="3253"/>
      <c r="G21" s="1338"/>
    </row>
    <row r="22" spans="1:9" s="109" customFormat="1">
      <c r="A22" s="2505" t="s">
        <v>3569</v>
      </c>
      <c r="B22" s="3258" t="s">
        <v>1447</v>
      </c>
      <c r="C22" s="2561">
        <f ca="1">ROUND(D22*E22/10000,0)</f>
        <v>0</v>
      </c>
      <c r="D22" s="3250">
        <f ca="1">IF(C1="",'数据-汇总表'!E5,IF(INDIRECT("'数据-取费表'!c"&amp;$G$1)="住宅",INDIRECT("'数据-取费表'!k"&amp;$G$1),0))</f>
        <v>0</v>
      </c>
      <c r="E22" s="3250">
        <f>'数据-取费表'!B27</f>
        <v>160</v>
      </c>
      <c r="F22" s="2553"/>
      <c r="G22" s="1339"/>
      <c r="H22" s="762"/>
      <c r="I22" s="1340" t="s">
        <v>1448</v>
      </c>
    </row>
    <row r="23" spans="1:9" s="109" customFormat="1">
      <c r="A23" s="2505" t="s">
        <v>3570</v>
      </c>
      <c r="B23" s="3258" t="s">
        <v>1449</v>
      </c>
      <c r="C23" s="2561">
        <f ca="1">ROUND(D23*E23/10000,0)</f>
        <v>3</v>
      </c>
      <c r="D23" s="3250">
        <f ca="1">IF(C1="",'数据-汇总表'!E6,IF(INDIRECT("'数据-取费表'!c"&amp;$G$1)="住宅",INDIRECT("'数据-取费表'!s"&amp;$G$1),INDIRECT("'数据-取费表'!k"&amp;$G$1)+INDIRECT("'数据-取费表'!s"&amp;$G$1)))</f>
        <v>138.79</v>
      </c>
      <c r="E23" s="3250">
        <f>'数据-取费表'!B28</f>
        <v>200</v>
      </c>
      <c r="F23" s="2553"/>
      <c r="G23" s="3344"/>
    </row>
    <row r="24" spans="1:9" s="109" customFormat="1" ht="13.5">
      <c r="A24" s="3223" t="s">
        <v>3571</v>
      </c>
      <c r="B24" s="3259" t="s">
        <v>3587</v>
      </c>
      <c r="C24" s="2562">
        <f ca="1">IF(G24="已包含在土地取得成本中","0",ROUND(D24*E24/10000,0))</f>
        <v>3</v>
      </c>
      <c r="D24" s="3251">
        <f ca="1">D22+D23</f>
        <v>138.79</v>
      </c>
      <c r="E24" s="3251">
        <f>'数据-取费表'!B31</f>
        <v>200</v>
      </c>
      <c r="F24" s="3260"/>
      <c r="G24" s="1338"/>
    </row>
    <row r="25" spans="1:9" s="109" customFormat="1" ht="13.5">
      <c r="A25" s="3223" t="s">
        <v>337</v>
      </c>
      <c r="B25" s="3259" t="s">
        <v>3588</v>
      </c>
      <c r="C25" s="2562">
        <f ca="1">ROUND(E25*D25/10000,0)</f>
        <v>4</v>
      </c>
      <c r="D25" s="3251">
        <f ca="1">D24</f>
        <v>138.79</v>
      </c>
      <c r="E25" s="3251">
        <f>'数据-取费表'!B35</f>
        <v>300</v>
      </c>
      <c r="F25" s="3253"/>
      <c r="G25" s="3345"/>
    </row>
    <row r="26" spans="1:9" s="103" customFormat="1" ht="15.75">
      <c r="A26" s="3274" t="s">
        <v>3591</v>
      </c>
      <c r="B26" s="2503" t="s">
        <v>3592</v>
      </c>
      <c r="C26" s="2522">
        <f>C27+C28</f>
        <v>0</v>
      </c>
      <c r="D26" s="3340"/>
      <c r="E26" s="3340"/>
      <c r="F26" s="3253"/>
      <c r="G26" s="3346"/>
    </row>
    <row r="27" spans="1:9" s="109" customFormat="1">
      <c r="A27" s="3275" t="s">
        <v>3589</v>
      </c>
      <c r="B27" s="3261" t="s">
        <v>3556</v>
      </c>
      <c r="C27" s="2562">
        <f>ROUND(E27*D27/10000,0)</f>
        <v>0</v>
      </c>
      <c r="D27" s="3262"/>
      <c r="E27" s="3284">
        <v>25</v>
      </c>
      <c r="F27" s="3253"/>
      <c r="G27" s="3341" t="s">
        <v>3557</v>
      </c>
    </row>
    <row r="28" spans="1:9" s="109" customFormat="1">
      <c r="A28" s="3280" t="s">
        <v>3571</v>
      </c>
      <c r="B28" s="3261" t="s">
        <v>3558</v>
      </c>
      <c r="C28" s="2562">
        <f>ROUND(E28*D28/10000,0)</f>
        <v>0</v>
      </c>
      <c r="D28" s="3262"/>
      <c r="E28" s="3284">
        <v>60.1</v>
      </c>
      <c r="F28" s="3253"/>
      <c r="G28" s="3341" t="s">
        <v>3559</v>
      </c>
    </row>
    <row r="29" spans="1:9" s="2533" customFormat="1" ht="15.75">
      <c r="A29" s="3274" t="s">
        <v>3593</v>
      </c>
      <c r="B29" s="2503" t="s">
        <v>3594</v>
      </c>
      <c r="C29" s="2513">
        <f ca="1">ROUND(IF('数据-取费表'!B19&lt;=1,((C7+C26)*'数据-取费表'!B19+C20*'数据-取费表'!B19/2)*F29,((C7+C26)*(POWER((1+F29),'数据-取费表'!B19)-1)+C20*(POWER((1+F29),'数据-取费表'!B19/2)-1))),0)</f>
        <v>0</v>
      </c>
      <c r="D29" s="2538"/>
      <c r="E29" s="296"/>
      <c r="F29" s="3255">
        <f ca="1">'数据-取费表'!B41</f>
        <v>3.1300000000000001E-2</v>
      </c>
      <c r="G29" s="3347" t="str">
        <f>IF('数据-取费表'!B19&lt;=1,"单利计息","复利计息")</f>
        <v>单利计息</v>
      </c>
    </row>
    <row r="30" spans="1:9" s="2533" customFormat="1" ht="15.75">
      <c r="A30" s="3274" t="s">
        <v>3595</v>
      </c>
      <c r="B30" s="2503" t="s">
        <v>3596</v>
      </c>
      <c r="C30" s="2540">
        <f ca="1">ROUND((C7+C20+C26)*F30,0)</f>
        <v>13</v>
      </c>
      <c r="D30" s="2538"/>
      <c r="E30" s="296"/>
      <c r="F30" s="3265">
        <f ca="1">IF(C1="",'数据-取费表'!Q16,INDIRECT("'数据-取费表'!q"&amp;$G$1))</f>
        <v>0.2</v>
      </c>
      <c r="G30" s="3347"/>
    </row>
    <row r="31" spans="1:9" s="109" customFormat="1" ht="15.75">
      <c r="A31" s="2504" t="s">
        <v>3576</v>
      </c>
      <c r="B31" s="2503" t="s">
        <v>3568</v>
      </c>
      <c r="C31" s="2525">
        <f ca="1">C7+C20+C29+C30</f>
        <v>76.903899999999993</v>
      </c>
      <c r="D31" s="2516"/>
      <c r="E31" s="2516"/>
      <c r="F31" s="2515"/>
      <c r="G31" s="2517" t="s">
        <v>3599</v>
      </c>
    </row>
    <row r="32" spans="1:9" s="109" customFormat="1" ht="15.75">
      <c r="A32" s="2504" t="s">
        <v>3567</v>
      </c>
      <c r="B32" s="2503" t="s">
        <v>3566</v>
      </c>
      <c r="C32" s="3330">
        <f ca="1">ROUND(C31*F32,0)</f>
        <v>8</v>
      </c>
      <c r="D32" s="130"/>
      <c r="E32" s="131"/>
      <c r="F32" s="3266">
        <v>0.1</v>
      </c>
      <c r="G32" s="3348"/>
    </row>
    <row r="33" spans="1:14" s="109" customFormat="1" ht="15.75">
      <c r="A33" s="3329">
        <v>8</v>
      </c>
      <c r="B33" s="2503" t="s">
        <v>3578</v>
      </c>
      <c r="C33" s="2525">
        <f ca="1">C31+C32</f>
        <v>84.903899999999993</v>
      </c>
      <c r="D33" s="2516"/>
      <c r="E33" s="2516"/>
      <c r="F33" s="3267"/>
      <c r="G33" s="2517" t="s">
        <v>3598</v>
      </c>
    </row>
    <row r="34" spans="1:14" s="118" customFormat="1" ht="16.5" thickBot="1">
      <c r="A34" s="3281">
        <v>9</v>
      </c>
      <c r="B34" s="3282" t="s">
        <v>3577</v>
      </c>
      <c r="C34" s="2525">
        <f ca="1">ROUND(C33*F34,0)</f>
        <v>58</v>
      </c>
      <c r="D34" s="3283"/>
      <c r="E34" s="3283"/>
      <c r="F34" s="3332">
        <f>'数据-取费表'!AS16</f>
        <v>0.68400000000000005</v>
      </c>
      <c r="G34" s="2517" t="s">
        <v>3600</v>
      </c>
    </row>
    <row r="35" spans="1:14" s="109" customFormat="1"/>
    <row r="36" spans="1:14" s="109" customFormat="1"/>
    <row r="41" spans="1:14">
      <c r="J41" s="4231" t="s">
        <v>4051</v>
      </c>
    </row>
    <row r="42" spans="1:14">
      <c r="J42" s="4231" t="s">
        <v>4048</v>
      </c>
    </row>
    <row r="43" spans="1:14">
      <c r="J43" s="4232" t="s">
        <v>3987</v>
      </c>
      <c r="K43" s="4232"/>
      <c r="L43" s="4233"/>
      <c r="M43" s="4233"/>
      <c r="N43" s="4233"/>
    </row>
    <row r="44" spans="1:14" ht="25.5">
      <c r="J44" s="4675" t="s">
        <v>3988</v>
      </c>
      <c r="K44" s="4676"/>
      <c r="L44" s="4677"/>
      <c r="M44" s="4234" t="s">
        <v>3989</v>
      </c>
      <c r="N44" s="4234" t="s">
        <v>3990</v>
      </c>
    </row>
    <row r="45" spans="1:14">
      <c r="J45" s="4675" t="s">
        <v>3991</v>
      </c>
      <c r="K45" s="4676"/>
      <c r="L45" s="4677"/>
      <c r="M45" s="4234" t="s">
        <v>3992</v>
      </c>
      <c r="N45" s="4672" t="s">
        <v>3993</v>
      </c>
    </row>
    <row r="46" spans="1:14">
      <c r="J46" s="4675" t="s">
        <v>3994</v>
      </c>
      <c r="K46" s="4676"/>
      <c r="L46" s="4677"/>
      <c r="M46" s="4668" t="s">
        <v>3995</v>
      </c>
      <c r="N46" s="4673"/>
    </row>
    <row r="47" spans="1:14">
      <c r="J47" s="4675" t="s">
        <v>3996</v>
      </c>
      <c r="K47" s="4676"/>
      <c r="L47" s="4677"/>
      <c r="M47" s="4670"/>
      <c r="N47" s="4673"/>
    </row>
    <row r="48" spans="1:14">
      <c r="J48" s="4672" t="s">
        <v>4007</v>
      </c>
      <c r="K48" s="4668"/>
      <c r="L48" s="4234" t="s">
        <v>3997</v>
      </c>
      <c r="M48" s="4668" t="s">
        <v>3998</v>
      </c>
      <c r="N48" s="4673"/>
    </row>
    <row r="49" spans="10:15">
      <c r="J49" s="4673"/>
      <c r="K49" s="4669"/>
      <c r="L49" s="4234" t="s">
        <v>3999</v>
      </c>
      <c r="M49" s="4669"/>
      <c r="N49" s="4673"/>
    </row>
    <row r="50" spans="10:15">
      <c r="J50" s="4673"/>
      <c r="K50" s="4670"/>
      <c r="L50" s="4234" t="s">
        <v>4000</v>
      </c>
      <c r="M50" s="4669"/>
      <c r="N50" s="4673"/>
    </row>
    <row r="51" spans="10:15">
      <c r="J51" s="4673"/>
      <c r="K51" s="4672" t="s">
        <v>4008</v>
      </c>
      <c r="L51" s="4234" t="s">
        <v>4001</v>
      </c>
      <c r="M51" s="4669"/>
      <c r="N51" s="4673"/>
    </row>
    <row r="52" spans="10:15">
      <c r="J52" s="4674"/>
      <c r="K52" s="4673"/>
      <c r="L52" s="4234" t="s">
        <v>4009</v>
      </c>
      <c r="M52" s="4669"/>
      <c r="N52" s="4673"/>
    </row>
    <row r="53" spans="10:15">
      <c r="J53" s="4668"/>
      <c r="K53" s="4673"/>
      <c r="L53" s="4234" t="s">
        <v>4010</v>
      </c>
      <c r="M53" s="4669"/>
      <c r="N53" s="4673"/>
    </row>
    <row r="54" spans="10:15">
      <c r="J54" s="4669"/>
      <c r="K54" s="4673"/>
      <c r="L54" s="4234" t="s">
        <v>4002</v>
      </c>
      <c r="M54" s="4669"/>
      <c r="N54" s="4673"/>
    </row>
    <row r="55" spans="10:15">
      <c r="J55" s="4669"/>
      <c r="K55" s="4673"/>
      <c r="L55" s="4234" t="s">
        <v>4003</v>
      </c>
      <c r="M55" s="4669"/>
      <c r="N55" s="4673"/>
    </row>
    <row r="56" spans="10:15">
      <c r="J56" s="4669"/>
      <c r="K56" s="4673"/>
      <c r="L56" s="4234" t="s">
        <v>4004</v>
      </c>
      <c r="M56" s="4670"/>
      <c r="N56" s="4673"/>
    </row>
    <row r="57" spans="10:15">
      <c r="J57" s="4670"/>
      <c r="K57" s="4674"/>
      <c r="L57" s="4234" t="s">
        <v>4005</v>
      </c>
      <c r="M57" s="4235" t="s">
        <v>4006</v>
      </c>
      <c r="N57" s="4674"/>
    </row>
    <row r="60" spans="10:15">
      <c r="J60" s="4233" t="s">
        <v>4011</v>
      </c>
      <c r="K60" s="4233"/>
      <c r="L60" s="4233"/>
      <c r="M60" s="4233"/>
      <c r="N60" s="4233"/>
      <c r="O60" s="4233"/>
    </row>
    <row r="61" spans="10:15">
      <c r="J61" s="4232" t="s">
        <v>4012</v>
      </c>
      <c r="K61" s="4232" t="s">
        <v>4013</v>
      </c>
      <c r="L61" s="4232" t="s">
        <v>4014</v>
      </c>
      <c r="M61" s="4232" t="s">
        <v>4015</v>
      </c>
      <c r="N61" s="4232" t="s">
        <v>4016</v>
      </c>
      <c r="O61" s="4232" t="s">
        <v>4008</v>
      </c>
    </row>
    <row r="62" spans="10:15">
      <c r="J62" s="4232" t="s">
        <v>4017</v>
      </c>
      <c r="K62" s="4236" t="s">
        <v>4050</v>
      </c>
      <c r="L62" s="4232" t="s">
        <v>4018</v>
      </c>
      <c r="M62" s="4232" t="s">
        <v>4018</v>
      </c>
      <c r="N62" s="4232" t="s">
        <v>4019</v>
      </c>
      <c r="O62" s="4232" t="s">
        <v>4019</v>
      </c>
    </row>
    <row r="63" spans="10:15">
      <c r="J63" s="4232" t="s">
        <v>4020</v>
      </c>
      <c r="K63" s="4232" t="s">
        <v>4021</v>
      </c>
      <c r="L63" s="4232" t="s">
        <v>4022</v>
      </c>
      <c r="M63" s="4232" t="s">
        <v>4022</v>
      </c>
      <c r="N63" s="4232" t="s">
        <v>4023</v>
      </c>
      <c r="O63" s="4232" t="s">
        <v>4023</v>
      </c>
    </row>
    <row r="67" spans="10:15">
      <c r="J67" s="4233" t="s">
        <v>4024</v>
      </c>
      <c r="K67" s="4233"/>
      <c r="L67" s="4233"/>
      <c r="M67" s="4233"/>
      <c r="N67" s="4233"/>
      <c r="O67" s="4233"/>
    </row>
    <row r="68" spans="10:15">
      <c r="J68" s="4232" t="s">
        <v>4012</v>
      </c>
      <c r="K68" s="4232" t="s">
        <v>4025</v>
      </c>
      <c r="L68" s="4671" t="s">
        <v>4026</v>
      </c>
      <c r="M68" s="4671"/>
      <c r="N68" s="4671"/>
      <c r="O68" s="4232" t="s">
        <v>3990</v>
      </c>
    </row>
    <row r="69" spans="10:15" ht="25.5">
      <c r="J69" s="4232" t="s">
        <v>4027</v>
      </c>
      <c r="K69" s="4237" t="s">
        <v>4028</v>
      </c>
      <c r="L69" s="4667" t="s">
        <v>4029</v>
      </c>
      <c r="M69" s="4667"/>
      <c r="N69" s="4667"/>
      <c r="O69" s="4232"/>
    </row>
    <row r="70" spans="10:15" ht="25.5">
      <c r="J70" s="4232" t="s">
        <v>4030</v>
      </c>
      <c r="K70" s="4237" t="s">
        <v>4031</v>
      </c>
      <c r="L70" s="4667" t="s">
        <v>4032</v>
      </c>
      <c r="M70" s="4667"/>
      <c r="N70" s="4667"/>
      <c r="O70" s="4232"/>
    </row>
    <row r="71" spans="10:15" ht="25.5">
      <c r="J71" s="4232" t="s">
        <v>4033</v>
      </c>
      <c r="K71" s="4237" t="s">
        <v>4034</v>
      </c>
      <c r="L71" s="4667" t="s">
        <v>4035</v>
      </c>
      <c r="M71" s="4667"/>
      <c r="N71" s="4667"/>
      <c r="O71" s="4232"/>
    </row>
    <row r="72" spans="10:15" ht="27" customHeight="1">
      <c r="J72" s="4232" t="s">
        <v>4036</v>
      </c>
      <c r="K72" s="4237" t="s">
        <v>4037</v>
      </c>
      <c r="L72" s="4667" t="s">
        <v>4049</v>
      </c>
      <c r="M72" s="4667"/>
      <c r="N72" s="4667"/>
      <c r="O72" s="4232"/>
    </row>
    <row r="73" spans="10:15" ht="30" customHeight="1">
      <c r="J73" s="4232" t="s">
        <v>4038</v>
      </c>
      <c r="K73" s="4237" t="s">
        <v>4039</v>
      </c>
      <c r="L73" s="4667" t="s">
        <v>4040</v>
      </c>
      <c r="M73" s="4667"/>
      <c r="N73" s="4667"/>
      <c r="O73" s="4232" t="s">
        <v>2194</v>
      </c>
    </row>
    <row r="74" spans="10:15" ht="57.75" customHeight="1">
      <c r="J74" s="4232" t="s">
        <v>4041</v>
      </c>
      <c r="K74" s="4237" t="s">
        <v>4042</v>
      </c>
      <c r="L74" s="4667" t="s">
        <v>4043</v>
      </c>
      <c r="M74" s="4667"/>
      <c r="N74" s="4667"/>
      <c r="O74" s="4232" t="s">
        <v>4044</v>
      </c>
    </row>
    <row r="75" spans="10:15" ht="32.25" customHeight="1">
      <c r="J75" s="4232" t="s">
        <v>4045</v>
      </c>
      <c r="K75" s="4237" t="s">
        <v>4046</v>
      </c>
      <c r="L75" s="4667" t="s">
        <v>4047</v>
      </c>
      <c r="M75" s="4667"/>
      <c r="N75" s="4667"/>
      <c r="O75" s="4232"/>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2473</v>
      </c>
      <c r="B1" s="2226" t="s">
        <v>2474</v>
      </c>
      <c r="C1" s="2226" t="s">
        <v>2475</v>
      </c>
      <c r="D1" s="2226" t="s">
        <v>2476</v>
      </c>
      <c r="E1" s="2226" t="s">
        <v>2477</v>
      </c>
      <c r="F1" s="2226" t="s">
        <v>2478</v>
      </c>
      <c r="G1" s="2226" t="s">
        <v>2479</v>
      </c>
      <c r="H1" s="2226" t="s">
        <v>2480</v>
      </c>
      <c r="I1" s="2226" t="s">
        <v>2481</v>
      </c>
      <c r="J1" s="2226" t="s">
        <v>2482</v>
      </c>
      <c r="K1" s="2226" t="s">
        <v>2483</v>
      </c>
      <c r="L1" s="2226" t="s">
        <v>2484</v>
      </c>
      <c r="M1" s="2227" t="s">
        <v>2485</v>
      </c>
    </row>
    <row r="2" spans="1:13" ht="19.5" customHeight="1">
      <c r="A2" s="2229" t="s">
        <v>2486</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2487</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2488</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2489</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2490</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2491</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2492</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2493</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2494</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2495</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2496</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2497</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2498</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2499</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2500</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2501</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2502</v>
      </c>
      <c r="B18" s="2238"/>
      <c r="C18" s="2239"/>
      <c r="D18" s="2239"/>
      <c r="E18" s="2238"/>
      <c r="F18" s="2239"/>
      <c r="G18" s="2239"/>
    </row>
    <row r="19" spans="1:13" ht="19.5" customHeight="1" thickBot="1">
      <c r="A19" s="2237" t="s">
        <v>2503</v>
      </c>
      <c r="B19" s="2241" t="s">
        <v>2504</v>
      </c>
      <c r="C19" s="2241" t="s">
        <v>2505</v>
      </c>
      <c r="D19" s="2242"/>
      <c r="E19" s="2237" t="s">
        <v>2506</v>
      </c>
      <c r="F19" s="2243"/>
      <c r="G19" s="2243"/>
    </row>
    <row r="20" spans="1:13" ht="19.5" customHeight="1">
      <c r="A20" s="4688" t="s">
        <v>2486</v>
      </c>
      <c r="B20" s="4678" t="s">
        <v>2507</v>
      </c>
      <c r="C20" s="2492" t="s">
        <v>2318</v>
      </c>
      <c r="D20" s="2492"/>
      <c r="E20" s="3055">
        <v>1</v>
      </c>
      <c r="F20" s="2246" t="s">
        <v>2319</v>
      </c>
      <c r="G20" s="2246"/>
    </row>
    <row r="21" spans="1:13" ht="19.5" customHeight="1">
      <c r="A21" s="4689"/>
      <c r="B21" s="4679"/>
      <c r="C21" s="2255" t="s">
        <v>2320</v>
      </c>
      <c r="D21" s="2255"/>
      <c r="E21" s="3056">
        <v>1</v>
      </c>
      <c r="F21" s="2246" t="s">
        <v>2321</v>
      </c>
      <c r="G21" s="2246"/>
    </row>
    <row r="22" spans="1:13" ht="19.5" customHeight="1">
      <c r="A22" s="4689"/>
      <c r="B22" s="4679"/>
      <c r="C22" s="2255" t="s">
        <v>2322</v>
      </c>
      <c r="D22" s="2255"/>
      <c r="E22" s="3056">
        <v>0.9</v>
      </c>
      <c r="F22" s="2246" t="s">
        <v>2323</v>
      </c>
      <c r="G22" s="2246"/>
    </row>
    <row r="23" spans="1:13" ht="19.5" customHeight="1">
      <c r="A23" s="4689"/>
      <c r="B23" s="4679"/>
      <c r="C23" s="2255" t="s">
        <v>2324</v>
      </c>
      <c r="D23" s="2255"/>
      <c r="E23" s="3056">
        <v>0.9</v>
      </c>
      <c r="F23" s="2246" t="s">
        <v>2325</v>
      </c>
      <c r="G23" s="2246"/>
    </row>
    <row r="24" spans="1:13" ht="19.5" customHeight="1">
      <c r="A24" s="4689"/>
      <c r="B24" s="4679"/>
      <c r="C24" s="2255" t="s">
        <v>2326</v>
      </c>
      <c r="D24" s="2255"/>
      <c r="E24" s="3056">
        <v>0.8</v>
      </c>
      <c r="F24" s="2246" t="s">
        <v>2327</v>
      </c>
      <c r="G24" s="2246"/>
    </row>
    <row r="25" spans="1:13" ht="19.5" customHeight="1">
      <c r="A25" s="4689"/>
      <c r="B25" s="4679"/>
      <c r="C25" s="2255" t="s">
        <v>2328</v>
      </c>
      <c r="D25" s="2255"/>
      <c r="E25" s="3056">
        <v>0.8</v>
      </c>
      <c r="F25" s="2246"/>
      <c r="G25" s="2246"/>
    </row>
    <row r="26" spans="1:13" ht="19.5" customHeight="1">
      <c r="A26" s="4689"/>
      <c r="B26" s="4679"/>
      <c r="C26" s="2255" t="s">
        <v>3267</v>
      </c>
      <c r="D26" s="2255"/>
      <c r="E26" s="3056">
        <v>0.43</v>
      </c>
      <c r="F26" s="2246"/>
      <c r="G26" s="2246"/>
    </row>
    <row r="27" spans="1:13" ht="19.5" customHeight="1" thickBot="1">
      <c r="A27" s="4690"/>
      <c r="B27" s="4680"/>
      <c r="C27" s="2489" t="s">
        <v>3268</v>
      </c>
      <c r="D27" s="2489"/>
      <c r="E27" s="3057">
        <f>E26*0.9</f>
        <v>0.38700000000000001</v>
      </c>
      <c r="F27" s="2246" t="s">
        <v>2329</v>
      </c>
      <c r="G27" s="2246"/>
    </row>
    <row r="28" spans="1:13" ht="19.5" customHeight="1" thickBot="1">
      <c r="A28" s="2488" t="s">
        <v>2508</v>
      </c>
      <c r="B28" s="2487" t="s">
        <v>2507</v>
      </c>
      <c r="C28" s="2490" t="s">
        <v>2509</v>
      </c>
      <c r="D28" s="2491"/>
      <c r="E28" s="3058">
        <v>1</v>
      </c>
      <c r="F28" s="2246" t="s">
        <v>2330</v>
      </c>
      <c r="G28" s="2246"/>
    </row>
    <row r="29" spans="1:13" ht="19.5" customHeight="1">
      <c r="A29" s="4681" t="s">
        <v>2510</v>
      </c>
      <c r="B29" s="4684" t="s">
        <v>2491</v>
      </c>
      <c r="C29" s="2244" t="s">
        <v>2331</v>
      </c>
      <c r="D29" s="2245"/>
      <c r="E29" s="3055">
        <v>1</v>
      </c>
      <c r="F29" s="2246" t="s">
        <v>2332</v>
      </c>
      <c r="G29" s="2246"/>
    </row>
    <row r="30" spans="1:13" ht="19.5" customHeight="1">
      <c r="A30" s="4682"/>
      <c r="B30" s="4685"/>
      <c r="C30" s="2247" t="s">
        <v>2333</v>
      </c>
      <c r="D30" s="2248"/>
      <c r="E30" s="3056">
        <v>1</v>
      </c>
      <c r="F30" s="2246" t="s">
        <v>2334</v>
      </c>
      <c r="G30" s="2246"/>
    </row>
    <row r="31" spans="1:13" ht="19.5" customHeight="1">
      <c r="A31" s="4682"/>
      <c r="B31" s="4685"/>
      <c r="C31" s="2247" t="s">
        <v>2335</v>
      </c>
      <c r="D31" s="2248"/>
      <c r="E31" s="3056">
        <v>0.8</v>
      </c>
      <c r="F31" s="2246" t="s">
        <v>2336</v>
      </c>
      <c r="G31" s="2246"/>
    </row>
    <row r="32" spans="1:13" ht="19.5" customHeight="1">
      <c r="A32" s="4682"/>
      <c r="B32" s="4685"/>
      <c r="C32" s="2247" t="s">
        <v>2337</v>
      </c>
      <c r="D32" s="2248"/>
      <c r="E32" s="3056">
        <v>0.8</v>
      </c>
      <c r="F32" s="2246" t="s">
        <v>2338</v>
      </c>
      <c r="G32" s="2246"/>
    </row>
    <row r="33" spans="1:7" ht="19.5" customHeight="1">
      <c r="A33" s="4682"/>
      <c r="B33" s="4685"/>
      <c r="C33" s="2247" t="s">
        <v>2339</v>
      </c>
      <c r="D33" s="2248"/>
      <c r="E33" s="3056">
        <v>0.8</v>
      </c>
      <c r="F33" s="2246" t="s">
        <v>2340</v>
      </c>
      <c r="G33" s="2246"/>
    </row>
    <row r="34" spans="1:7" ht="19.5" customHeight="1">
      <c r="A34" s="4682"/>
      <c r="B34" s="4685"/>
      <c r="C34" s="2247" t="s">
        <v>2341</v>
      </c>
      <c r="D34" s="2248"/>
      <c r="E34" s="3056">
        <v>0.7</v>
      </c>
      <c r="F34" s="2246" t="s">
        <v>2342</v>
      </c>
      <c r="G34" s="2246"/>
    </row>
    <row r="35" spans="1:7" ht="19.5" customHeight="1">
      <c r="A35" s="4682"/>
      <c r="B35" s="4685"/>
      <c r="C35" s="2247" t="s">
        <v>2343</v>
      </c>
      <c r="D35" s="2248"/>
      <c r="E35" s="3056">
        <v>0.8</v>
      </c>
      <c r="F35" s="2246" t="s">
        <v>2344</v>
      </c>
      <c r="G35" s="2246"/>
    </row>
    <row r="36" spans="1:7" ht="19.5" customHeight="1">
      <c r="A36" s="4682"/>
      <c r="B36" s="4685"/>
      <c r="C36" s="2247" t="s">
        <v>2345</v>
      </c>
      <c r="D36" s="2248"/>
      <c r="E36" s="3056">
        <v>0.6</v>
      </c>
      <c r="F36" s="2246" t="s">
        <v>2346</v>
      </c>
      <c r="G36" s="2246"/>
    </row>
    <row r="37" spans="1:7" ht="19.5" customHeight="1">
      <c r="A37" s="4682"/>
      <c r="B37" s="4685"/>
      <c r="C37" s="2247" t="s">
        <v>2347</v>
      </c>
      <c r="D37" s="2248"/>
      <c r="E37" s="3056">
        <v>0.2</v>
      </c>
      <c r="F37" s="2246" t="s">
        <v>2348</v>
      </c>
      <c r="G37" s="2246"/>
    </row>
    <row r="38" spans="1:7" ht="19.5" customHeight="1">
      <c r="A38" s="4682"/>
      <c r="B38" s="4685"/>
      <c r="C38" s="2247" t="s">
        <v>2349</v>
      </c>
      <c r="D38" s="2248"/>
      <c r="E38" s="3056">
        <v>0.2</v>
      </c>
      <c r="F38" s="2246" t="s">
        <v>2350</v>
      </c>
      <c r="G38" s="2246"/>
    </row>
    <row r="39" spans="1:7" ht="19.5" customHeight="1">
      <c r="A39" s="4682"/>
      <c r="B39" s="4686" t="s">
        <v>2511</v>
      </c>
      <c r="C39" s="2247" t="s">
        <v>2351</v>
      </c>
      <c r="D39" s="2248"/>
      <c r="E39" s="3056">
        <v>0.6</v>
      </c>
      <c r="F39" s="2246" t="s">
        <v>2352</v>
      </c>
      <c r="G39" s="2246"/>
    </row>
    <row r="40" spans="1:7" ht="19.5" customHeight="1">
      <c r="A40" s="4682"/>
      <c r="B40" s="4685"/>
      <c r="C40" s="2247" t="s">
        <v>2353</v>
      </c>
      <c r="D40" s="2248"/>
      <c r="E40" s="3056">
        <v>0.6</v>
      </c>
      <c r="F40" s="2246" t="s">
        <v>2354</v>
      </c>
      <c r="G40" s="2246"/>
    </row>
    <row r="41" spans="1:7" ht="19.5" customHeight="1" thickBot="1">
      <c r="A41" s="4683"/>
      <c r="B41" s="4687"/>
      <c r="C41" s="2249" t="s">
        <v>2355</v>
      </c>
      <c r="D41" s="2250"/>
      <c r="E41" s="3057">
        <v>0.6</v>
      </c>
      <c r="F41" s="2246" t="s">
        <v>2356</v>
      </c>
      <c r="G41" s="2246"/>
    </row>
    <row r="42" spans="1:7" ht="19.5" customHeight="1" thickBot="1">
      <c r="A42" s="2251" t="s">
        <v>2488</v>
      </c>
      <c r="B42" s="2252" t="s">
        <v>2488</v>
      </c>
      <c r="C42" s="2253" t="s">
        <v>2512</v>
      </c>
      <c r="D42" s="2254"/>
      <c r="E42" s="3059">
        <v>1</v>
      </c>
      <c r="F42" s="2246" t="s">
        <v>2357</v>
      </c>
      <c r="G42" s="2246"/>
    </row>
    <row r="43" spans="1:7" ht="19.5" customHeight="1">
      <c r="A43" s="4688" t="s">
        <v>2489</v>
      </c>
      <c r="B43" s="4684" t="s">
        <v>2513</v>
      </c>
      <c r="C43" s="2244" t="s">
        <v>2358</v>
      </c>
      <c r="D43" s="2245"/>
      <c r="E43" s="3055">
        <v>1</v>
      </c>
      <c r="F43" s="2246" t="s">
        <v>2359</v>
      </c>
      <c r="G43" s="2246"/>
    </row>
    <row r="44" spans="1:7" ht="19.5" customHeight="1">
      <c r="A44" s="4689"/>
      <c r="B44" s="4685"/>
      <c r="C44" s="2247" t="s">
        <v>2360</v>
      </c>
      <c r="D44" s="2248"/>
      <c r="E44" s="3056">
        <v>1</v>
      </c>
      <c r="F44" s="2246" t="s">
        <v>2361</v>
      </c>
      <c r="G44" s="2246"/>
    </row>
    <row r="45" spans="1:7" ht="19.5" customHeight="1">
      <c r="A45" s="4689"/>
      <c r="B45" s="4691"/>
      <c r="C45" s="2247" t="s">
        <v>2362</v>
      </c>
      <c r="D45" s="2248"/>
      <c r="E45" s="3056">
        <v>1.5</v>
      </c>
      <c r="F45" s="2246" t="s">
        <v>2363</v>
      </c>
      <c r="G45" s="2246"/>
    </row>
    <row r="46" spans="1:7" ht="19.5" customHeight="1">
      <c r="A46" s="4689"/>
      <c r="B46" s="2255" t="s">
        <v>2514</v>
      </c>
      <c r="C46" s="2247" t="s">
        <v>2515</v>
      </c>
      <c r="D46" s="2248"/>
      <c r="E46" s="3056">
        <v>2</v>
      </c>
      <c r="F46" s="2246" t="s">
        <v>2364</v>
      </c>
      <c r="G46" s="2246"/>
    </row>
    <row r="47" spans="1:7" ht="19.5" customHeight="1">
      <c r="A47" s="4689"/>
      <c r="B47" s="4686" t="s">
        <v>2516</v>
      </c>
      <c r="C47" s="2247" t="s">
        <v>2365</v>
      </c>
      <c r="D47" s="2248"/>
      <c r="E47" s="3056">
        <v>1</v>
      </c>
      <c r="F47" s="2246" t="s">
        <v>2366</v>
      </c>
      <c r="G47" s="2246"/>
    </row>
    <row r="48" spans="1:7" ht="19.5" customHeight="1">
      <c r="A48" s="4689"/>
      <c r="B48" s="4685"/>
      <c r="C48" s="2247" t="s">
        <v>2367</v>
      </c>
      <c r="D48" s="2248"/>
      <c r="E48" s="3056">
        <v>1</v>
      </c>
      <c r="F48" s="2246" t="s">
        <v>2368</v>
      </c>
      <c r="G48" s="2246"/>
    </row>
    <row r="49" spans="1:7" ht="19.5" customHeight="1">
      <c r="A49" s="4689"/>
      <c r="B49" s="4685"/>
      <c r="C49" s="2247" t="s">
        <v>2369</v>
      </c>
      <c r="D49" s="2248"/>
      <c r="E49" s="3056">
        <v>1</v>
      </c>
      <c r="F49" s="2246" t="s">
        <v>2370</v>
      </c>
      <c r="G49" s="2246"/>
    </row>
    <row r="50" spans="1:7" ht="19.5" customHeight="1">
      <c r="A50" s="4689"/>
      <c r="B50" s="4685"/>
      <c r="C50" s="2247" t="s">
        <v>2371</v>
      </c>
      <c r="D50" s="2248"/>
      <c r="E50" s="3056">
        <v>1</v>
      </c>
      <c r="F50" s="2246" t="s">
        <v>2372</v>
      </c>
      <c r="G50" s="2246"/>
    </row>
    <row r="51" spans="1:7" ht="19.5" customHeight="1">
      <c r="A51" s="4689"/>
      <c r="B51" s="4685"/>
      <c r="C51" s="2247" t="s">
        <v>2373</v>
      </c>
      <c r="D51" s="2248"/>
      <c r="E51" s="3056">
        <v>1</v>
      </c>
      <c r="F51" s="2246" t="s">
        <v>2374</v>
      </c>
      <c r="G51" s="2246"/>
    </row>
    <row r="52" spans="1:7" ht="19.5" customHeight="1">
      <c r="A52" s="4689"/>
      <c r="B52" s="4685"/>
      <c r="C52" s="2247" t="s">
        <v>2375</v>
      </c>
      <c r="D52" s="2248"/>
      <c r="E52" s="3056">
        <v>1</v>
      </c>
      <c r="F52" s="2246" t="s">
        <v>2376</v>
      </c>
      <c r="G52" s="2246"/>
    </row>
    <row r="53" spans="1:7" ht="19.5" customHeight="1" thickBot="1">
      <c r="A53" s="4690"/>
      <c r="B53" s="4687"/>
      <c r="C53" s="2249" t="s">
        <v>2377</v>
      </c>
      <c r="D53" s="2250"/>
      <c r="E53" s="3057">
        <v>1</v>
      </c>
      <c r="F53" s="2246" t="s">
        <v>2378</v>
      </c>
      <c r="G53" s="2246"/>
    </row>
    <row r="54" spans="1:7" ht="19.5" customHeight="1">
      <c r="A54" s="2256"/>
      <c r="B54" s="2256"/>
      <c r="C54" s="2256"/>
      <c r="D54" s="2256"/>
      <c r="E54" s="2256"/>
      <c r="F54" s="2256"/>
      <c r="G54" s="2256"/>
    </row>
    <row r="56" spans="1:7" ht="19.5" customHeight="1">
      <c r="A56" s="2257"/>
      <c r="B56" s="2235" t="s">
        <v>2517</v>
      </c>
      <c r="C56" s="2235" t="s">
        <v>2517</v>
      </c>
      <c r="D56" s="2235" t="s">
        <v>2517</v>
      </c>
      <c r="E56" s="2237" t="s">
        <v>2517</v>
      </c>
      <c r="F56" s="2237" t="s">
        <v>2518</v>
      </c>
      <c r="G56" s="2237" t="s">
        <v>2519</v>
      </c>
    </row>
    <row r="57" spans="1:7" ht="19.5" customHeight="1">
      <c r="A57" s="2258"/>
      <c r="B57" s="2237" t="s">
        <v>2486</v>
      </c>
      <c r="C57" s="2237" t="s">
        <v>2486</v>
      </c>
      <c r="D57" s="2237" t="s">
        <v>2486</v>
      </c>
      <c r="E57" s="2235" t="s">
        <v>2487</v>
      </c>
      <c r="F57" s="2235" t="s">
        <v>2489</v>
      </c>
      <c r="G57" s="2235" t="s">
        <v>2520</v>
      </c>
    </row>
    <row r="58" spans="1:7" ht="19.5" customHeight="1">
      <c r="A58" s="2259"/>
      <c r="B58" s="3050">
        <v>1</v>
      </c>
      <c r="C58" s="3050">
        <v>2</v>
      </c>
      <c r="D58" s="3050">
        <v>3</v>
      </c>
      <c r="E58" s="2260" t="s">
        <v>2521</v>
      </c>
      <c r="F58" s="2260" t="s">
        <v>2521</v>
      </c>
      <c r="G58" s="2260" t="s">
        <v>2521</v>
      </c>
    </row>
    <row r="59" spans="1:7" ht="19.5" customHeight="1">
      <c r="A59" s="2261" t="s">
        <v>2474</v>
      </c>
      <c r="B59" s="3047">
        <v>0.7</v>
      </c>
      <c r="C59" s="3047">
        <v>0.4</v>
      </c>
      <c r="D59" s="3047">
        <v>0.3</v>
      </c>
      <c r="E59" s="3060">
        <v>0.3</v>
      </c>
      <c r="F59" s="3047">
        <v>0.3</v>
      </c>
      <c r="G59" s="3047">
        <v>0.2</v>
      </c>
    </row>
    <row r="60" spans="1:7" ht="19.5" customHeight="1">
      <c r="A60" s="2261" t="s">
        <v>2475</v>
      </c>
      <c r="B60" s="3047">
        <v>0.7</v>
      </c>
      <c r="C60" s="3047">
        <v>0.4</v>
      </c>
      <c r="D60" s="3047">
        <v>0.3</v>
      </c>
      <c r="E60" s="3047">
        <v>0.3</v>
      </c>
      <c r="F60" s="3047">
        <v>0.3</v>
      </c>
      <c r="G60" s="3047">
        <v>0.2</v>
      </c>
    </row>
    <row r="61" spans="1:7" ht="19.5" customHeight="1">
      <c r="A61" s="2261" t="s">
        <v>2476</v>
      </c>
      <c r="B61" s="3047">
        <v>0.6</v>
      </c>
      <c r="C61" s="3047">
        <v>0.3</v>
      </c>
      <c r="D61" s="3047">
        <v>0.25</v>
      </c>
      <c r="E61" s="3047">
        <v>0.25</v>
      </c>
      <c r="F61" s="3047">
        <v>0.25</v>
      </c>
      <c r="G61" s="3047">
        <v>0.15</v>
      </c>
    </row>
    <row r="62" spans="1:7" ht="19.5" customHeight="1">
      <c r="A62" s="2261" t="s">
        <v>2477</v>
      </c>
      <c r="B62" s="3047">
        <v>0.6</v>
      </c>
      <c r="C62" s="3047">
        <v>0.3</v>
      </c>
      <c r="D62" s="3047">
        <v>0.25</v>
      </c>
      <c r="E62" s="3047">
        <v>0.25</v>
      </c>
      <c r="F62" s="3047">
        <v>0.25</v>
      </c>
      <c r="G62" s="3047">
        <v>0.15</v>
      </c>
    </row>
    <row r="63" spans="1:7" ht="19.5" customHeight="1">
      <c r="A63" s="2261" t="s">
        <v>2478</v>
      </c>
      <c r="B63" s="3047">
        <v>0.6</v>
      </c>
      <c r="C63" s="3047">
        <v>0.3</v>
      </c>
      <c r="D63" s="3047">
        <v>0.25</v>
      </c>
      <c r="E63" s="3047">
        <v>0.25</v>
      </c>
      <c r="F63" s="3047">
        <v>0.25</v>
      </c>
      <c r="G63" s="3047">
        <v>0.15</v>
      </c>
    </row>
    <row r="64" spans="1:7" ht="19.5" customHeight="1">
      <c r="A64" s="2261" t="s">
        <v>2479</v>
      </c>
      <c r="B64" s="3047">
        <v>0.6</v>
      </c>
      <c r="C64" s="3047">
        <v>0.3</v>
      </c>
      <c r="D64" s="3047">
        <v>0.25</v>
      </c>
      <c r="E64" s="3047">
        <v>0.25</v>
      </c>
      <c r="F64" s="3047">
        <v>0.25</v>
      </c>
      <c r="G64" s="3047">
        <v>0.15</v>
      </c>
    </row>
    <row r="65" spans="1:7" ht="19.5" customHeight="1">
      <c r="A65" s="2261" t="s">
        <v>2480</v>
      </c>
      <c r="B65" s="3047">
        <v>0.6</v>
      </c>
      <c r="C65" s="3047">
        <v>0.3</v>
      </c>
      <c r="D65" s="3047">
        <v>0.25</v>
      </c>
      <c r="E65" s="3047">
        <v>0.25</v>
      </c>
      <c r="F65" s="3047">
        <v>0.25</v>
      </c>
      <c r="G65" s="3047">
        <v>0.15</v>
      </c>
    </row>
    <row r="66" spans="1:7" ht="19.5" customHeight="1">
      <c r="A66" s="2261" t="s">
        <v>2481</v>
      </c>
      <c r="B66" s="3047">
        <v>0.5</v>
      </c>
      <c r="C66" s="3047">
        <v>0.2</v>
      </c>
      <c r="D66" s="3047">
        <v>0.2</v>
      </c>
      <c r="E66" s="3047">
        <v>0.2</v>
      </c>
      <c r="F66" s="3047">
        <v>0.2</v>
      </c>
      <c r="G66" s="3047">
        <v>0.1</v>
      </c>
    </row>
    <row r="67" spans="1:7" ht="19.5" customHeight="1">
      <c r="A67" s="2261" t="s">
        <v>2482</v>
      </c>
      <c r="B67" s="3047">
        <v>0.5</v>
      </c>
      <c r="C67" s="3047">
        <v>0.2</v>
      </c>
      <c r="D67" s="3047">
        <v>0.2</v>
      </c>
      <c r="E67" s="3047">
        <v>0.2</v>
      </c>
      <c r="F67" s="3047">
        <v>0.2</v>
      </c>
      <c r="G67" s="3047">
        <v>0.1</v>
      </c>
    </row>
    <row r="68" spans="1:7" ht="19.5" customHeight="1">
      <c r="A68" s="2261" t="s">
        <v>2483</v>
      </c>
      <c r="B68" s="3047">
        <v>0.5</v>
      </c>
      <c r="C68" s="3047">
        <v>0.2</v>
      </c>
      <c r="D68" s="3047">
        <v>0.2</v>
      </c>
      <c r="E68" s="3047">
        <v>0.2</v>
      </c>
      <c r="F68" s="3047">
        <v>0.2</v>
      </c>
      <c r="G68" s="3047">
        <v>0.1</v>
      </c>
    </row>
    <row r="69" spans="1:7" ht="19.5" customHeight="1">
      <c r="A69" s="2261" t="s">
        <v>2484</v>
      </c>
      <c r="B69" s="3047">
        <v>0.5</v>
      </c>
      <c r="C69" s="3047">
        <v>0.2</v>
      </c>
      <c r="D69" s="3047">
        <v>0.2</v>
      </c>
      <c r="E69" s="3047">
        <v>0.2</v>
      </c>
      <c r="F69" s="3047">
        <v>0.2</v>
      </c>
      <c r="G69" s="3047">
        <v>0.1</v>
      </c>
    </row>
    <row r="70" spans="1:7" ht="19.5" customHeight="1">
      <c r="A70" s="2261" t="s">
        <v>2485</v>
      </c>
      <c r="B70" s="3047">
        <v>0.5</v>
      </c>
      <c r="C70" s="3047">
        <v>0.2</v>
      </c>
      <c r="D70" s="3047">
        <v>0.2</v>
      </c>
      <c r="E70" s="3047">
        <v>0.2</v>
      </c>
      <c r="F70" s="3047">
        <v>0.2</v>
      </c>
      <c r="G70" s="3047">
        <v>0.1</v>
      </c>
    </row>
    <row r="72" spans="1:7" ht="19.5" customHeight="1">
      <c r="A72" s="2246"/>
      <c r="B72" s="2262"/>
      <c r="C72" s="2262"/>
      <c r="D72" s="2262" t="s">
        <v>2522</v>
      </c>
      <c r="E72" s="2262"/>
      <c r="F72" s="2262"/>
    </row>
    <row r="73" spans="1:7" ht="19.5" customHeight="1">
      <c r="A73" s="2255" t="s">
        <v>2523</v>
      </c>
      <c r="B73" s="2255" t="s">
        <v>2524</v>
      </c>
      <c r="C73" s="2255" t="s">
        <v>2525</v>
      </c>
      <c r="D73" s="2255" t="s">
        <v>2526</v>
      </c>
      <c r="E73" s="2255" t="s">
        <v>2527</v>
      </c>
      <c r="F73" s="2255" t="s">
        <v>2528</v>
      </c>
    </row>
    <row r="74" spans="1:7" ht="13.5">
      <c r="A74" s="2255"/>
      <c r="B74" s="2255"/>
      <c r="C74" s="2255" t="s">
        <v>2529</v>
      </c>
      <c r="D74" s="2255"/>
      <c r="E74" s="2255" t="s">
        <v>2500</v>
      </c>
      <c r="F74" s="2255" t="s">
        <v>2500</v>
      </c>
    </row>
    <row r="75" spans="1:7" ht="13.5">
      <c r="A75" s="2255">
        <v>1</v>
      </c>
      <c r="B75" s="4686" t="s">
        <v>2530</v>
      </c>
      <c r="C75" s="2235" t="s">
        <v>2531</v>
      </c>
      <c r="D75" s="2235" t="s">
        <v>2532</v>
      </c>
      <c r="E75" s="3061">
        <v>0.2</v>
      </c>
      <c r="F75" s="3062">
        <v>25</v>
      </c>
    </row>
    <row r="76" spans="1:7" ht="24">
      <c r="A76" s="2255">
        <v>2</v>
      </c>
      <c r="B76" s="4685"/>
      <c r="C76" s="2235" t="s">
        <v>2533</v>
      </c>
      <c r="D76" s="2235" t="s">
        <v>2534</v>
      </c>
      <c r="E76" s="3061">
        <v>0.2</v>
      </c>
      <c r="F76" s="3062">
        <v>25</v>
      </c>
    </row>
    <row r="77" spans="1:7" ht="24">
      <c r="A77" s="2255">
        <v>3</v>
      </c>
      <c r="B77" s="4685"/>
      <c r="C77" s="2235" t="s">
        <v>2535</v>
      </c>
      <c r="D77" s="2235" t="s">
        <v>2536</v>
      </c>
      <c r="E77" s="3061">
        <v>0.2</v>
      </c>
      <c r="F77" s="3062">
        <v>25</v>
      </c>
    </row>
    <row r="78" spans="1:7" ht="13.5">
      <c r="A78" s="2255">
        <v>4</v>
      </c>
      <c r="B78" s="4685"/>
      <c r="C78" s="2235" t="s">
        <v>2537</v>
      </c>
      <c r="D78" s="2235" t="s">
        <v>2538</v>
      </c>
      <c r="E78" s="3061">
        <v>0.15</v>
      </c>
      <c r="F78" s="3062">
        <v>20</v>
      </c>
    </row>
    <row r="79" spans="1:7" ht="24">
      <c r="A79" s="2255">
        <v>5</v>
      </c>
      <c r="B79" s="4685"/>
      <c r="C79" s="2235" t="s">
        <v>2539</v>
      </c>
      <c r="D79" s="2235" t="s">
        <v>2540</v>
      </c>
      <c r="E79" s="3061">
        <v>0.15</v>
      </c>
      <c r="F79" s="3062">
        <v>20</v>
      </c>
    </row>
    <row r="80" spans="1:7" ht="24">
      <c r="A80" s="2255">
        <v>6</v>
      </c>
      <c r="B80" s="4685"/>
      <c r="C80" s="2235" t="s">
        <v>2541</v>
      </c>
      <c r="D80" s="2235" t="s">
        <v>2542</v>
      </c>
      <c r="E80" s="3061">
        <v>0.15</v>
      </c>
      <c r="F80" s="3062">
        <v>20</v>
      </c>
    </row>
    <row r="81" spans="1:6" ht="24">
      <c r="A81" s="2255">
        <v>7</v>
      </c>
      <c r="B81" s="4685"/>
      <c r="C81" s="2235" t="s">
        <v>2543</v>
      </c>
      <c r="D81" s="2235" t="s">
        <v>2544</v>
      </c>
      <c r="E81" s="3061">
        <v>0.15</v>
      </c>
      <c r="F81" s="3062">
        <v>20</v>
      </c>
    </row>
    <row r="82" spans="1:6" ht="24">
      <c r="A82" s="2255">
        <v>8</v>
      </c>
      <c r="B82" s="4685"/>
      <c r="C82" s="2235" t="s">
        <v>2545</v>
      </c>
      <c r="D82" s="2235" t="s">
        <v>2546</v>
      </c>
      <c r="E82" s="3061">
        <v>0.1</v>
      </c>
      <c r="F82" s="3062">
        <v>15</v>
      </c>
    </row>
    <row r="83" spans="1:6" ht="24">
      <c r="A83" s="2255">
        <v>9</v>
      </c>
      <c r="B83" s="4685"/>
      <c r="C83" s="2235" t="s">
        <v>2547</v>
      </c>
      <c r="D83" s="2235" t="s">
        <v>2548</v>
      </c>
      <c r="E83" s="3061">
        <v>0.1</v>
      </c>
      <c r="F83" s="3062">
        <v>15</v>
      </c>
    </row>
    <row r="84" spans="1:6" ht="24">
      <c r="A84" s="2255">
        <v>10</v>
      </c>
      <c r="B84" s="4685"/>
      <c r="C84" s="2235" t="s">
        <v>2549</v>
      </c>
      <c r="D84" s="2235" t="s">
        <v>2550</v>
      </c>
      <c r="E84" s="3061">
        <v>0.1</v>
      </c>
      <c r="F84" s="3062">
        <v>15</v>
      </c>
    </row>
    <row r="85" spans="1:6" ht="24">
      <c r="A85" s="2255">
        <v>11</v>
      </c>
      <c r="B85" s="4685"/>
      <c r="C85" s="2235" t="s">
        <v>2551</v>
      </c>
      <c r="D85" s="2235" t="s">
        <v>2552</v>
      </c>
      <c r="E85" s="3061">
        <v>0.1</v>
      </c>
      <c r="F85" s="3062">
        <v>15</v>
      </c>
    </row>
    <row r="86" spans="1:6" ht="24">
      <c r="A86" s="2255">
        <v>12</v>
      </c>
      <c r="B86" s="4685"/>
      <c r="C86" s="2235" t="s">
        <v>2553</v>
      </c>
      <c r="D86" s="2235" t="s">
        <v>2554</v>
      </c>
      <c r="E86" s="3061">
        <v>0.1</v>
      </c>
      <c r="F86" s="3062">
        <v>15</v>
      </c>
    </row>
    <row r="87" spans="1:6" ht="13.5">
      <c r="A87" s="2255">
        <v>13</v>
      </c>
      <c r="B87" s="4685"/>
      <c r="C87" s="2235" t="s">
        <v>2555</v>
      </c>
      <c r="D87" s="2235" t="s">
        <v>2556</v>
      </c>
      <c r="E87" s="3061">
        <v>0.1</v>
      </c>
      <c r="F87" s="3062">
        <v>15</v>
      </c>
    </row>
    <row r="88" spans="1:6" ht="13.5">
      <c r="A88" s="2255">
        <v>14</v>
      </c>
      <c r="B88" s="4685"/>
      <c r="C88" s="2235" t="s">
        <v>2557</v>
      </c>
      <c r="D88" s="2235" t="s">
        <v>2558</v>
      </c>
      <c r="E88" s="3061">
        <v>0.1</v>
      </c>
      <c r="F88" s="3062">
        <v>15</v>
      </c>
    </row>
    <row r="89" spans="1:6" ht="13.5">
      <c r="A89" s="2255">
        <v>15</v>
      </c>
      <c r="B89" s="4685"/>
      <c r="C89" s="2235" t="s">
        <v>2559</v>
      </c>
      <c r="D89" s="2235" t="s">
        <v>2560</v>
      </c>
      <c r="E89" s="3061">
        <v>0.1</v>
      </c>
      <c r="F89" s="3062">
        <v>15</v>
      </c>
    </row>
    <row r="90" spans="1:6" ht="24">
      <c r="A90" s="2255">
        <v>16</v>
      </c>
      <c r="B90" s="4685"/>
      <c r="C90" s="2235" t="s">
        <v>2561</v>
      </c>
      <c r="D90" s="2235" t="s">
        <v>2562</v>
      </c>
      <c r="E90" s="3061">
        <v>0.1</v>
      </c>
      <c r="F90" s="3062">
        <v>15</v>
      </c>
    </row>
    <row r="91" spans="1:6" ht="24">
      <c r="A91" s="2255">
        <v>17</v>
      </c>
      <c r="B91" s="4691"/>
      <c r="C91" s="2235" t="s">
        <v>2563</v>
      </c>
      <c r="D91" s="2235" t="s">
        <v>2564</v>
      </c>
      <c r="E91" s="3061">
        <v>0.1</v>
      </c>
      <c r="F91" s="3062">
        <v>15</v>
      </c>
    </row>
    <row r="92" spans="1:6" ht="13.5">
      <c r="A92" s="2255">
        <v>18</v>
      </c>
      <c r="B92" s="4686" t="s">
        <v>2565</v>
      </c>
      <c r="C92" s="2235" t="s">
        <v>2566</v>
      </c>
      <c r="D92" s="2235" t="s">
        <v>2567</v>
      </c>
      <c r="E92" s="3061">
        <v>0.2</v>
      </c>
      <c r="F92" s="3062">
        <v>25</v>
      </c>
    </row>
    <row r="93" spans="1:6" ht="24">
      <c r="A93" s="2255">
        <v>19</v>
      </c>
      <c r="B93" s="4685"/>
      <c r="C93" s="2235" t="s">
        <v>2568</v>
      </c>
      <c r="D93" s="2235" t="s">
        <v>2569</v>
      </c>
      <c r="E93" s="3061">
        <v>0.2</v>
      </c>
      <c r="F93" s="3062">
        <v>25</v>
      </c>
    </row>
    <row r="94" spans="1:6" ht="13.5">
      <c r="A94" s="2255">
        <v>20</v>
      </c>
      <c r="B94" s="4685"/>
      <c r="C94" s="2235" t="s">
        <v>2570</v>
      </c>
      <c r="D94" s="2235" t="s">
        <v>2571</v>
      </c>
      <c r="E94" s="3061">
        <v>0.15</v>
      </c>
      <c r="F94" s="3062">
        <v>20</v>
      </c>
    </row>
    <row r="95" spans="1:6" ht="13.5">
      <c r="A95" s="2255">
        <v>21</v>
      </c>
      <c r="B95" s="4685"/>
      <c r="C95" s="2235" t="s">
        <v>2572</v>
      </c>
      <c r="D95" s="2235" t="s">
        <v>2573</v>
      </c>
      <c r="E95" s="3061">
        <v>0.15</v>
      </c>
      <c r="F95" s="3062">
        <v>20</v>
      </c>
    </row>
    <row r="96" spans="1:6" ht="13.5">
      <c r="A96" s="2255">
        <v>22</v>
      </c>
      <c r="B96" s="4685"/>
      <c r="C96" s="2235" t="s">
        <v>2574</v>
      </c>
      <c r="D96" s="2235" t="s">
        <v>2575</v>
      </c>
      <c r="E96" s="3061">
        <v>0.15</v>
      </c>
      <c r="F96" s="3062">
        <v>20</v>
      </c>
    </row>
    <row r="97" spans="1:6" ht="36">
      <c r="A97" s="2255">
        <v>23</v>
      </c>
      <c r="B97" s="4685"/>
      <c r="C97" s="2235" t="s">
        <v>2576</v>
      </c>
      <c r="D97" s="2235" t="s">
        <v>2577</v>
      </c>
      <c r="E97" s="3061">
        <v>0.15</v>
      </c>
      <c r="F97" s="3062">
        <v>20</v>
      </c>
    </row>
    <row r="98" spans="1:6" ht="13.5">
      <c r="A98" s="2255">
        <v>24</v>
      </c>
      <c r="B98" s="4685"/>
      <c r="C98" s="2235" t="s">
        <v>2578</v>
      </c>
      <c r="D98" s="2235" t="s">
        <v>2579</v>
      </c>
      <c r="E98" s="3061">
        <v>0.1</v>
      </c>
      <c r="F98" s="3062">
        <v>15</v>
      </c>
    </row>
    <row r="99" spans="1:6" ht="13.5">
      <c r="A99" s="2255">
        <v>25</v>
      </c>
      <c r="B99" s="4685"/>
      <c r="C99" s="2235" t="s">
        <v>2580</v>
      </c>
      <c r="D99" s="2235" t="s">
        <v>2581</v>
      </c>
      <c r="E99" s="3061">
        <v>0.1</v>
      </c>
      <c r="F99" s="3062">
        <v>15</v>
      </c>
    </row>
    <row r="100" spans="1:6" ht="24">
      <c r="A100" s="2255">
        <v>26</v>
      </c>
      <c r="B100" s="4685"/>
      <c r="C100" s="2235" t="s">
        <v>2582</v>
      </c>
      <c r="D100" s="2235" t="s">
        <v>2583</v>
      </c>
      <c r="E100" s="3061">
        <v>0.1</v>
      </c>
      <c r="F100" s="3062">
        <v>15</v>
      </c>
    </row>
    <row r="101" spans="1:6" ht="24">
      <c r="A101" s="2255">
        <v>27</v>
      </c>
      <c r="B101" s="4685"/>
      <c r="C101" s="2235" t="s">
        <v>2584</v>
      </c>
      <c r="D101" s="2235" t="s">
        <v>2585</v>
      </c>
      <c r="E101" s="3061">
        <v>0.1</v>
      </c>
      <c r="F101" s="3062">
        <v>15</v>
      </c>
    </row>
    <row r="102" spans="1:6" ht="13.5">
      <c r="A102" s="2255">
        <v>28</v>
      </c>
      <c r="B102" s="4685"/>
      <c r="C102" s="2235" t="s">
        <v>2586</v>
      </c>
      <c r="D102" s="2235" t="s">
        <v>2587</v>
      </c>
      <c r="E102" s="3061">
        <v>0.1</v>
      </c>
      <c r="F102" s="3062">
        <v>15</v>
      </c>
    </row>
    <row r="103" spans="1:6" ht="13.5">
      <c r="A103" s="2255">
        <v>29</v>
      </c>
      <c r="B103" s="4685"/>
      <c r="C103" s="2235" t="s">
        <v>2588</v>
      </c>
      <c r="D103" s="2235" t="s">
        <v>2589</v>
      </c>
      <c r="E103" s="3061">
        <v>0.1</v>
      </c>
      <c r="F103" s="3062">
        <v>15</v>
      </c>
    </row>
    <row r="104" spans="1:6" ht="13.5">
      <c r="A104" s="2255">
        <v>30</v>
      </c>
      <c r="B104" s="4685"/>
      <c r="C104" s="2235" t="s">
        <v>2590</v>
      </c>
      <c r="D104" s="2235" t="s">
        <v>2591</v>
      </c>
      <c r="E104" s="3061">
        <v>0.1</v>
      </c>
      <c r="F104" s="3062">
        <v>15</v>
      </c>
    </row>
    <row r="105" spans="1:6" ht="24">
      <c r="A105" s="2255">
        <v>31</v>
      </c>
      <c r="B105" s="4685"/>
      <c r="C105" s="2235" t="s">
        <v>2592</v>
      </c>
      <c r="D105" s="2235" t="s">
        <v>2593</v>
      </c>
      <c r="E105" s="3061">
        <v>0.1</v>
      </c>
      <c r="F105" s="3062">
        <v>15</v>
      </c>
    </row>
    <row r="106" spans="1:6" ht="24">
      <c r="A106" s="2255">
        <v>32</v>
      </c>
      <c r="B106" s="4685"/>
      <c r="C106" s="2235" t="s">
        <v>2594</v>
      </c>
      <c r="D106" s="2235" t="s">
        <v>2595</v>
      </c>
      <c r="E106" s="3061">
        <v>0.1</v>
      </c>
      <c r="F106" s="3062">
        <v>15</v>
      </c>
    </row>
    <row r="107" spans="1:6" ht="24">
      <c r="A107" s="2255">
        <v>33</v>
      </c>
      <c r="B107" s="4685"/>
      <c r="C107" s="2235" t="s">
        <v>2596</v>
      </c>
      <c r="D107" s="2235" t="s">
        <v>2597</v>
      </c>
      <c r="E107" s="3061">
        <v>0.1</v>
      </c>
      <c r="F107" s="3062">
        <v>15</v>
      </c>
    </row>
    <row r="108" spans="1:6" ht="24">
      <c r="A108" s="2255">
        <v>34</v>
      </c>
      <c r="B108" s="4691"/>
      <c r="C108" s="2235" t="s">
        <v>2598</v>
      </c>
      <c r="D108" s="2235" t="s">
        <v>2599</v>
      </c>
      <c r="E108" s="3061">
        <v>0.1</v>
      </c>
      <c r="F108" s="3062">
        <v>15</v>
      </c>
    </row>
    <row r="109" spans="1:6" ht="24">
      <c r="A109" s="2255">
        <v>35</v>
      </c>
      <c r="B109" s="4686" t="s">
        <v>2600</v>
      </c>
      <c r="C109" s="2255" t="s">
        <v>2601</v>
      </c>
      <c r="D109" s="2235" t="s">
        <v>2602</v>
      </c>
      <c r="E109" s="3061">
        <v>0.15</v>
      </c>
      <c r="F109" s="3062">
        <v>20</v>
      </c>
    </row>
    <row r="110" spans="1:6" ht="13.5">
      <c r="A110" s="2255">
        <v>36</v>
      </c>
      <c r="B110" s="4685"/>
      <c r="C110" s="2255" t="s">
        <v>2603</v>
      </c>
      <c r="D110" s="2235" t="s">
        <v>2604</v>
      </c>
      <c r="E110" s="3061">
        <v>0.15</v>
      </c>
      <c r="F110" s="3062">
        <v>20</v>
      </c>
    </row>
    <row r="111" spans="1:6" ht="13.5">
      <c r="A111" s="2255">
        <v>37</v>
      </c>
      <c r="B111" s="4685"/>
      <c r="C111" s="2255" t="s">
        <v>2605</v>
      </c>
      <c r="D111" s="2235" t="s">
        <v>2606</v>
      </c>
      <c r="E111" s="3061">
        <v>0.15</v>
      </c>
      <c r="F111" s="3062">
        <v>20</v>
      </c>
    </row>
    <row r="112" spans="1:6" ht="13.5">
      <c r="A112" s="2255">
        <v>38</v>
      </c>
      <c r="B112" s="4685"/>
      <c r="C112" s="2255" t="s">
        <v>2607</v>
      </c>
      <c r="D112" s="2235" t="s">
        <v>2608</v>
      </c>
      <c r="E112" s="3061">
        <v>0.1</v>
      </c>
      <c r="F112" s="3062">
        <v>15</v>
      </c>
    </row>
    <row r="113" spans="1:6" ht="24">
      <c r="A113" s="2255">
        <v>39</v>
      </c>
      <c r="B113" s="4685"/>
      <c r="C113" s="2255" t="s">
        <v>2609</v>
      </c>
      <c r="D113" s="2235" t="s">
        <v>2610</v>
      </c>
      <c r="E113" s="3061">
        <v>0.1</v>
      </c>
      <c r="F113" s="3062">
        <v>15</v>
      </c>
    </row>
    <row r="114" spans="1:6" ht="24">
      <c r="A114" s="2255">
        <v>40</v>
      </c>
      <c r="B114" s="4691"/>
      <c r="C114" s="2255" t="s">
        <v>2611</v>
      </c>
      <c r="D114" s="2235" t="s">
        <v>2612</v>
      </c>
      <c r="E114" s="3061">
        <v>0.1</v>
      </c>
      <c r="F114" s="3062">
        <v>15</v>
      </c>
    </row>
    <row r="115" spans="1:6" ht="13.5">
      <c r="A115" s="2255">
        <v>41</v>
      </c>
      <c r="B115" s="4679" t="s">
        <v>2613</v>
      </c>
      <c r="C115" s="2255" t="s">
        <v>2614</v>
      </c>
      <c r="D115" s="2235" t="s">
        <v>2615</v>
      </c>
      <c r="E115" s="3061">
        <v>0.1</v>
      </c>
      <c r="F115" s="3062">
        <v>15</v>
      </c>
    </row>
    <row r="116" spans="1:6" ht="13.5">
      <c r="A116" s="2255">
        <v>42</v>
      </c>
      <c r="B116" s="4679"/>
      <c r="C116" s="2255" t="s">
        <v>2616</v>
      </c>
      <c r="D116" s="2235" t="s">
        <v>2617</v>
      </c>
      <c r="E116" s="3061">
        <v>0.1</v>
      </c>
      <c r="F116" s="3062">
        <v>15</v>
      </c>
    </row>
    <row r="117" spans="1:6" ht="24">
      <c r="A117" s="2255">
        <v>43</v>
      </c>
      <c r="B117" s="4679"/>
      <c r="C117" s="2255" t="s">
        <v>2618</v>
      </c>
      <c r="D117" s="2235" t="s">
        <v>2619</v>
      </c>
      <c r="E117" s="3061">
        <v>0.1</v>
      </c>
      <c r="F117" s="3062">
        <v>15</v>
      </c>
    </row>
    <row r="118" spans="1:6" ht="13.5">
      <c r="A118" s="2255">
        <v>44</v>
      </c>
      <c r="B118" s="4686" t="s">
        <v>2620</v>
      </c>
      <c r="C118" s="2255" t="s">
        <v>2621</v>
      </c>
      <c r="D118" s="2235" t="s">
        <v>2622</v>
      </c>
      <c r="E118" s="3061">
        <v>0.1</v>
      </c>
      <c r="F118" s="3062">
        <v>15</v>
      </c>
    </row>
    <row r="119" spans="1:6" ht="24">
      <c r="A119" s="2255">
        <v>45</v>
      </c>
      <c r="B119" s="4691"/>
      <c r="C119" s="2235" t="s">
        <v>2623</v>
      </c>
      <c r="D119" s="2235" t="s">
        <v>2624</v>
      </c>
      <c r="E119" s="3061">
        <v>0.1</v>
      </c>
      <c r="F119" s="3062">
        <v>15</v>
      </c>
    </row>
    <row r="120" spans="1:6" ht="24">
      <c r="A120" s="2255">
        <v>46</v>
      </c>
      <c r="B120" s="4686" t="s">
        <v>2625</v>
      </c>
      <c r="C120" s="2255" t="s">
        <v>2626</v>
      </c>
      <c r="D120" s="2235" t="s">
        <v>2627</v>
      </c>
      <c r="E120" s="3061">
        <v>0.1</v>
      </c>
      <c r="F120" s="3062">
        <v>15</v>
      </c>
    </row>
    <row r="121" spans="1:6" ht="24">
      <c r="A121" s="2255">
        <v>47</v>
      </c>
      <c r="B121" s="4691"/>
      <c r="C121" s="2255" t="s">
        <v>2628</v>
      </c>
      <c r="D121" s="2235" t="s">
        <v>2629</v>
      </c>
      <c r="E121" s="3061">
        <v>0.1</v>
      </c>
      <c r="F121" s="3062">
        <v>15</v>
      </c>
    </row>
    <row r="122" spans="1:6" ht="13.5">
      <c r="A122" s="2255">
        <v>48</v>
      </c>
      <c r="B122" s="4686" t="s">
        <v>2630</v>
      </c>
      <c r="C122" s="2255" t="s">
        <v>2631</v>
      </c>
      <c r="D122" s="2235" t="s">
        <v>2632</v>
      </c>
      <c r="E122" s="3061">
        <v>0.1</v>
      </c>
      <c r="F122" s="3062">
        <v>15</v>
      </c>
    </row>
    <row r="123" spans="1:6" ht="13.5">
      <c r="A123" s="2255">
        <v>49</v>
      </c>
      <c r="B123" s="4691"/>
      <c r="C123" s="2255" t="s">
        <v>2633</v>
      </c>
      <c r="D123" s="2235" t="s">
        <v>2634</v>
      </c>
      <c r="E123" s="3061">
        <v>0.1</v>
      </c>
      <c r="F123" s="3062">
        <v>15</v>
      </c>
    </row>
    <row r="124" spans="1:6" ht="24">
      <c r="A124" s="2255">
        <v>50</v>
      </c>
      <c r="B124" s="4679" t="s">
        <v>2635</v>
      </c>
      <c r="C124" s="2255" t="s">
        <v>2636</v>
      </c>
      <c r="D124" s="2235" t="s">
        <v>2637</v>
      </c>
      <c r="E124" s="3061">
        <v>0.1</v>
      </c>
      <c r="F124" s="3062">
        <v>15</v>
      </c>
    </row>
    <row r="125" spans="1:6" ht="24">
      <c r="A125" s="2255">
        <v>51</v>
      </c>
      <c r="B125" s="4679"/>
      <c r="C125" s="2255" t="s">
        <v>2638</v>
      </c>
      <c r="D125" s="2235" t="s">
        <v>2639</v>
      </c>
      <c r="E125" s="3061">
        <v>0.1</v>
      </c>
      <c r="F125" s="3062">
        <v>15</v>
      </c>
    </row>
    <row r="126" spans="1:6" ht="24">
      <c r="A126" s="2255">
        <v>52</v>
      </c>
      <c r="B126" s="4679" t="s">
        <v>2640</v>
      </c>
      <c r="C126" s="2255" t="s">
        <v>2641</v>
      </c>
      <c r="D126" s="2235" t="s">
        <v>2642</v>
      </c>
      <c r="E126" s="3061">
        <v>0.1</v>
      </c>
      <c r="F126" s="3062">
        <v>15</v>
      </c>
    </row>
    <row r="127" spans="1:6" ht="24">
      <c r="A127" s="2255">
        <v>53</v>
      </c>
      <c r="B127" s="4679"/>
      <c r="C127" s="2255" t="s">
        <v>2643</v>
      </c>
      <c r="D127" s="2235" t="s">
        <v>2644</v>
      </c>
      <c r="E127" s="3061">
        <v>0.1</v>
      </c>
      <c r="F127" s="3062">
        <v>15</v>
      </c>
    </row>
    <row r="128" spans="1:6" ht="13.5">
      <c r="A128" s="2255">
        <v>54</v>
      </c>
      <c r="B128" s="2255" t="s">
        <v>2645</v>
      </c>
      <c r="C128" s="2255" t="s">
        <v>2646</v>
      </c>
      <c r="D128" s="2235" t="s">
        <v>2647</v>
      </c>
      <c r="E128" s="3061">
        <v>0.1</v>
      </c>
      <c r="F128" s="3062">
        <v>15</v>
      </c>
    </row>
    <row r="129" spans="1:6" ht="13.5">
      <c r="A129" s="2255">
        <v>55</v>
      </c>
      <c r="B129" s="4679" t="s">
        <v>2648</v>
      </c>
      <c r="C129" s="2255" t="s">
        <v>2649</v>
      </c>
      <c r="D129" s="2235" t="s">
        <v>2650</v>
      </c>
      <c r="E129" s="3061">
        <v>0.1</v>
      </c>
      <c r="F129" s="3062">
        <v>15</v>
      </c>
    </row>
    <row r="130" spans="1:6" ht="13.5">
      <c r="A130" s="2255">
        <v>56</v>
      </c>
      <c r="B130" s="4679"/>
      <c r="C130" s="2255" t="s">
        <v>2651</v>
      </c>
      <c r="D130" s="2235" t="s">
        <v>2652</v>
      </c>
      <c r="E130" s="3061">
        <v>0.1</v>
      </c>
      <c r="F130" s="3062">
        <v>15</v>
      </c>
    </row>
    <row r="131" spans="1:6" ht="24">
      <c r="A131" s="2255">
        <v>57</v>
      </c>
      <c r="B131" s="4679"/>
      <c r="C131" s="2255" t="s">
        <v>2653</v>
      </c>
      <c r="D131" s="2235" t="s">
        <v>2654</v>
      </c>
      <c r="E131" s="3061">
        <v>0.1</v>
      </c>
      <c r="F131" s="3062">
        <v>15</v>
      </c>
    </row>
    <row r="132" spans="1:6" ht="24">
      <c r="A132" s="2255">
        <v>58</v>
      </c>
      <c r="B132" s="4679" t="s">
        <v>2655</v>
      </c>
      <c r="C132" s="2255" t="s">
        <v>2656</v>
      </c>
      <c r="D132" s="2235" t="s">
        <v>2657</v>
      </c>
      <c r="E132" s="3061">
        <v>0.1</v>
      </c>
      <c r="F132" s="3062">
        <v>15</v>
      </c>
    </row>
    <row r="133" spans="1:6" ht="13.5">
      <c r="A133" s="2255">
        <v>59</v>
      </c>
      <c r="B133" s="4679"/>
      <c r="C133" s="2255" t="s">
        <v>2658</v>
      </c>
      <c r="D133" s="2235" t="s">
        <v>2659</v>
      </c>
      <c r="E133" s="3061">
        <v>0.1</v>
      </c>
      <c r="F133" s="3062">
        <v>15</v>
      </c>
    </row>
    <row r="134" spans="1:6" ht="13.5">
      <c r="A134" s="2255">
        <v>60</v>
      </c>
      <c r="B134" s="4686" t="s">
        <v>2660</v>
      </c>
      <c r="C134" s="2255" t="s">
        <v>2661</v>
      </c>
      <c r="D134" s="2235" t="s">
        <v>2662</v>
      </c>
      <c r="E134" s="3061">
        <v>0.1</v>
      </c>
      <c r="F134" s="3062">
        <v>15</v>
      </c>
    </row>
    <row r="135" spans="1:6" ht="13.5">
      <c r="A135" s="2255">
        <v>61</v>
      </c>
      <c r="B135" s="4691"/>
      <c r="C135" s="2255" t="s">
        <v>2663</v>
      </c>
      <c r="D135" s="2235" t="s">
        <v>2664</v>
      </c>
      <c r="E135" s="3061">
        <v>0.1</v>
      </c>
      <c r="F135" s="3062">
        <v>15</v>
      </c>
    </row>
    <row r="136" spans="1:6" ht="24">
      <c r="A136" s="2255">
        <v>62</v>
      </c>
      <c r="B136" s="2255" t="s">
        <v>2665</v>
      </c>
      <c r="C136" s="2255" t="s">
        <v>2666</v>
      </c>
      <c r="D136" s="2235" t="s">
        <v>2667</v>
      </c>
      <c r="E136" s="3061">
        <v>0.1</v>
      </c>
      <c r="F136" s="3062">
        <v>15</v>
      </c>
    </row>
    <row r="137" spans="1:6" ht="13.5">
      <c r="A137" s="2255">
        <v>63</v>
      </c>
      <c r="B137" s="4679" t="s">
        <v>2668</v>
      </c>
      <c r="C137" s="2255" t="s">
        <v>2669</v>
      </c>
      <c r="D137" s="2235" t="s">
        <v>2670</v>
      </c>
      <c r="E137" s="3061">
        <v>0.1</v>
      </c>
      <c r="F137" s="3062">
        <v>15</v>
      </c>
    </row>
    <row r="138" spans="1:6" ht="13.5">
      <c r="A138" s="2255">
        <v>64</v>
      </c>
      <c r="B138" s="4679"/>
      <c r="C138" s="2255" t="s">
        <v>2671</v>
      </c>
      <c r="D138" s="2235" t="s">
        <v>2672</v>
      </c>
      <c r="E138" s="3061">
        <v>0.1</v>
      </c>
      <c r="F138" s="3062">
        <v>15</v>
      </c>
    </row>
    <row r="139" spans="1:6" ht="13.5">
      <c r="A139" s="2255">
        <v>65</v>
      </c>
      <c r="B139" s="2255" t="s">
        <v>2673</v>
      </c>
      <c r="C139" s="2255" t="s">
        <v>2674</v>
      </c>
      <c r="D139" s="2235" t="s">
        <v>2675</v>
      </c>
      <c r="E139" s="3061">
        <v>0.1</v>
      </c>
      <c r="F139" s="3062">
        <v>15</v>
      </c>
    </row>
    <row r="140" spans="1:6" ht="13.5">
      <c r="A140" s="2255"/>
      <c r="B140" s="2255"/>
      <c r="C140" s="2255"/>
      <c r="D140" s="2255"/>
      <c r="E140" s="2255" t="s">
        <v>2676</v>
      </c>
      <c r="F140" s="2255" t="s">
        <v>2676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2677</v>
      </c>
      <c r="B1" s="2263"/>
      <c r="C1" s="2263"/>
      <c r="D1" s="2263"/>
      <c r="E1" s="2263"/>
      <c r="F1" s="2263"/>
      <c r="G1" s="2263"/>
      <c r="H1" s="2263"/>
      <c r="I1" s="2263"/>
      <c r="J1" s="2263"/>
      <c r="K1" s="2263"/>
      <c r="L1" s="2263"/>
      <c r="M1" s="2263"/>
      <c r="N1" s="507"/>
    </row>
    <row r="2" spans="1:20">
      <c r="A2" s="2264" t="s">
        <v>2678</v>
      </c>
      <c r="B2" s="2265" t="s">
        <v>2474</v>
      </c>
      <c r="C2" s="2265" t="s">
        <v>2475</v>
      </c>
      <c r="D2" s="2265" t="s">
        <v>2476</v>
      </c>
      <c r="E2" s="2265" t="s">
        <v>2477</v>
      </c>
      <c r="F2" s="2265" t="s">
        <v>2478</v>
      </c>
      <c r="G2" s="2265" t="s">
        <v>2479</v>
      </c>
      <c r="H2" s="2266" t="s">
        <v>2480</v>
      </c>
      <c r="I2" s="2266" t="s">
        <v>2481</v>
      </c>
      <c r="J2" s="2267" t="s">
        <v>2482</v>
      </c>
      <c r="K2" s="2267" t="s">
        <v>2483</v>
      </c>
      <c r="L2" s="2267" t="s">
        <v>2484</v>
      </c>
      <c r="M2" s="2268" t="s">
        <v>2485</v>
      </c>
      <c r="Q2" s="2278" t="s">
        <v>2683</v>
      </c>
      <c r="R2" s="2278" t="s">
        <v>2684</v>
      </c>
      <c r="S2" s="2278" t="s">
        <v>2685</v>
      </c>
      <c r="T2" s="2278" t="s">
        <v>2686</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2679</v>
      </c>
      <c r="B93" s="2263"/>
      <c r="C93" s="2263"/>
      <c r="D93" s="2263"/>
      <c r="E93" s="2263"/>
      <c r="F93" s="2263"/>
      <c r="G93" s="2263"/>
      <c r="H93" s="2263"/>
      <c r="I93" s="2263"/>
      <c r="J93" s="2263"/>
      <c r="K93" s="2263"/>
      <c r="L93" s="2263"/>
      <c r="M93" s="2263"/>
    </row>
    <row r="94" spans="1:20">
      <c r="A94" s="2264" t="s">
        <v>2678</v>
      </c>
      <c r="B94" s="2265" t="s">
        <v>2474</v>
      </c>
      <c r="C94" s="2265" t="s">
        <v>2475</v>
      </c>
      <c r="D94" s="2265" t="s">
        <v>2476</v>
      </c>
      <c r="E94" s="2265" t="s">
        <v>2477</v>
      </c>
      <c r="F94" s="2265" t="s">
        <v>2478</v>
      </c>
      <c r="G94" s="2265" t="s">
        <v>2479</v>
      </c>
      <c r="H94" s="2266" t="s">
        <v>2480</v>
      </c>
      <c r="I94" s="2266" t="s">
        <v>2481</v>
      </c>
      <c r="J94" s="2267" t="s">
        <v>2482</v>
      </c>
      <c r="K94" s="2267" t="s">
        <v>2483</v>
      </c>
      <c r="L94" s="2267" t="s">
        <v>2484</v>
      </c>
      <c r="M94" s="2268" t="s">
        <v>2485</v>
      </c>
      <c r="N94">
        <f>SUMPRODUCT((A95:A184=ROUNDDOWN(基准地价修正!G3,1))*(B94:M94=基准地价修正!G2)*(B95:M184))</f>
        <v>0.94220000000000004</v>
      </c>
      <c r="Q94" s="2278" t="s">
        <v>2683</v>
      </c>
      <c r="R94" s="2278" t="s">
        <v>2684</v>
      </c>
      <c r="S94" s="2278" t="s">
        <v>2685</v>
      </c>
      <c r="T94" s="2278" t="s">
        <v>2686</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2680</v>
      </c>
      <c r="B185" s="2263"/>
      <c r="C185" s="2263"/>
      <c r="D185" s="2263"/>
      <c r="E185" s="2263"/>
      <c r="F185" s="2263"/>
      <c r="G185" s="2263"/>
      <c r="H185" s="2263"/>
      <c r="I185" s="2263"/>
      <c r="J185" s="2263"/>
      <c r="K185" s="2263"/>
      <c r="L185" s="2263"/>
      <c r="M185" s="2263"/>
    </row>
    <row r="186" spans="1:20">
      <c r="A186" s="2264" t="s">
        <v>2678</v>
      </c>
      <c r="B186" s="2265" t="s">
        <v>2474</v>
      </c>
      <c r="C186" s="2265" t="s">
        <v>2475</v>
      </c>
      <c r="D186" s="2265" t="s">
        <v>2476</v>
      </c>
      <c r="E186" s="2265" t="s">
        <v>2477</v>
      </c>
      <c r="F186" s="2265" t="s">
        <v>2478</v>
      </c>
      <c r="G186" s="2265" t="s">
        <v>2479</v>
      </c>
      <c r="H186" s="2266" t="s">
        <v>2480</v>
      </c>
      <c r="I186" s="2266" t="s">
        <v>2481</v>
      </c>
      <c r="J186" s="2267" t="s">
        <v>2482</v>
      </c>
      <c r="K186" s="2267" t="s">
        <v>2483</v>
      </c>
      <c r="L186" s="2267" t="s">
        <v>2484</v>
      </c>
      <c r="M186" s="2268" t="s">
        <v>2485</v>
      </c>
      <c r="Q186" s="2278" t="s">
        <v>2683</v>
      </c>
      <c r="R186" s="2278" t="s">
        <v>2684</v>
      </c>
      <c r="S186" s="2278" t="s">
        <v>2685</v>
      </c>
      <c r="T186" s="2278" t="s">
        <v>2686</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2681</v>
      </c>
      <c r="B277" s="2263"/>
      <c r="C277" s="2263"/>
      <c r="D277" s="2263"/>
      <c r="E277" s="2263"/>
      <c r="F277" s="2263"/>
      <c r="G277" s="2263"/>
      <c r="H277" s="2263"/>
      <c r="I277" s="2263"/>
      <c r="J277" s="2263"/>
      <c r="K277" s="2263"/>
      <c r="L277" s="2263"/>
      <c r="M277" s="2263"/>
    </row>
    <row r="278" spans="1:21">
      <c r="A278" s="2264" t="s">
        <v>2678</v>
      </c>
      <c r="B278" s="2265" t="s">
        <v>2474</v>
      </c>
      <c r="C278" s="2265" t="s">
        <v>2475</v>
      </c>
      <c r="D278" s="2265" t="s">
        <v>2476</v>
      </c>
      <c r="E278" s="2265" t="s">
        <v>2477</v>
      </c>
      <c r="F278" s="2265" t="s">
        <v>2478</v>
      </c>
      <c r="G278" s="2265" t="s">
        <v>2479</v>
      </c>
      <c r="H278" s="2266" t="s">
        <v>2480</v>
      </c>
      <c r="I278" s="2266" t="s">
        <v>2481</v>
      </c>
      <c r="J278" s="2267" t="s">
        <v>2482</v>
      </c>
      <c r="K278" s="2267" t="s">
        <v>2483</v>
      </c>
      <c r="L278" s="2267" t="s">
        <v>2484</v>
      </c>
      <c r="M278" s="2268" t="s">
        <v>2485</v>
      </c>
      <c r="Q278" s="2278" t="s">
        <v>2683</v>
      </c>
      <c r="R278" s="2278" t="s">
        <v>2684</v>
      </c>
      <c r="S278" s="2278" t="s">
        <v>2687</v>
      </c>
      <c r="T278" s="2278" t="s">
        <v>2688</v>
      </c>
      <c r="U278" s="2278" t="s">
        <v>2686</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2682</v>
      </c>
      <c r="B369" s="2276"/>
      <c r="C369" s="2276"/>
      <c r="D369" s="2276"/>
      <c r="E369" s="2276"/>
      <c r="F369" s="2276"/>
      <c r="G369" s="2276"/>
      <c r="H369" s="2276"/>
      <c r="I369" s="2276"/>
      <c r="J369" s="2276"/>
      <c r="K369" s="2276"/>
      <c r="L369" s="2276"/>
      <c r="M369" s="2276"/>
    </row>
    <row r="370" spans="1:20">
      <c r="A370" s="2264" t="s">
        <v>2678</v>
      </c>
      <c r="B370" s="2265" t="s">
        <v>2474</v>
      </c>
      <c r="C370" s="2265" t="s">
        <v>2475</v>
      </c>
      <c r="D370" s="2265" t="s">
        <v>2476</v>
      </c>
      <c r="E370" s="2265" t="s">
        <v>2477</v>
      </c>
      <c r="F370" s="2265" t="s">
        <v>2478</v>
      </c>
      <c r="G370" s="2265" t="s">
        <v>2479</v>
      </c>
      <c r="H370" s="2266" t="s">
        <v>2480</v>
      </c>
      <c r="I370" s="2266" t="s">
        <v>2481</v>
      </c>
      <c r="J370" s="2267" t="s">
        <v>2482</v>
      </c>
      <c r="K370" s="2267" t="s">
        <v>2483</v>
      </c>
      <c r="L370" s="2267" t="s">
        <v>2484</v>
      </c>
      <c r="M370" s="2268" t="s">
        <v>2485</v>
      </c>
      <c r="N370">
        <f>SUMPRODUCT((A371:A460=ROUNDDOWN(基准地价修正!G3,1))*(B370:M370=基准地价修正!G2)*(B371:M460))</f>
        <v>0.89239999999999997</v>
      </c>
      <c r="Q370" s="2278" t="s">
        <v>2683</v>
      </c>
      <c r="R370" s="2278" t="s">
        <v>2684</v>
      </c>
      <c r="S370" s="2278" t="s">
        <v>2685</v>
      </c>
      <c r="T370" s="2278" t="s">
        <v>2686</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27293</v>
      </c>
      <c r="C2" s="2" t="s">
        <v>104</v>
      </c>
      <c r="D2" s="94"/>
      <c r="E2" s="94"/>
      <c r="F2" s="94"/>
      <c r="G2" s="94"/>
    </row>
    <row r="3" spans="1:7" s="95" customFormat="1" ht="18" customHeight="1" thickBot="1">
      <c r="A3" s="98" t="s">
        <v>56</v>
      </c>
      <c r="B3" s="99">
        <f ca="1">ROUND(B2*10000/'数据-汇总表'!E3,0)</f>
        <v>1966496</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3</v>
      </c>
      <c r="D10" s="538">
        <f>'数据-汇总表'!E6</f>
        <v>138.79</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v>
      </c>
      <c r="D19" s="107">
        <f>'数据-汇总表'!E3</f>
        <v>138.79</v>
      </c>
      <c r="E19" s="106">
        <f>'数据-取费表'!B31</f>
        <v>200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4205</v>
      </c>
      <c r="D27" s="130">
        <f>C29</f>
        <v>4.0000000000000001E-3</v>
      </c>
      <c r="E27" s="131" t="s">
        <v>97</v>
      </c>
      <c r="F27" s="141">
        <f>'数据-取费表'!Q16</f>
        <v>0.2</v>
      </c>
      <c r="G27" s="142" t="s">
        <v>425</v>
      </c>
    </row>
    <row r="28" spans="1:7" s="109" customFormat="1" ht="13.5" customHeight="1">
      <c r="A28" s="513" t="s">
        <v>347</v>
      </c>
      <c r="B28" s="143" t="s">
        <v>418</v>
      </c>
      <c r="C28" s="144">
        <f>ROUND((C5+C19+C20)*F27*'数据-取费表'!B21/'数据-取费表'!B20,0)</f>
        <v>4205</v>
      </c>
      <c r="D28" s="130"/>
      <c r="E28" s="131"/>
      <c r="F28" s="141"/>
      <c r="G28" s="142"/>
    </row>
    <row r="29" spans="1:7" s="109" customFormat="1" ht="13.5" customHeight="1">
      <c r="A29" s="513" t="s">
        <v>345</v>
      </c>
      <c r="B29" s="143" t="s">
        <v>419</v>
      </c>
      <c r="C29" s="133">
        <f>ROUND(C21*F27*'数据-取费表'!B21/'数据-取费表'!B20,4)</f>
        <v>4.0000000000000001E-3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27223</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66</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57</v>
      </c>
      <c r="D34" s="112"/>
      <c r="E34" s="115"/>
      <c r="F34" s="152">
        <f>IF('数据-取费表'!B24=0,1,'数据-取费表'!N16)</f>
        <v>1</v>
      </c>
      <c r="G34" s="114" t="s">
        <v>87</v>
      </c>
    </row>
    <row r="35" spans="1:7" ht="13.5" customHeight="1">
      <c r="A35" s="513" t="s">
        <v>349</v>
      </c>
      <c r="B35" s="110" t="s">
        <v>31</v>
      </c>
      <c r="C35" s="115">
        <f>ROUND(C34*F35,0)</f>
        <v>4</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4</v>
      </c>
      <c r="D37" s="112">
        <f>'数据-汇总表'!E3</f>
        <v>138.79</v>
      </c>
      <c r="E37" s="144">
        <f>'数据-取费表'!B35</f>
        <v>300</v>
      </c>
      <c r="F37" s="154"/>
      <c r="G37" s="156" t="s">
        <v>90</v>
      </c>
    </row>
    <row r="38" spans="1:7" ht="13.5" customHeight="1">
      <c r="A38" s="513" t="s">
        <v>352</v>
      </c>
      <c r="B38" s="110" t="s">
        <v>34</v>
      </c>
      <c r="C38" s="115">
        <f>ROUND(C34*F38,0)</f>
        <v>1</v>
      </c>
      <c r="D38" s="115"/>
      <c r="E38" s="115"/>
      <c r="F38" s="154">
        <f>'数据-取费表'!B36</f>
        <v>0.01</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83" t="s">
        <v>92</v>
      </c>
    </row>
    <row r="43" spans="1:7" ht="13.5" customHeight="1">
      <c r="A43" s="513" t="s">
        <v>345</v>
      </c>
      <c r="B43" s="110" t="s">
        <v>420</v>
      </c>
      <c r="C43" s="133">
        <f ca="1">ROUND(IF('数据-取费表'!B22&lt;=1,C39*F22*'数据-取费表'!B21/2,C39*(POWER((1+F22),'数据-取费表'!B21/2)-1)),0)</f>
        <v>0</v>
      </c>
      <c r="D43" s="133"/>
      <c r="E43" s="133"/>
      <c r="F43" s="134"/>
      <c r="G43" s="4485"/>
    </row>
    <row r="44" spans="1:7" ht="13.5" customHeight="1">
      <c r="A44" s="513" t="s">
        <v>346</v>
      </c>
      <c r="B44" s="110" t="s">
        <v>422</v>
      </c>
      <c r="C44" s="133">
        <f ca="1">ROUND(IF('数据-取费表'!B22&lt;=1,C40*F22*'数据-取费表'!B21/2,C40*(POWER((1+F22),'数据-取费表'!B21/2)-1)),4)</f>
        <v>5.9999999999999995E-4</v>
      </c>
      <c r="D44" s="133"/>
      <c r="E44" s="133"/>
      <c r="F44" s="134"/>
      <c r="G44" s="4484"/>
    </row>
    <row r="45" spans="1:7" s="109" customFormat="1" ht="13.5" customHeight="1">
      <c r="A45" s="510" t="s">
        <v>339</v>
      </c>
      <c r="B45" s="139" t="s">
        <v>83</v>
      </c>
      <c r="C45" s="140">
        <f>C46</f>
        <v>13</v>
      </c>
      <c r="D45" s="130">
        <f>C47</f>
        <v>4.0000000000000001E-3</v>
      </c>
      <c r="E45" s="131" t="s">
        <v>100</v>
      </c>
      <c r="F45" s="141"/>
      <c r="G45" s="142" t="s">
        <v>428</v>
      </c>
    </row>
    <row r="46" spans="1:7" s="109" customFormat="1" ht="13.5" customHeight="1">
      <c r="A46" s="513" t="s">
        <v>347</v>
      </c>
      <c r="B46" s="143" t="s">
        <v>421</v>
      </c>
      <c r="C46" s="144">
        <f>ROUND((C33+C39)*F27,0)</f>
        <v>13</v>
      </c>
      <c r="D46" s="158"/>
      <c r="E46" s="131"/>
      <c r="F46" s="141"/>
      <c r="G46" s="142"/>
    </row>
    <row r="47" spans="1:7" s="109" customFormat="1" ht="13.5" customHeight="1">
      <c r="A47" s="513" t="s">
        <v>345</v>
      </c>
      <c r="B47" s="143" t="s">
        <v>423</v>
      </c>
      <c r="C47" s="133">
        <f>ROUND(C40*F27,4)</f>
        <v>4.0000000000000001E-3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84</v>
      </c>
      <c r="D49" s="127"/>
      <c r="E49" s="127"/>
      <c r="F49" s="159"/>
      <c r="G49" s="129" t="s">
        <v>429</v>
      </c>
    </row>
    <row r="50" spans="1:7" s="153" customFormat="1" ht="24">
      <c r="A50" s="510" t="s">
        <v>342</v>
      </c>
      <c r="B50" s="105" t="s">
        <v>95</v>
      </c>
      <c r="C50" s="127"/>
      <c r="D50" s="127"/>
      <c r="E50" s="127"/>
      <c r="F50" s="159">
        <f>IF('数据-取费表'!B24=0,'数据-取费表'!N16,1)</f>
        <v>0.83</v>
      </c>
      <c r="G50" s="142" t="s">
        <v>96</v>
      </c>
    </row>
    <row r="51" spans="1:7" ht="16.5" customHeight="1">
      <c r="A51" s="510" t="s">
        <v>343</v>
      </c>
      <c r="B51" s="105" t="s">
        <v>103</v>
      </c>
      <c r="C51" s="127">
        <f ca="1">ROUND(C49*F50,0)</f>
        <v>70</v>
      </c>
      <c r="D51" s="127"/>
      <c r="E51" s="127"/>
      <c r="F51" s="159"/>
      <c r="G51" s="129" t="s">
        <v>35</v>
      </c>
    </row>
    <row r="52" spans="1:7" s="103" customFormat="1" ht="16.5" thickBot="1">
      <c r="A52" s="160" t="s">
        <v>36</v>
      </c>
      <c r="B52" s="161"/>
      <c r="C52" s="162">
        <f ca="1">C31+C51</f>
        <v>27293</v>
      </c>
      <c r="D52" s="161"/>
      <c r="E52" s="161"/>
      <c r="F52" s="161"/>
      <c r="G52" s="163"/>
    </row>
    <row r="55" spans="1:7" ht="15">
      <c r="B55" s="165" t="s">
        <v>37</v>
      </c>
      <c r="C55" s="166"/>
    </row>
    <row r="56" spans="1:7">
      <c r="B56" s="168" t="s">
        <v>38</v>
      </c>
      <c r="C56" s="169">
        <f ca="1">ROUND(C51/C52,3)</f>
        <v>3.0000000000000001E-3</v>
      </c>
    </row>
    <row r="57" spans="1:7">
      <c r="B57" s="168" t="s">
        <v>39</v>
      </c>
      <c r="C57" s="170">
        <f ca="1">1-C56</f>
        <v>0.997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92" t="s">
        <v>3060</v>
      </c>
      <c r="B1" s="4692"/>
    </row>
    <row r="2" spans="1:7" ht="14.25" thickBot="1">
      <c r="A2" s="2353"/>
      <c r="B2" s="2353"/>
    </row>
    <row r="3" spans="1:7" ht="14.25" thickBot="1">
      <c r="A3" s="2353"/>
      <c r="B3" s="2353"/>
      <c r="C3" s="2354" t="s">
        <v>2690</v>
      </c>
      <c r="D3" s="2354" t="s">
        <v>2746</v>
      </c>
      <c r="E3" s="2354" t="s">
        <v>2692</v>
      </c>
      <c r="F3" s="2354" t="s">
        <v>2747</v>
      </c>
      <c r="G3" s="2354" t="s">
        <v>2510</v>
      </c>
    </row>
    <row r="4" spans="1:7" ht="14.25" thickBot="1">
      <c r="A4" s="2355" t="s">
        <v>2745</v>
      </c>
      <c r="B4" s="2356" t="s">
        <v>2751</v>
      </c>
      <c r="C4" s="2354"/>
      <c r="D4" s="2354"/>
      <c r="E4" s="2354"/>
      <c r="F4" s="2354"/>
      <c r="G4" s="2354"/>
    </row>
    <row r="5" spans="1:7">
      <c r="A5" s="2357" t="s">
        <v>2719</v>
      </c>
      <c r="B5" s="2358" t="s">
        <v>2733</v>
      </c>
      <c r="C5" s="2359">
        <v>9.8000000000000004E-2</v>
      </c>
      <c r="D5" s="2359">
        <v>8.6999999999999994E-2</v>
      </c>
      <c r="E5" s="2359">
        <v>8.6999999999999994E-2</v>
      </c>
      <c r="F5" s="2359">
        <v>9.8000000000000004E-2</v>
      </c>
      <c r="G5" s="2360">
        <v>9.5000000000000001E-2</v>
      </c>
    </row>
    <row r="6" spans="1:7">
      <c r="A6" s="2361" t="s">
        <v>142</v>
      </c>
      <c r="B6" s="2362" t="s">
        <v>2748</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2734</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2784</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2802</v>
      </c>
      <c r="C29" s="2371"/>
      <c r="D29" s="2367">
        <v>5.1999999999999998E-2</v>
      </c>
      <c r="E29" s="2367">
        <v>7.0000000000000007E-2</v>
      </c>
      <c r="F29" s="2371"/>
      <c r="G29" s="2369">
        <v>7.0999999999999994E-2</v>
      </c>
    </row>
    <row r="30" spans="1:7">
      <c r="A30" s="2372" t="s">
        <v>294</v>
      </c>
      <c r="B30" s="2358" t="s">
        <v>2735</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2721</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2805</v>
      </c>
      <c r="C50" s="2363">
        <v>9.8000000000000004E-2</v>
      </c>
      <c r="D50" s="2363">
        <v>7.2999999999999995E-2</v>
      </c>
      <c r="E50" s="2363">
        <v>7.0999999999999994E-2</v>
      </c>
      <c r="F50" s="2374"/>
      <c r="G50" s="2364">
        <v>7.2999999999999995E-2</v>
      </c>
    </row>
    <row r="51" spans="1:7">
      <c r="A51" s="2373" t="s">
        <v>294</v>
      </c>
      <c r="B51" s="2362" t="s">
        <v>2807</v>
      </c>
      <c r="C51" s="2363">
        <v>9.9000000000000005E-2</v>
      </c>
      <c r="D51" s="2363">
        <v>8.5000000000000006E-2</v>
      </c>
      <c r="E51" s="2363">
        <v>6.3E-2</v>
      </c>
      <c r="F51" s="2374"/>
      <c r="G51" s="2364">
        <v>9.6000000000000002E-2</v>
      </c>
    </row>
    <row r="52" spans="1:7">
      <c r="A52" s="2373" t="s">
        <v>294</v>
      </c>
      <c r="B52" s="2362" t="s">
        <v>2811</v>
      </c>
      <c r="C52" s="2363">
        <v>7.3999999999999996E-2</v>
      </c>
      <c r="D52" s="2363">
        <v>9.6000000000000002E-2</v>
      </c>
      <c r="E52" s="2363">
        <v>0.05</v>
      </c>
      <c r="F52" s="2374"/>
      <c r="G52" s="2364">
        <v>9.8000000000000004E-2</v>
      </c>
    </row>
    <row r="53" spans="1:7">
      <c r="A53" s="2373" t="s">
        <v>294</v>
      </c>
      <c r="B53" s="2362" t="s">
        <v>2816</v>
      </c>
      <c r="C53" s="2363">
        <v>8.5999999999999993E-2</v>
      </c>
      <c r="D53" s="2374"/>
      <c r="E53" s="2363">
        <v>9.1999999999999998E-2</v>
      </c>
      <c r="F53" s="2374"/>
      <c r="G53" s="2375"/>
    </row>
    <row r="54" spans="1:7" ht="14.25" thickBot="1">
      <c r="A54" s="2376" t="s">
        <v>294</v>
      </c>
      <c r="B54" s="2366" t="s">
        <v>2819</v>
      </c>
      <c r="C54" s="2367">
        <v>9.6000000000000002E-2</v>
      </c>
      <c r="D54" s="2368"/>
      <c r="E54" s="2377"/>
      <c r="F54" s="2368"/>
      <c r="G54" s="2378"/>
    </row>
    <row r="55" spans="1:7">
      <c r="A55" s="2372" t="s">
        <v>108</v>
      </c>
      <c r="B55" s="2358" t="s">
        <v>2736</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2817</v>
      </c>
      <c r="C78" s="2363">
        <v>0.1</v>
      </c>
      <c r="D78" s="2363">
        <v>8.5000000000000006E-2</v>
      </c>
      <c r="E78" s="2363">
        <v>9.6000000000000002E-2</v>
      </c>
      <c r="F78" s="2374"/>
      <c r="G78" s="2364">
        <v>9.6000000000000002E-2</v>
      </c>
    </row>
    <row r="79" spans="1:7">
      <c r="A79" s="2373" t="s">
        <v>108</v>
      </c>
      <c r="B79" s="2362" t="s">
        <v>2820</v>
      </c>
      <c r="C79" s="2363">
        <v>0.05</v>
      </c>
      <c r="D79" s="2363">
        <v>9.6000000000000002E-2</v>
      </c>
      <c r="E79" s="2363">
        <v>9.5000000000000001E-2</v>
      </c>
      <c r="F79" s="2374"/>
      <c r="G79" s="2364">
        <v>9.8000000000000004E-2</v>
      </c>
    </row>
    <row r="80" spans="1:7">
      <c r="A80" s="2373" t="s">
        <v>108</v>
      </c>
      <c r="B80" s="2362" t="s">
        <v>2824</v>
      </c>
      <c r="C80" s="2363">
        <v>8.5999999999999993E-2</v>
      </c>
      <c r="D80" s="2379"/>
      <c r="E80" s="2363">
        <v>0.1</v>
      </c>
      <c r="F80" s="2374"/>
      <c r="G80" s="2375"/>
    </row>
    <row r="81" spans="1:7">
      <c r="A81" s="2373" t="s">
        <v>108</v>
      </c>
      <c r="B81" s="2362" t="s">
        <v>2829</v>
      </c>
      <c r="C81" s="2363">
        <v>9.6000000000000002E-2</v>
      </c>
      <c r="D81" s="2374"/>
      <c r="E81" s="2363">
        <v>9.8000000000000004E-2</v>
      </c>
      <c r="F81" s="2374"/>
      <c r="G81" s="2375"/>
    </row>
    <row r="82" spans="1:7">
      <c r="A82" s="2373" t="s">
        <v>108</v>
      </c>
      <c r="B82" s="2362" t="s">
        <v>2836</v>
      </c>
      <c r="C82" s="2379"/>
      <c r="D82" s="2374"/>
      <c r="E82" s="2363">
        <v>7.6999999999999999E-2</v>
      </c>
      <c r="F82" s="2374"/>
      <c r="G82" s="2375"/>
    </row>
    <row r="83" spans="1:7">
      <c r="A83" s="2373" t="s">
        <v>108</v>
      </c>
      <c r="B83" s="2362" t="s">
        <v>2842</v>
      </c>
      <c r="C83" s="2374"/>
      <c r="D83" s="2374"/>
      <c r="E83" s="2374"/>
      <c r="F83" s="2363">
        <v>0.1</v>
      </c>
      <c r="G83" s="2380"/>
    </row>
    <row r="84" spans="1:7">
      <c r="A84" s="2373" t="s">
        <v>108</v>
      </c>
      <c r="B84" s="2362" t="s">
        <v>2849</v>
      </c>
      <c r="C84" s="2374"/>
      <c r="D84" s="2374"/>
      <c r="E84" s="2374"/>
      <c r="F84" s="2363">
        <v>0.1</v>
      </c>
      <c r="G84" s="2380"/>
    </row>
    <row r="85" spans="1:7">
      <c r="A85" s="2373" t="s">
        <v>108</v>
      </c>
      <c r="B85" s="2362" t="s">
        <v>2856</v>
      </c>
      <c r="C85" s="2374"/>
      <c r="D85" s="2374"/>
      <c r="E85" s="2374"/>
      <c r="F85" s="2363">
        <v>0.1</v>
      </c>
      <c r="G85" s="2380"/>
    </row>
    <row r="86" spans="1:7" ht="14.25" thickBot="1">
      <c r="A86" s="2376" t="s">
        <v>108</v>
      </c>
      <c r="B86" s="2366" t="s">
        <v>2861</v>
      </c>
      <c r="C86" s="2367">
        <v>9.8000000000000004E-2</v>
      </c>
      <c r="D86" s="2367">
        <v>9.8000000000000004E-2</v>
      </c>
      <c r="E86" s="2367">
        <v>9.6000000000000002E-2</v>
      </c>
      <c r="F86" s="2377"/>
      <c r="G86" s="2369">
        <v>0.1</v>
      </c>
    </row>
    <row r="87" spans="1:7">
      <c r="A87" s="2372" t="s">
        <v>301</v>
      </c>
      <c r="B87" s="2358" t="s">
        <v>2737</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2830</v>
      </c>
      <c r="C113" s="2363">
        <v>0.1</v>
      </c>
      <c r="D113" s="2363">
        <v>0.1</v>
      </c>
      <c r="E113" s="2374"/>
      <c r="F113" s="2374"/>
      <c r="G113" s="2364">
        <v>0.1</v>
      </c>
    </row>
    <row r="114" spans="1:7">
      <c r="A114" s="2373" t="s">
        <v>301</v>
      </c>
      <c r="B114" s="2362" t="s">
        <v>2837</v>
      </c>
      <c r="C114" s="2363">
        <v>9.7000000000000003E-2</v>
      </c>
      <c r="D114" s="2363">
        <v>9.7000000000000003E-2</v>
      </c>
      <c r="E114" s="2374"/>
      <c r="F114" s="2374"/>
      <c r="G114" s="2364">
        <v>9.9000000000000005E-2</v>
      </c>
    </row>
    <row r="115" spans="1:7">
      <c r="A115" s="2373" t="s">
        <v>301</v>
      </c>
      <c r="B115" s="2362" t="s">
        <v>2843</v>
      </c>
      <c r="C115" s="2363">
        <v>0.1</v>
      </c>
      <c r="D115" s="2363">
        <v>0.1</v>
      </c>
      <c r="E115" s="2374"/>
      <c r="F115" s="2374"/>
      <c r="G115" s="2364">
        <v>0.1</v>
      </c>
    </row>
    <row r="116" spans="1:7">
      <c r="A116" s="2373" t="s">
        <v>301</v>
      </c>
      <c r="B116" s="2362" t="s">
        <v>2850</v>
      </c>
      <c r="C116" s="2363">
        <v>0.1</v>
      </c>
      <c r="D116" s="2363">
        <v>0.1</v>
      </c>
      <c r="E116" s="2374"/>
      <c r="F116" s="2374"/>
      <c r="G116" s="2364">
        <v>0.1</v>
      </c>
    </row>
    <row r="117" spans="1:7">
      <c r="A117" s="2373" t="s">
        <v>301</v>
      </c>
      <c r="B117" s="2362" t="s">
        <v>2857</v>
      </c>
      <c r="C117" s="2363">
        <v>9.7000000000000003E-2</v>
      </c>
      <c r="D117" s="2363">
        <v>9.7000000000000003E-2</v>
      </c>
      <c r="E117" s="2374"/>
      <c r="F117" s="2374"/>
      <c r="G117" s="2364">
        <v>9.7000000000000003E-2</v>
      </c>
    </row>
    <row r="118" spans="1:7">
      <c r="A118" s="2373" t="s">
        <v>301</v>
      </c>
      <c r="B118" s="2362" t="s">
        <v>2862</v>
      </c>
      <c r="C118" s="2363">
        <v>0.1</v>
      </c>
      <c r="D118" s="2363">
        <v>0.1</v>
      </c>
      <c r="E118" s="2374"/>
      <c r="F118" s="2374"/>
      <c r="G118" s="2364">
        <v>0.1</v>
      </c>
    </row>
    <row r="119" spans="1:7">
      <c r="A119" s="2373" t="s">
        <v>301</v>
      </c>
      <c r="B119" s="2362" t="s">
        <v>2866</v>
      </c>
      <c r="C119" s="2363">
        <v>5.0999999999999997E-2</v>
      </c>
      <c r="D119" s="2363">
        <v>5.1999999999999998E-2</v>
      </c>
      <c r="E119" s="2374"/>
      <c r="F119" s="2379"/>
      <c r="G119" s="2364">
        <v>0.06</v>
      </c>
    </row>
    <row r="120" spans="1:7">
      <c r="A120" s="2373" t="s">
        <v>301</v>
      </c>
      <c r="B120" s="2362" t="s">
        <v>2870</v>
      </c>
      <c r="C120" s="2374"/>
      <c r="D120" s="2374"/>
      <c r="E120" s="2374"/>
      <c r="F120" s="2363">
        <v>0.1</v>
      </c>
      <c r="G120" s="2380"/>
    </row>
    <row r="121" spans="1:7">
      <c r="A121" s="2373" t="s">
        <v>301</v>
      </c>
      <c r="B121" s="2362" t="s">
        <v>2875</v>
      </c>
      <c r="C121" s="2374"/>
      <c r="D121" s="2374"/>
      <c r="E121" s="2374"/>
      <c r="F121" s="2363">
        <v>0.1</v>
      </c>
      <c r="G121" s="2380"/>
    </row>
    <row r="122" spans="1:7">
      <c r="A122" s="2373" t="s">
        <v>301</v>
      </c>
      <c r="B122" s="2362" t="s">
        <v>2880</v>
      </c>
      <c r="C122" s="2363">
        <v>0.1</v>
      </c>
      <c r="D122" s="2363">
        <v>0.1</v>
      </c>
      <c r="E122" s="2363">
        <v>9.8000000000000004E-2</v>
      </c>
      <c r="F122" s="2363">
        <v>0.1</v>
      </c>
      <c r="G122" s="2364">
        <v>0.1</v>
      </c>
    </row>
    <row r="123" spans="1:7">
      <c r="A123" s="2373" t="s">
        <v>301</v>
      </c>
      <c r="B123" s="2362" t="s">
        <v>2885</v>
      </c>
      <c r="C123" s="2363">
        <v>0.1</v>
      </c>
      <c r="D123" s="2363">
        <v>0.1</v>
      </c>
      <c r="E123" s="2363">
        <v>9.8000000000000004E-2</v>
      </c>
      <c r="F123" s="2363">
        <v>0.1</v>
      </c>
      <c r="G123" s="2364">
        <v>0.1</v>
      </c>
    </row>
    <row r="124" spans="1:7">
      <c r="A124" s="2373" t="s">
        <v>301</v>
      </c>
      <c r="B124" s="2362" t="s">
        <v>2890</v>
      </c>
      <c r="C124" s="2363">
        <v>0.1</v>
      </c>
      <c r="D124" s="2363">
        <v>0.1</v>
      </c>
      <c r="E124" s="2363">
        <v>9.8000000000000004E-2</v>
      </c>
      <c r="F124" s="2379"/>
      <c r="G124" s="2364">
        <v>0.1</v>
      </c>
    </row>
    <row r="125" spans="1:7">
      <c r="A125" s="2373" t="s">
        <v>301</v>
      </c>
      <c r="B125" s="2362" t="s">
        <v>2895</v>
      </c>
      <c r="C125" s="2363">
        <v>9.8000000000000004E-2</v>
      </c>
      <c r="D125" s="2363">
        <v>9.8000000000000004E-2</v>
      </c>
      <c r="E125" s="2363">
        <v>9.6000000000000002E-2</v>
      </c>
      <c r="F125" s="2379"/>
      <c r="G125" s="2364">
        <v>0.1</v>
      </c>
    </row>
    <row r="126" spans="1:7" ht="14.25" thickBot="1">
      <c r="A126" s="2376" t="s">
        <v>301</v>
      </c>
      <c r="B126" s="2366" t="s">
        <v>3061</v>
      </c>
      <c r="C126" s="2367">
        <v>0.1</v>
      </c>
      <c r="D126" s="2367">
        <v>0.1</v>
      </c>
      <c r="E126" s="2367">
        <v>9.8000000000000004E-2</v>
      </c>
      <c r="F126" s="2367">
        <v>0.1</v>
      </c>
      <c r="G126" s="2369">
        <v>0.1</v>
      </c>
    </row>
    <row r="127" spans="1:7">
      <c r="A127" s="2372" t="s">
        <v>27</v>
      </c>
      <c r="B127" s="2358" t="s">
        <v>2738</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2808</v>
      </c>
      <c r="C148" s="2363">
        <v>0.13</v>
      </c>
      <c r="D148" s="2363">
        <v>0.13</v>
      </c>
      <c r="E148" s="2363">
        <v>0.13</v>
      </c>
      <c r="F148" s="2374"/>
      <c r="G148" s="2364">
        <v>0.13</v>
      </c>
    </row>
    <row r="149" spans="1:7">
      <c r="A149" s="2373" t="s">
        <v>27</v>
      </c>
      <c r="B149" s="2362" t="s">
        <v>2812</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2831</v>
      </c>
      <c r="C153" s="2363">
        <v>0.13</v>
      </c>
      <c r="D153" s="2363">
        <v>0.13</v>
      </c>
      <c r="E153" s="2363">
        <v>0.13</v>
      </c>
      <c r="F153" s="2363">
        <v>0.13</v>
      </c>
      <c r="G153" s="2364">
        <v>0.13</v>
      </c>
    </row>
    <row r="154" spans="1:7">
      <c r="A154" s="2373" t="s">
        <v>27</v>
      </c>
      <c r="B154" s="2362" t="s">
        <v>2838</v>
      </c>
      <c r="C154" s="2363">
        <v>0.121</v>
      </c>
      <c r="D154" s="2363">
        <v>0.121</v>
      </c>
      <c r="E154" s="2363">
        <v>0.105</v>
      </c>
      <c r="F154" s="2363">
        <v>0.121</v>
      </c>
      <c r="G154" s="2364">
        <v>0.123</v>
      </c>
    </row>
    <row r="155" spans="1:7">
      <c r="A155" s="2373" t="s">
        <v>27</v>
      </c>
      <c r="B155" s="2362" t="s">
        <v>2844</v>
      </c>
      <c r="C155" s="2363">
        <v>0.1</v>
      </c>
      <c r="D155" s="2363">
        <v>0.1</v>
      </c>
      <c r="E155" s="2363">
        <v>0.1</v>
      </c>
      <c r="F155" s="2363">
        <v>0.1</v>
      </c>
      <c r="G155" s="2364">
        <v>0.1</v>
      </c>
    </row>
    <row r="156" spans="1:7">
      <c r="A156" s="2373" t="s">
        <v>27</v>
      </c>
      <c r="B156" s="2362" t="s">
        <v>2851</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2871</v>
      </c>
      <c r="C160" s="2363">
        <v>0.13</v>
      </c>
      <c r="D160" s="2363">
        <v>0.13</v>
      </c>
      <c r="E160" s="2363">
        <v>0.124</v>
      </c>
      <c r="F160" s="2363">
        <v>0.126</v>
      </c>
      <c r="G160" s="2364">
        <v>0.13</v>
      </c>
    </row>
    <row r="161" spans="1:7">
      <c r="A161" s="2373" t="s">
        <v>27</v>
      </c>
      <c r="B161" s="2362" t="s">
        <v>2876</v>
      </c>
      <c r="C161" s="2363">
        <v>0.13</v>
      </c>
      <c r="D161" s="2363">
        <v>0.13</v>
      </c>
      <c r="E161" s="2363">
        <v>0.124</v>
      </c>
      <c r="F161" s="2363">
        <v>0.127</v>
      </c>
      <c r="G161" s="2364">
        <v>0.13</v>
      </c>
    </row>
    <row r="162" spans="1:7">
      <c r="A162" s="2373" t="s">
        <v>27</v>
      </c>
      <c r="B162" s="2362" t="s">
        <v>2881</v>
      </c>
      <c r="C162" s="2363">
        <v>0.1</v>
      </c>
      <c r="D162" s="2363">
        <v>0.1</v>
      </c>
      <c r="E162" s="2363">
        <v>0.1</v>
      </c>
      <c r="F162" s="2363">
        <v>0.121</v>
      </c>
      <c r="G162" s="2364">
        <v>0.105</v>
      </c>
    </row>
    <row r="163" spans="1:7">
      <c r="A163" s="2373" t="s">
        <v>27</v>
      </c>
      <c r="B163" s="2362" t="s">
        <v>2886</v>
      </c>
      <c r="C163" s="2363">
        <v>0.1</v>
      </c>
      <c r="D163" s="2363">
        <v>0.1</v>
      </c>
      <c r="E163" s="2363">
        <v>0.1</v>
      </c>
      <c r="F163" s="2363">
        <v>0.1</v>
      </c>
      <c r="G163" s="2364">
        <v>0.1</v>
      </c>
    </row>
    <row r="164" spans="1:7">
      <c r="A164" s="2373" t="s">
        <v>27</v>
      </c>
      <c r="B164" s="2362" t="s">
        <v>2891</v>
      </c>
      <c r="C164" s="2379"/>
      <c r="D164" s="2379"/>
      <c r="E164" s="2379"/>
      <c r="F164" s="2363">
        <v>0.1</v>
      </c>
      <c r="G164" s="2375"/>
    </row>
    <row r="165" spans="1:7">
      <c r="A165" s="2373" t="s">
        <v>27</v>
      </c>
      <c r="B165" s="2362" t="s">
        <v>3062</v>
      </c>
      <c r="C165" s="2363">
        <v>0.126</v>
      </c>
      <c r="D165" s="2363">
        <v>0.126</v>
      </c>
      <c r="E165" s="2363">
        <v>0.11899999999999999</v>
      </c>
      <c r="F165" s="2363">
        <v>0.13</v>
      </c>
      <c r="G165" s="2364">
        <v>0.128</v>
      </c>
    </row>
    <row r="166" spans="1:7">
      <c r="A166" s="2373" t="s">
        <v>27</v>
      </c>
      <c r="B166" s="2362" t="s">
        <v>2901</v>
      </c>
      <c r="C166" s="2363">
        <v>0.129</v>
      </c>
      <c r="D166" s="2363">
        <v>0.129</v>
      </c>
      <c r="E166" s="2363">
        <v>0.123</v>
      </c>
      <c r="F166" s="2363">
        <v>0.128</v>
      </c>
      <c r="G166" s="2364">
        <v>0.13</v>
      </c>
    </row>
    <row r="167" spans="1:7">
      <c r="A167" s="2373" t="s">
        <v>27</v>
      </c>
      <c r="B167" s="2362" t="s">
        <v>2905</v>
      </c>
      <c r="C167" s="2363">
        <v>0.125</v>
      </c>
      <c r="D167" s="2363">
        <v>0.125</v>
      </c>
      <c r="E167" s="2363">
        <v>0.11700000000000001</v>
      </c>
      <c r="F167" s="2363">
        <v>0.13</v>
      </c>
      <c r="G167" s="2364">
        <v>0.126</v>
      </c>
    </row>
    <row r="168" spans="1:7">
      <c r="A168" s="2373" t="s">
        <v>27</v>
      </c>
      <c r="B168" s="2362" t="s">
        <v>2910</v>
      </c>
      <c r="C168" s="2363">
        <v>0.128</v>
      </c>
      <c r="D168" s="2363">
        <v>0.128</v>
      </c>
      <c r="E168" s="2363">
        <v>0.123</v>
      </c>
      <c r="F168" s="2374"/>
      <c r="G168" s="2364">
        <v>0.13</v>
      </c>
    </row>
    <row r="169" spans="1:7">
      <c r="A169" s="2373" t="s">
        <v>27</v>
      </c>
      <c r="B169" s="2362" t="s">
        <v>3063</v>
      </c>
      <c r="C169" s="2379"/>
      <c r="D169" s="2379"/>
      <c r="E169" s="2379"/>
      <c r="F169" s="2363">
        <v>0.05</v>
      </c>
      <c r="G169" s="2375"/>
    </row>
    <row r="170" spans="1:7">
      <c r="A170" s="2373" t="s">
        <v>27</v>
      </c>
      <c r="B170" s="2362" t="s">
        <v>3064</v>
      </c>
      <c r="C170" s="2379"/>
      <c r="D170" s="2379"/>
      <c r="E170" s="2379"/>
      <c r="F170" s="2363">
        <v>0.05</v>
      </c>
      <c r="G170" s="2375"/>
    </row>
    <row r="171" spans="1:7">
      <c r="A171" s="2373" t="s">
        <v>27</v>
      </c>
      <c r="B171" s="2362" t="s">
        <v>3065</v>
      </c>
      <c r="C171" s="2379"/>
      <c r="D171" s="2379"/>
      <c r="E171" s="2379"/>
      <c r="F171" s="2363">
        <v>0.05</v>
      </c>
      <c r="G171" s="2380"/>
    </row>
    <row r="172" spans="1:7">
      <c r="A172" s="2373" t="s">
        <v>27</v>
      </c>
      <c r="B172" s="2362" t="s">
        <v>3066</v>
      </c>
      <c r="C172" s="2379"/>
      <c r="D172" s="2379"/>
      <c r="E172" s="2379"/>
      <c r="F172" s="2363">
        <v>0.05</v>
      </c>
      <c r="G172" s="2380"/>
    </row>
    <row r="173" spans="1:7">
      <c r="A173" s="2373" t="s">
        <v>27</v>
      </c>
      <c r="B173" s="2362" t="s">
        <v>3067</v>
      </c>
      <c r="C173" s="2379"/>
      <c r="D173" s="2379"/>
      <c r="E173" s="2379"/>
      <c r="F173" s="2363">
        <v>0.05</v>
      </c>
      <c r="G173" s="2375"/>
    </row>
    <row r="174" spans="1:7">
      <c r="A174" s="2373" t="s">
        <v>27</v>
      </c>
      <c r="B174" s="2362" t="s">
        <v>3068</v>
      </c>
      <c r="C174" s="2379"/>
      <c r="D174" s="2379"/>
      <c r="E174" s="2379"/>
      <c r="F174" s="2363">
        <v>0.05</v>
      </c>
      <c r="G174" s="2375"/>
    </row>
    <row r="175" spans="1:7">
      <c r="A175" s="2373" t="s">
        <v>27</v>
      </c>
      <c r="B175" s="2362" t="s">
        <v>3069</v>
      </c>
      <c r="C175" s="2379"/>
      <c r="D175" s="2379"/>
      <c r="E175" s="2379"/>
      <c r="F175" s="2363">
        <v>0.05</v>
      </c>
      <c r="G175" s="2375"/>
    </row>
    <row r="176" spans="1:7">
      <c r="A176" s="2373" t="s">
        <v>27</v>
      </c>
      <c r="B176" s="2362" t="s">
        <v>3070</v>
      </c>
      <c r="C176" s="2379"/>
      <c r="D176" s="2379"/>
      <c r="E176" s="2379"/>
      <c r="F176" s="2363">
        <v>0.05</v>
      </c>
      <c r="G176" s="2375"/>
    </row>
    <row r="177" spans="1:7">
      <c r="A177" s="2373" t="s">
        <v>27</v>
      </c>
      <c r="B177" s="2362" t="s">
        <v>3071</v>
      </c>
      <c r="C177" s="2374"/>
      <c r="D177" s="2374"/>
      <c r="E177" s="2374"/>
      <c r="F177" s="2363">
        <v>0.05</v>
      </c>
      <c r="G177" s="2380"/>
    </row>
    <row r="178" spans="1:7">
      <c r="A178" s="2373" t="s">
        <v>27</v>
      </c>
      <c r="B178" s="2362" t="s">
        <v>3072</v>
      </c>
      <c r="C178" s="2374"/>
      <c r="D178" s="2374"/>
      <c r="E178" s="2374"/>
      <c r="F178" s="2363">
        <v>0.05</v>
      </c>
      <c r="G178" s="2380"/>
    </row>
    <row r="179" spans="1:7">
      <c r="A179" s="2373" t="s">
        <v>27</v>
      </c>
      <c r="B179" s="2362" t="s">
        <v>3073</v>
      </c>
      <c r="C179" s="2374"/>
      <c r="D179" s="2374"/>
      <c r="E179" s="2374"/>
      <c r="F179" s="2363">
        <v>0.05</v>
      </c>
      <c r="G179" s="2380"/>
    </row>
    <row r="180" spans="1:7">
      <c r="A180" s="2373" t="s">
        <v>27</v>
      </c>
      <c r="B180" s="2362" t="s">
        <v>3074</v>
      </c>
      <c r="C180" s="2374"/>
      <c r="D180" s="2374"/>
      <c r="E180" s="2374"/>
      <c r="F180" s="2363">
        <v>0.05</v>
      </c>
      <c r="G180" s="2380"/>
    </row>
    <row r="181" spans="1:7">
      <c r="A181" s="2373" t="s">
        <v>27</v>
      </c>
      <c r="B181" s="2362" t="s">
        <v>3075</v>
      </c>
      <c r="C181" s="2374"/>
      <c r="D181" s="2374"/>
      <c r="E181" s="2374"/>
      <c r="F181" s="2363">
        <v>0.05</v>
      </c>
      <c r="G181" s="2380"/>
    </row>
    <row r="182" spans="1:7">
      <c r="A182" s="2373" t="s">
        <v>27</v>
      </c>
      <c r="B182" s="2362" t="s">
        <v>3076</v>
      </c>
      <c r="C182" s="2374"/>
      <c r="D182" s="2374"/>
      <c r="E182" s="2374"/>
      <c r="F182" s="2363">
        <v>0.05</v>
      </c>
      <c r="G182" s="2380"/>
    </row>
    <row r="183" spans="1:7">
      <c r="A183" s="2373" t="s">
        <v>27</v>
      </c>
      <c r="B183" s="2362" t="s">
        <v>3077</v>
      </c>
      <c r="C183" s="2374"/>
      <c r="D183" s="2374"/>
      <c r="E183" s="2374"/>
      <c r="F183" s="2363">
        <v>0.05</v>
      </c>
      <c r="G183" s="2380"/>
    </row>
    <row r="184" spans="1:7">
      <c r="A184" s="2373" t="s">
        <v>27</v>
      </c>
      <c r="B184" s="2362" t="s">
        <v>3078</v>
      </c>
      <c r="C184" s="2374"/>
      <c r="D184" s="2374"/>
      <c r="E184" s="2374"/>
      <c r="F184" s="2363">
        <v>0.05</v>
      </c>
      <c r="G184" s="2380"/>
    </row>
    <row r="185" spans="1:7">
      <c r="A185" s="2373" t="s">
        <v>27</v>
      </c>
      <c r="B185" s="2362" t="s">
        <v>3079</v>
      </c>
      <c r="C185" s="2374"/>
      <c r="D185" s="2374"/>
      <c r="E185" s="2374"/>
      <c r="F185" s="2363">
        <v>0.05</v>
      </c>
      <c r="G185" s="2380"/>
    </row>
    <row r="186" spans="1:7">
      <c r="A186" s="2373" t="s">
        <v>27</v>
      </c>
      <c r="B186" s="2362" t="s">
        <v>3080</v>
      </c>
      <c r="C186" s="2374"/>
      <c r="D186" s="2374"/>
      <c r="E186" s="2374"/>
      <c r="F186" s="2363">
        <v>0.05</v>
      </c>
      <c r="G186" s="2380"/>
    </row>
    <row r="187" spans="1:7">
      <c r="A187" s="2373" t="s">
        <v>27</v>
      </c>
      <c r="B187" s="2362" t="s">
        <v>3081</v>
      </c>
      <c r="C187" s="2374"/>
      <c r="D187" s="2374"/>
      <c r="E187" s="2374"/>
      <c r="F187" s="2363">
        <v>0.05</v>
      </c>
      <c r="G187" s="2380"/>
    </row>
    <row r="188" spans="1:7">
      <c r="A188" s="2373" t="s">
        <v>27</v>
      </c>
      <c r="B188" s="2362" t="s">
        <v>3082</v>
      </c>
      <c r="C188" s="2374"/>
      <c r="D188" s="2374"/>
      <c r="E188" s="2374"/>
      <c r="F188" s="2363">
        <v>0.05</v>
      </c>
      <c r="G188" s="2380"/>
    </row>
    <row r="189" spans="1:7" ht="14.25" thickBot="1">
      <c r="A189" s="2376" t="s">
        <v>27</v>
      </c>
      <c r="B189" s="2366" t="s">
        <v>3083</v>
      </c>
      <c r="C189" s="2368"/>
      <c r="D189" s="2368"/>
      <c r="E189" s="2368"/>
      <c r="F189" s="2367">
        <v>0.05</v>
      </c>
      <c r="G189" s="2381"/>
    </row>
    <row r="190" spans="1:7">
      <c r="A190" s="2372" t="s">
        <v>302</v>
      </c>
      <c r="B190" s="2358" t="s">
        <v>2739</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2775</v>
      </c>
      <c r="C199" s="2363">
        <v>0.13</v>
      </c>
      <c r="D199" s="2363">
        <v>0.13</v>
      </c>
      <c r="E199" s="2363">
        <v>0.13</v>
      </c>
      <c r="F199" s="2363">
        <v>0.13</v>
      </c>
      <c r="G199" s="2364">
        <v>0.13</v>
      </c>
    </row>
    <row r="200" spans="1:7">
      <c r="A200" s="2373" t="s">
        <v>302</v>
      </c>
      <c r="B200" s="2362" t="s">
        <v>2778</v>
      </c>
      <c r="C200" s="2379"/>
      <c r="D200" s="2379"/>
      <c r="E200" s="2379"/>
      <c r="F200" s="2363">
        <v>0.13</v>
      </c>
      <c r="G200" s="2375"/>
    </row>
    <row r="201" spans="1:7">
      <c r="A201" s="2373" t="s">
        <v>302</v>
      </c>
      <c r="B201" s="2362" t="s">
        <v>2783</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2786</v>
      </c>
      <c r="C203" s="2363">
        <v>0.129</v>
      </c>
      <c r="D203" s="2363">
        <v>0.129</v>
      </c>
      <c r="E203" s="2363">
        <v>0.13</v>
      </c>
      <c r="F203" s="2363">
        <v>0.13</v>
      </c>
      <c r="G203" s="2364">
        <v>0.13</v>
      </c>
    </row>
    <row r="204" spans="1:7">
      <c r="A204" s="2373" t="s">
        <v>302</v>
      </c>
      <c r="B204" s="2362" t="s">
        <v>2789</v>
      </c>
      <c r="C204" s="2363">
        <v>0.129</v>
      </c>
      <c r="D204" s="2363">
        <v>0.129</v>
      </c>
      <c r="E204" s="2363">
        <v>0.123</v>
      </c>
      <c r="F204" s="2363">
        <v>0.13</v>
      </c>
      <c r="G204" s="2364">
        <v>0.13</v>
      </c>
    </row>
    <row r="205" spans="1:7">
      <c r="A205" s="2373" t="s">
        <v>302</v>
      </c>
      <c r="B205" s="2362" t="s">
        <v>2791</v>
      </c>
      <c r="C205" s="2363">
        <v>0.13</v>
      </c>
      <c r="D205" s="2363">
        <v>0.13</v>
      </c>
      <c r="E205" s="2363">
        <v>0.13</v>
      </c>
      <c r="F205" s="2363">
        <v>0.13</v>
      </c>
      <c r="G205" s="2364">
        <v>0.13</v>
      </c>
    </row>
    <row r="206" spans="1:7">
      <c r="A206" s="2373" t="s">
        <v>302</v>
      </c>
      <c r="B206" s="2362" t="s">
        <v>2794</v>
      </c>
      <c r="C206" s="2363">
        <v>0.13</v>
      </c>
      <c r="D206" s="2363">
        <v>0.13</v>
      </c>
      <c r="E206" s="2363">
        <v>0.13</v>
      </c>
      <c r="F206" s="2363">
        <v>0.128</v>
      </c>
      <c r="G206" s="2364">
        <v>0.13</v>
      </c>
    </row>
    <row r="207" spans="1:7">
      <c r="A207" s="2373" t="s">
        <v>302</v>
      </c>
      <c r="B207" s="2362" t="s">
        <v>2796</v>
      </c>
      <c r="C207" s="2363">
        <v>0.13</v>
      </c>
      <c r="D207" s="2363">
        <v>0.13</v>
      </c>
      <c r="E207" s="2363">
        <v>0.13</v>
      </c>
      <c r="F207" s="2363">
        <v>0.13</v>
      </c>
      <c r="G207" s="2364">
        <v>0.13</v>
      </c>
    </row>
    <row r="208" spans="1:7">
      <c r="A208" s="2373" t="s">
        <v>302</v>
      </c>
      <c r="B208" s="2362" t="s">
        <v>2799</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2806</v>
      </c>
      <c r="C210" s="2363">
        <v>0.121</v>
      </c>
      <c r="D210" s="2363">
        <v>0.121</v>
      </c>
      <c r="E210" s="2363">
        <v>0.125</v>
      </c>
      <c r="F210" s="2363">
        <v>0.13</v>
      </c>
      <c r="G210" s="2364">
        <v>0.123</v>
      </c>
    </row>
    <row r="211" spans="1:7">
      <c r="A211" s="2373" t="s">
        <v>302</v>
      </c>
      <c r="B211" s="2362" t="s">
        <v>2809</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2821</v>
      </c>
      <c r="C214" s="2363">
        <v>0.128</v>
      </c>
      <c r="D214" s="2363">
        <v>0.128</v>
      </c>
      <c r="E214" s="2363">
        <v>0.13</v>
      </c>
      <c r="F214" s="2363">
        <v>0.13</v>
      </c>
      <c r="G214" s="2364">
        <v>0.13</v>
      </c>
    </row>
    <row r="215" spans="1:7">
      <c r="A215" s="2373" t="s">
        <v>302</v>
      </c>
      <c r="B215" s="2362" t="s">
        <v>2825</v>
      </c>
      <c r="C215" s="2363">
        <v>0.13</v>
      </c>
      <c r="D215" s="2363">
        <v>0.13</v>
      </c>
      <c r="E215" s="2363">
        <v>0.13</v>
      </c>
      <c r="F215" s="2363">
        <v>0.129</v>
      </c>
      <c r="G215" s="2364">
        <v>0.13</v>
      </c>
    </row>
    <row r="216" spans="1:7">
      <c r="A216" s="2373" t="s">
        <v>302</v>
      </c>
      <c r="B216" s="2362" t="s">
        <v>2832</v>
      </c>
      <c r="C216" s="2363">
        <v>0.13</v>
      </c>
      <c r="D216" s="2363">
        <v>0.13</v>
      </c>
      <c r="E216" s="2363">
        <v>0.13</v>
      </c>
      <c r="F216" s="2363">
        <v>0.13</v>
      </c>
      <c r="G216" s="2364">
        <v>0.13</v>
      </c>
    </row>
    <row r="217" spans="1:7">
      <c r="A217" s="2373" t="s">
        <v>302</v>
      </c>
      <c r="B217" s="2362" t="s">
        <v>2839</v>
      </c>
      <c r="C217" s="2363">
        <v>0.129</v>
      </c>
      <c r="D217" s="2363">
        <v>0.129</v>
      </c>
      <c r="E217" s="2363">
        <v>0.13</v>
      </c>
      <c r="F217" s="2363">
        <v>0.13</v>
      </c>
      <c r="G217" s="2364">
        <v>0.13</v>
      </c>
    </row>
    <row r="218" spans="1:7">
      <c r="A218" s="2373" t="s">
        <v>302</v>
      </c>
      <c r="B218" s="2362" t="s">
        <v>2845</v>
      </c>
      <c r="C218" s="2374"/>
      <c r="D218" s="2374"/>
      <c r="E218" s="2374"/>
      <c r="F218" s="2363">
        <v>0.05</v>
      </c>
      <c r="G218" s="2380"/>
    </row>
    <row r="219" spans="1:7">
      <c r="A219" s="2373" t="s">
        <v>302</v>
      </c>
      <c r="B219" s="2362" t="s">
        <v>2852</v>
      </c>
      <c r="C219" s="2374"/>
      <c r="D219" s="2374"/>
      <c r="E219" s="2374"/>
      <c r="F219" s="2363">
        <v>0.05</v>
      </c>
      <c r="G219" s="2380"/>
    </row>
    <row r="220" spans="1:7">
      <c r="A220" s="2373" t="s">
        <v>302</v>
      </c>
      <c r="B220" s="2362" t="s">
        <v>2858</v>
      </c>
      <c r="C220" s="2374"/>
      <c r="D220" s="2374"/>
      <c r="E220" s="2374"/>
      <c r="F220" s="2363">
        <v>0.05</v>
      </c>
      <c r="G220" s="2380"/>
    </row>
    <row r="221" spans="1:7">
      <c r="A221" s="2373" t="s">
        <v>302</v>
      </c>
      <c r="B221" s="2362" t="s">
        <v>2863</v>
      </c>
      <c r="C221" s="2374"/>
      <c r="D221" s="2374"/>
      <c r="E221" s="2374"/>
      <c r="F221" s="2363">
        <v>0.05</v>
      </c>
      <c r="G221" s="2380"/>
    </row>
    <row r="222" spans="1:7">
      <c r="A222" s="2373" t="s">
        <v>302</v>
      </c>
      <c r="B222" s="2362" t="s">
        <v>2867</v>
      </c>
      <c r="C222" s="2374"/>
      <c r="D222" s="2374"/>
      <c r="E222" s="2374"/>
      <c r="F222" s="2363">
        <v>0.05</v>
      </c>
      <c r="G222" s="2380"/>
    </row>
    <row r="223" spans="1:7">
      <c r="A223" s="2373" t="s">
        <v>302</v>
      </c>
      <c r="B223" s="2362" t="s">
        <v>2872</v>
      </c>
      <c r="C223" s="2374"/>
      <c r="D223" s="2374"/>
      <c r="E223" s="2374"/>
      <c r="F223" s="2363">
        <v>0.05</v>
      </c>
      <c r="G223" s="2380"/>
    </row>
    <row r="224" spans="1:7">
      <c r="A224" s="2373" t="s">
        <v>302</v>
      </c>
      <c r="B224" s="2362" t="s">
        <v>2877</v>
      </c>
      <c r="C224" s="2374"/>
      <c r="D224" s="2374"/>
      <c r="E224" s="2374"/>
      <c r="F224" s="2363">
        <v>0.05</v>
      </c>
      <c r="G224" s="2380"/>
    </row>
    <row r="225" spans="1:7">
      <c r="A225" s="2373" t="s">
        <v>302</v>
      </c>
      <c r="B225" s="2362" t="s">
        <v>2882</v>
      </c>
      <c r="C225" s="2374"/>
      <c r="D225" s="2374"/>
      <c r="E225" s="2374"/>
      <c r="F225" s="2363">
        <v>0.05</v>
      </c>
      <c r="G225" s="2380"/>
    </row>
    <row r="226" spans="1:7">
      <c r="A226" s="2373" t="s">
        <v>302</v>
      </c>
      <c r="B226" s="2362" t="s">
        <v>3084</v>
      </c>
      <c r="C226" s="2374"/>
      <c r="D226" s="2374"/>
      <c r="E226" s="2374"/>
      <c r="F226" s="2363">
        <v>0.05</v>
      </c>
      <c r="G226" s="2380"/>
    </row>
    <row r="227" spans="1:7">
      <c r="A227" s="2373" t="s">
        <v>302</v>
      </c>
      <c r="B227" s="2362" t="s">
        <v>3085</v>
      </c>
      <c r="C227" s="2374"/>
      <c r="D227" s="2374"/>
      <c r="E227" s="2374"/>
      <c r="F227" s="2363">
        <v>0.05</v>
      </c>
      <c r="G227" s="2380"/>
    </row>
    <row r="228" spans="1:7">
      <c r="A228" s="2373" t="s">
        <v>302</v>
      </c>
      <c r="B228" s="2362" t="s">
        <v>3086</v>
      </c>
      <c r="C228" s="2374"/>
      <c r="D228" s="2374"/>
      <c r="E228" s="2374"/>
      <c r="F228" s="2363">
        <v>0.05</v>
      </c>
      <c r="G228" s="2380"/>
    </row>
    <row r="229" spans="1:7">
      <c r="A229" s="2373" t="s">
        <v>302</v>
      </c>
      <c r="B229" s="2362" t="s">
        <v>3087</v>
      </c>
      <c r="C229" s="2374"/>
      <c r="D229" s="2374"/>
      <c r="E229" s="2374"/>
      <c r="F229" s="2363">
        <v>0.05</v>
      </c>
      <c r="G229" s="2380"/>
    </row>
    <row r="230" spans="1:7">
      <c r="A230" s="2373" t="s">
        <v>302</v>
      </c>
      <c r="B230" s="2362" t="s">
        <v>3088</v>
      </c>
      <c r="C230" s="2374"/>
      <c r="D230" s="2374"/>
      <c r="E230" s="2374"/>
      <c r="F230" s="2363">
        <v>0.05</v>
      </c>
      <c r="G230" s="2380"/>
    </row>
    <row r="231" spans="1:7">
      <c r="A231" s="2373" t="s">
        <v>302</v>
      </c>
      <c r="B231" s="2362" t="s">
        <v>3089</v>
      </c>
      <c r="C231" s="2374"/>
      <c r="D231" s="2374"/>
      <c r="E231" s="2374"/>
      <c r="F231" s="2363">
        <v>0.05</v>
      </c>
      <c r="G231" s="2380"/>
    </row>
    <row r="232" spans="1:7">
      <c r="A232" s="2373" t="s">
        <v>302</v>
      </c>
      <c r="B232" s="2362" t="s">
        <v>3090</v>
      </c>
      <c r="C232" s="2374"/>
      <c r="D232" s="2374"/>
      <c r="E232" s="2374"/>
      <c r="F232" s="2363">
        <v>0.05</v>
      </c>
      <c r="G232" s="2380"/>
    </row>
    <row r="233" spans="1:7" ht="14.25" thickBot="1">
      <c r="A233" s="2376" t="s">
        <v>302</v>
      </c>
      <c r="B233" s="2366" t="s">
        <v>3091</v>
      </c>
      <c r="C233" s="2368"/>
      <c r="D233" s="2368"/>
      <c r="E233" s="2368"/>
      <c r="F233" s="2367">
        <v>0.05</v>
      </c>
      <c r="G233" s="2381"/>
    </row>
    <row r="234" spans="1:7">
      <c r="A234" s="2372" t="s">
        <v>303</v>
      </c>
      <c r="B234" s="2358" t="s">
        <v>2740</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2760</v>
      </c>
      <c r="C238" s="2363">
        <v>0.14899999999999999</v>
      </c>
      <c r="D238" s="2363">
        <v>0.14899999999999999</v>
      </c>
      <c r="E238" s="2363">
        <v>0.15</v>
      </c>
      <c r="F238" s="2363">
        <v>0.15</v>
      </c>
      <c r="G238" s="2364">
        <v>0.15</v>
      </c>
    </row>
    <row r="239" spans="1:7">
      <c r="A239" s="2373" t="s">
        <v>303</v>
      </c>
      <c r="B239" s="2362" t="s">
        <v>2764</v>
      </c>
      <c r="C239" s="2363">
        <v>0.15</v>
      </c>
      <c r="D239" s="2363">
        <v>0.15</v>
      </c>
      <c r="E239" s="2363">
        <v>0.15</v>
      </c>
      <c r="F239" s="2363">
        <v>0.15</v>
      </c>
      <c r="G239" s="2364">
        <v>0.15</v>
      </c>
    </row>
    <row r="240" spans="1:7">
      <c r="A240" s="2373" t="s">
        <v>303</v>
      </c>
      <c r="B240" s="2362" t="s">
        <v>2769</v>
      </c>
      <c r="C240" s="2363">
        <v>0.15</v>
      </c>
      <c r="D240" s="2363">
        <v>0.15</v>
      </c>
      <c r="E240" s="2363">
        <v>0.15</v>
      </c>
      <c r="F240" s="2363">
        <v>0.15</v>
      </c>
      <c r="G240" s="2364">
        <v>0.15</v>
      </c>
    </row>
    <row r="241" spans="1:7">
      <c r="A241" s="2373" t="s">
        <v>303</v>
      </c>
      <c r="B241" s="2362" t="s">
        <v>2773</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2779</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2787</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2792</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2800</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2813</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2822</v>
      </c>
      <c r="C258" s="2363">
        <v>0.14299999999999999</v>
      </c>
      <c r="D258" s="2363">
        <v>0.14299999999999999</v>
      </c>
      <c r="E258" s="2363">
        <v>0.15</v>
      </c>
      <c r="F258" s="2363">
        <v>0.14799999999999999</v>
      </c>
      <c r="G258" s="2364">
        <v>0.14599999999999999</v>
      </c>
    </row>
    <row r="259" spans="1:7">
      <c r="A259" s="2373" t="s">
        <v>303</v>
      </c>
      <c r="B259" s="2362" t="s">
        <v>2826</v>
      </c>
      <c r="C259" s="2363">
        <v>0.14399999999999999</v>
      </c>
      <c r="D259" s="2363">
        <v>0.14399999999999999</v>
      </c>
      <c r="E259" s="2363">
        <v>0.14899999999999999</v>
      </c>
      <c r="F259" s="2363">
        <v>0.14699999999999999</v>
      </c>
      <c r="G259" s="2364">
        <v>0.14599999999999999</v>
      </c>
    </row>
    <row r="260" spans="1:7">
      <c r="A260" s="2373" t="s">
        <v>303</v>
      </c>
      <c r="B260" s="2362" t="s">
        <v>2833</v>
      </c>
      <c r="C260" s="2363">
        <v>0.109</v>
      </c>
      <c r="D260" s="2363">
        <v>0.111</v>
      </c>
      <c r="E260" s="2363">
        <v>0.13100000000000001</v>
      </c>
      <c r="F260" s="2363">
        <v>0.126</v>
      </c>
      <c r="G260" s="2364">
        <v>0.11899999999999999</v>
      </c>
    </row>
    <row r="261" spans="1:7">
      <c r="A261" s="2373" t="s">
        <v>303</v>
      </c>
      <c r="B261" s="2362" t="s">
        <v>2840</v>
      </c>
      <c r="C261" s="2363">
        <v>0.1</v>
      </c>
      <c r="D261" s="2363">
        <v>0.1</v>
      </c>
      <c r="E261" s="2363">
        <v>0.11799999999999999</v>
      </c>
      <c r="F261" s="2363">
        <v>0.108</v>
      </c>
      <c r="G261" s="2364">
        <v>0.107</v>
      </c>
    </row>
    <row r="262" spans="1:7">
      <c r="A262" s="2373" t="s">
        <v>303</v>
      </c>
      <c r="B262" s="2362" t="s">
        <v>2846</v>
      </c>
      <c r="C262" s="2363">
        <v>0.1</v>
      </c>
      <c r="D262" s="2363">
        <v>0.1</v>
      </c>
      <c r="E262" s="2363">
        <v>0.1</v>
      </c>
      <c r="F262" s="2363">
        <v>0.14099999999999999</v>
      </c>
      <c r="G262" s="2364">
        <v>0.1</v>
      </c>
    </row>
    <row r="263" spans="1:7">
      <c r="A263" s="2373" t="s">
        <v>303</v>
      </c>
      <c r="B263" s="2362" t="s">
        <v>2853</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2864</v>
      </c>
      <c r="C265" s="2374"/>
      <c r="D265" s="2374"/>
      <c r="E265" s="2374"/>
      <c r="F265" s="2363">
        <v>0.05</v>
      </c>
      <c r="G265" s="2380"/>
    </row>
    <row r="266" spans="1:7">
      <c r="A266" s="2373" t="s">
        <v>303</v>
      </c>
      <c r="B266" s="2362" t="s">
        <v>2868</v>
      </c>
      <c r="C266" s="2374"/>
      <c r="D266" s="2374"/>
      <c r="E266" s="2374"/>
      <c r="F266" s="2363">
        <v>0.05</v>
      </c>
      <c r="G266" s="2380"/>
    </row>
    <row r="267" spans="1:7">
      <c r="A267" s="2373" t="s">
        <v>303</v>
      </c>
      <c r="B267" s="2362" t="s">
        <v>2873</v>
      </c>
      <c r="C267" s="2374"/>
      <c r="D267" s="2374"/>
      <c r="E267" s="2374"/>
      <c r="F267" s="2363">
        <v>0.05</v>
      </c>
      <c r="G267" s="2380"/>
    </row>
    <row r="268" spans="1:7">
      <c r="A268" s="2373" t="s">
        <v>303</v>
      </c>
      <c r="B268" s="2362" t="s">
        <v>2878</v>
      </c>
      <c r="C268" s="2374"/>
      <c r="D268" s="2374"/>
      <c r="E268" s="2374"/>
      <c r="F268" s="2363">
        <v>0.05</v>
      </c>
      <c r="G268" s="2380"/>
    </row>
    <row r="269" spans="1:7">
      <c r="A269" s="2373" t="s">
        <v>303</v>
      </c>
      <c r="B269" s="2362" t="s">
        <v>2883</v>
      </c>
      <c r="C269" s="2374"/>
      <c r="D269" s="2374"/>
      <c r="E269" s="2374"/>
      <c r="F269" s="2363">
        <v>0.05</v>
      </c>
      <c r="G269" s="2380"/>
    </row>
    <row r="270" spans="1:7">
      <c r="A270" s="2373" t="s">
        <v>303</v>
      </c>
      <c r="B270" s="2362" t="s">
        <v>2888</v>
      </c>
      <c r="C270" s="2374"/>
      <c r="D270" s="2374"/>
      <c r="E270" s="2374"/>
      <c r="F270" s="2363">
        <v>0.05</v>
      </c>
      <c r="G270" s="2380"/>
    </row>
    <row r="271" spans="1:7">
      <c r="A271" s="2373" t="s">
        <v>303</v>
      </c>
      <c r="B271" s="2362" t="s">
        <v>3092</v>
      </c>
      <c r="C271" s="2374"/>
      <c r="D271" s="2374"/>
      <c r="E271" s="2374"/>
      <c r="F271" s="2363">
        <v>0.05</v>
      </c>
      <c r="G271" s="2380"/>
    </row>
    <row r="272" spans="1:7">
      <c r="A272" s="2373" t="s">
        <v>303</v>
      </c>
      <c r="B272" s="2362" t="s">
        <v>3093</v>
      </c>
      <c r="C272" s="2374"/>
      <c r="D272" s="2374"/>
      <c r="E272" s="2374"/>
      <c r="F272" s="2363">
        <v>0.05</v>
      </c>
      <c r="G272" s="2380"/>
    </row>
    <row r="273" spans="1:7">
      <c r="A273" s="2373" t="s">
        <v>303</v>
      </c>
      <c r="B273" s="2362" t="s">
        <v>3094</v>
      </c>
      <c r="C273" s="2374"/>
      <c r="D273" s="2374"/>
      <c r="E273" s="2374"/>
      <c r="F273" s="2363">
        <v>0.05</v>
      </c>
      <c r="G273" s="2380"/>
    </row>
    <row r="274" spans="1:7">
      <c r="A274" s="2373" t="s">
        <v>303</v>
      </c>
      <c r="B274" s="2362" t="s">
        <v>3095</v>
      </c>
      <c r="C274" s="2374"/>
      <c r="D274" s="2374"/>
      <c r="E274" s="2374"/>
      <c r="F274" s="2363">
        <v>0.05</v>
      </c>
      <c r="G274" s="2380"/>
    </row>
    <row r="275" spans="1:7">
      <c r="A275" s="2373" t="s">
        <v>303</v>
      </c>
      <c r="B275" s="2362" t="s">
        <v>3096</v>
      </c>
      <c r="C275" s="2374"/>
      <c r="D275" s="2374"/>
      <c r="E275" s="2374"/>
      <c r="F275" s="2363">
        <v>0.05</v>
      </c>
      <c r="G275" s="2380"/>
    </row>
    <row r="276" spans="1:7" ht="14.25" thickBot="1">
      <c r="A276" s="2376" t="s">
        <v>303</v>
      </c>
      <c r="B276" s="2366" t="s">
        <v>3097</v>
      </c>
      <c r="C276" s="2368"/>
      <c r="D276" s="2368"/>
      <c r="E276" s="2368"/>
      <c r="F276" s="2367">
        <v>0.05</v>
      </c>
      <c r="G276" s="2381"/>
    </row>
    <row r="277" spans="1:7">
      <c r="A277" s="2372" t="s">
        <v>304</v>
      </c>
      <c r="B277" s="2358" t="s">
        <v>2741</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2753</v>
      </c>
      <c r="C279" s="2363">
        <v>0.15</v>
      </c>
      <c r="D279" s="2363">
        <v>0.15</v>
      </c>
      <c r="E279" s="2363">
        <v>0.15</v>
      </c>
      <c r="F279" s="2363">
        <v>0.15</v>
      </c>
      <c r="G279" s="2364">
        <v>0.15</v>
      </c>
    </row>
    <row r="280" spans="1:7">
      <c r="A280" s="2373" t="s">
        <v>304</v>
      </c>
      <c r="B280" s="2362" t="s">
        <v>2757</v>
      </c>
      <c r="C280" s="2363">
        <v>0.15</v>
      </c>
      <c r="D280" s="2363">
        <v>0.15</v>
      </c>
      <c r="E280" s="2363">
        <v>0.15</v>
      </c>
      <c r="F280" s="2363">
        <v>0.15</v>
      </c>
      <c r="G280" s="2364">
        <v>0.15</v>
      </c>
    </row>
    <row r="281" spans="1:7">
      <c r="A281" s="2373" t="s">
        <v>304</v>
      </c>
      <c r="B281" s="2362" t="s">
        <v>2761</v>
      </c>
      <c r="C281" s="2363">
        <v>0.15</v>
      </c>
      <c r="D281" s="2363">
        <v>0.15</v>
      </c>
      <c r="E281" s="2363">
        <v>0.15</v>
      </c>
      <c r="F281" s="2363">
        <v>0.15</v>
      </c>
      <c r="G281" s="2364">
        <v>0.15</v>
      </c>
    </row>
    <row r="282" spans="1:7">
      <c r="A282" s="2373" t="s">
        <v>304</v>
      </c>
      <c r="B282" s="2362" t="s">
        <v>2765</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2780</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2785</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2795</v>
      </c>
      <c r="C293" s="2363">
        <v>0.15</v>
      </c>
      <c r="D293" s="2363">
        <v>0.15</v>
      </c>
      <c r="E293" s="2363">
        <v>0.15</v>
      </c>
      <c r="F293" s="2363">
        <v>0.14499999999999999</v>
      </c>
      <c r="G293" s="2364">
        <v>0.15</v>
      </c>
    </row>
    <row r="294" spans="1:7">
      <c r="A294" s="2373" t="s">
        <v>304</v>
      </c>
      <c r="B294" s="2362" t="s">
        <v>2797</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2814</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2827</v>
      </c>
      <c r="C302" s="2363">
        <v>0.15</v>
      </c>
      <c r="D302" s="2363">
        <v>0.15</v>
      </c>
      <c r="E302" s="2363">
        <v>0.15</v>
      </c>
      <c r="F302" s="2363">
        <v>0.14699999999999999</v>
      </c>
      <c r="G302" s="2364">
        <v>0.15</v>
      </c>
    </row>
    <row r="303" spans="1:7">
      <c r="A303" s="2373" t="s">
        <v>304</v>
      </c>
      <c r="B303" s="2362" t="s">
        <v>2834</v>
      </c>
      <c r="C303" s="2363">
        <v>0.15</v>
      </c>
      <c r="D303" s="2363">
        <v>0.15</v>
      </c>
      <c r="E303" s="2363">
        <v>0.15</v>
      </c>
      <c r="F303" s="2363">
        <v>0.14199999999999999</v>
      </c>
      <c r="G303" s="2364">
        <v>0.15</v>
      </c>
    </row>
    <row r="304" spans="1:7">
      <c r="A304" s="2373" t="s">
        <v>304</v>
      </c>
      <c r="B304" s="2362" t="s">
        <v>2841</v>
      </c>
      <c r="C304" s="2363">
        <v>0.15</v>
      </c>
      <c r="D304" s="2363">
        <v>0.15</v>
      </c>
      <c r="E304" s="2363">
        <v>0.15</v>
      </c>
      <c r="F304" s="2363">
        <v>0.14499999999999999</v>
      </c>
      <c r="G304" s="2364">
        <v>0.15</v>
      </c>
    </row>
    <row r="305" spans="1:7">
      <c r="A305" s="2373" t="s">
        <v>304</v>
      </c>
      <c r="B305" s="2362" t="s">
        <v>2847</v>
      </c>
      <c r="C305" s="2363">
        <v>0.15</v>
      </c>
      <c r="D305" s="2363">
        <v>0.15</v>
      </c>
      <c r="E305" s="2363">
        <v>0.15</v>
      </c>
      <c r="F305" s="2363">
        <v>0.111</v>
      </c>
      <c r="G305" s="2364">
        <v>0.15</v>
      </c>
    </row>
    <row r="306" spans="1:7">
      <c r="A306" s="2373" t="s">
        <v>304</v>
      </c>
      <c r="B306" s="2362" t="s">
        <v>2854</v>
      </c>
      <c r="C306" s="2363">
        <v>0.15</v>
      </c>
      <c r="D306" s="2363">
        <v>0.15</v>
      </c>
      <c r="E306" s="2363">
        <v>0.15</v>
      </c>
      <c r="F306" s="2363">
        <v>0.126</v>
      </c>
      <c r="G306" s="2364">
        <v>0.15</v>
      </c>
    </row>
    <row r="307" spans="1:7">
      <c r="A307" s="2373" t="s">
        <v>304</v>
      </c>
      <c r="B307" s="2362" t="s">
        <v>2859</v>
      </c>
      <c r="C307" s="2363">
        <v>0.15</v>
      </c>
      <c r="D307" s="2363">
        <v>0.15</v>
      </c>
      <c r="E307" s="2363">
        <v>0.15</v>
      </c>
      <c r="F307" s="2363">
        <v>0.12</v>
      </c>
      <c r="G307" s="2364">
        <v>0.15</v>
      </c>
    </row>
    <row r="308" spans="1:7">
      <c r="A308" s="2373" t="s">
        <v>304</v>
      </c>
      <c r="B308" s="2362" t="s">
        <v>2865</v>
      </c>
      <c r="C308" s="2363">
        <v>0.15</v>
      </c>
      <c r="D308" s="2363">
        <v>0.15</v>
      </c>
      <c r="E308" s="2363">
        <v>0.15</v>
      </c>
      <c r="F308" s="2363">
        <v>0.13</v>
      </c>
      <c r="G308" s="2364">
        <v>0.15</v>
      </c>
    </row>
    <row r="309" spans="1:7">
      <c r="A309" s="2373" t="s">
        <v>304</v>
      </c>
      <c r="B309" s="2362" t="s">
        <v>2869</v>
      </c>
      <c r="C309" s="2363">
        <v>0.15</v>
      </c>
      <c r="D309" s="2363">
        <v>0.15</v>
      </c>
      <c r="E309" s="2363">
        <v>0.15</v>
      </c>
      <c r="F309" s="2363">
        <v>0.14099999999999999</v>
      </c>
      <c r="G309" s="2364">
        <v>0.15</v>
      </c>
    </row>
    <row r="310" spans="1:7">
      <c r="A310" s="2373" t="s">
        <v>304</v>
      </c>
      <c r="B310" s="2362" t="s">
        <v>2874</v>
      </c>
      <c r="C310" s="2363">
        <v>0.15</v>
      </c>
      <c r="D310" s="2363">
        <v>0.15</v>
      </c>
      <c r="E310" s="2363">
        <v>0.15</v>
      </c>
      <c r="F310" s="2363">
        <v>0.15</v>
      </c>
      <c r="G310" s="2364">
        <v>0.15</v>
      </c>
    </row>
    <row r="311" spans="1:7">
      <c r="A311" s="2373" t="s">
        <v>304</v>
      </c>
      <c r="B311" s="2362" t="s">
        <v>2879</v>
      </c>
      <c r="C311" s="2363">
        <v>0.13200000000000001</v>
      </c>
      <c r="D311" s="2363">
        <v>0.13300000000000001</v>
      </c>
      <c r="E311" s="2363">
        <v>0.14499999999999999</v>
      </c>
      <c r="F311" s="2363">
        <v>0.14199999999999999</v>
      </c>
      <c r="G311" s="2364">
        <v>0.14000000000000001</v>
      </c>
    </row>
    <row r="312" spans="1:7">
      <c r="A312" s="2373" t="s">
        <v>304</v>
      </c>
      <c r="B312" s="2362" t="s">
        <v>2884</v>
      </c>
      <c r="C312" s="2363">
        <v>0.13800000000000001</v>
      </c>
      <c r="D312" s="2363">
        <v>0.14000000000000001</v>
      </c>
      <c r="E312" s="2363">
        <v>0.14599999999999999</v>
      </c>
      <c r="F312" s="2363">
        <v>0.14899999999999999</v>
      </c>
      <c r="G312" s="2364">
        <v>0.14199999999999999</v>
      </c>
    </row>
    <row r="313" spans="1:7">
      <c r="A313" s="2373" t="s">
        <v>304</v>
      </c>
      <c r="B313" s="2362" t="s">
        <v>2889</v>
      </c>
      <c r="C313" s="2363">
        <v>0.125</v>
      </c>
      <c r="D313" s="2363">
        <v>0.127</v>
      </c>
      <c r="E313" s="2363">
        <v>0.14399999999999999</v>
      </c>
      <c r="F313" s="2363">
        <v>0.115</v>
      </c>
      <c r="G313" s="2364">
        <v>0.13600000000000001</v>
      </c>
    </row>
    <row r="314" spans="1:7">
      <c r="A314" s="2373" t="s">
        <v>304</v>
      </c>
      <c r="B314" s="2362" t="s">
        <v>3098</v>
      </c>
      <c r="C314" s="2379"/>
      <c r="D314" s="2379"/>
      <c r="E314" s="2379"/>
      <c r="F314" s="2363">
        <v>0.05</v>
      </c>
      <c r="G314" s="2380"/>
    </row>
    <row r="315" spans="1:7">
      <c r="A315" s="2373" t="s">
        <v>304</v>
      </c>
      <c r="B315" s="2362" t="s">
        <v>3099</v>
      </c>
      <c r="C315" s="2379"/>
      <c r="D315" s="2379"/>
      <c r="E315" s="2379"/>
      <c r="F315" s="2363">
        <v>0.05</v>
      </c>
      <c r="G315" s="2380"/>
    </row>
    <row r="316" spans="1:7">
      <c r="A316" s="2373" t="s">
        <v>304</v>
      </c>
      <c r="B316" s="2362" t="s">
        <v>3100</v>
      </c>
      <c r="C316" s="2374"/>
      <c r="D316" s="2374"/>
      <c r="E316" s="2374"/>
      <c r="F316" s="2363">
        <v>0.05</v>
      </c>
      <c r="G316" s="2380"/>
    </row>
    <row r="317" spans="1:7">
      <c r="A317" s="2373" t="s">
        <v>304</v>
      </c>
      <c r="B317" s="2362" t="s">
        <v>3101</v>
      </c>
      <c r="C317" s="2374"/>
      <c r="D317" s="2374"/>
      <c r="E317" s="2374"/>
      <c r="F317" s="2363">
        <v>0.05</v>
      </c>
      <c r="G317" s="2380"/>
    </row>
    <row r="318" spans="1:7">
      <c r="A318" s="2373" t="s">
        <v>304</v>
      </c>
      <c r="B318" s="2362" t="s">
        <v>3102</v>
      </c>
      <c r="C318" s="2374"/>
      <c r="D318" s="2374"/>
      <c r="E318" s="2374"/>
      <c r="F318" s="2363">
        <v>0.05</v>
      </c>
      <c r="G318" s="2380"/>
    </row>
    <row r="319" spans="1:7">
      <c r="A319" s="2373" t="s">
        <v>304</v>
      </c>
      <c r="B319" s="2362" t="s">
        <v>3103</v>
      </c>
      <c r="C319" s="2374"/>
      <c r="D319" s="2374"/>
      <c r="E319" s="2374"/>
      <c r="F319" s="2363">
        <v>0.05</v>
      </c>
      <c r="G319" s="2380"/>
    </row>
    <row r="320" spans="1:7">
      <c r="A320" s="2373" t="s">
        <v>304</v>
      </c>
      <c r="B320" s="2362" t="s">
        <v>3104</v>
      </c>
      <c r="C320" s="2374"/>
      <c r="D320" s="2374"/>
      <c r="E320" s="2374"/>
      <c r="F320" s="2363">
        <v>0.05</v>
      </c>
      <c r="G320" s="2380"/>
    </row>
    <row r="321" spans="1:7">
      <c r="A321" s="2373" t="s">
        <v>304</v>
      </c>
      <c r="B321" s="2362" t="s">
        <v>3105</v>
      </c>
      <c r="C321" s="2374"/>
      <c r="D321" s="2374"/>
      <c r="E321" s="2374"/>
      <c r="F321" s="2363">
        <v>0.05</v>
      </c>
      <c r="G321" s="2380"/>
    </row>
    <row r="322" spans="1:7">
      <c r="A322" s="2373" t="s">
        <v>304</v>
      </c>
      <c r="B322" s="2362" t="s">
        <v>3106</v>
      </c>
      <c r="C322" s="2374"/>
      <c r="D322" s="2374"/>
      <c r="E322" s="2374"/>
      <c r="F322" s="2363">
        <v>0.05</v>
      </c>
      <c r="G322" s="2380"/>
    </row>
    <row r="323" spans="1:7">
      <c r="A323" s="2373" t="s">
        <v>304</v>
      </c>
      <c r="B323" s="2362" t="s">
        <v>3107</v>
      </c>
      <c r="C323" s="2374"/>
      <c r="D323" s="2374"/>
      <c r="E323" s="2374"/>
      <c r="F323" s="2363">
        <v>0.05</v>
      </c>
      <c r="G323" s="2380"/>
    </row>
    <row r="324" spans="1:7">
      <c r="A324" s="2373" t="s">
        <v>304</v>
      </c>
      <c r="B324" s="2362" t="s">
        <v>3108</v>
      </c>
      <c r="C324" s="2374"/>
      <c r="D324" s="2374"/>
      <c r="E324" s="2374"/>
      <c r="F324" s="2363">
        <v>0.05</v>
      </c>
      <c r="G324" s="2380"/>
    </row>
    <row r="325" spans="1:7">
      <c r="A325" s="2373" t="s">
        <v>304</v>
      </c>
      <c r="B325" s="2362" t="s">
        <v>3109</v>
      </c>
      <c r="C325" s="2374"/>
      <c r="D325" s="2374"/>
      <c r="E325" s="2374"/>
      <c r="F325" s="2363">
        <v>0.05</v>
      </c>
      <c r="G325" s="2380"/>
    </row>
    <row r="326" spans="1:7" ht="14.25" thickBot="1">
      <c r="A326" s="2376" t="s">
        <v>304</v>
      </c>
      <c r="B326" s="2366" t="s">
        <v>3110</v>
      </c>
      <c r="C326" s="2368"/>
      <c r="D326" s="2368"/>
      <c r="E326" s="2368"/>
      <c r="F326" s="2367">
        <v>0.05</v>
      </c>
      <c r="G326" s="2381"/>
    </row>
    <row r="327" spans="1:7">
      <c r="A327" s="2372" t="s">
        <v>305</v>
      </c>
      <c r="B327" s="2358" t="s">
        <v>2742</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2754</v>
      </c>
      <c r="C329" s="2363">
        <v>0.15</v>
      </c>
      <c r="D329" s="2363">
        <v>0.15</v>
      </c>
      <c r="E329" s="2363">
        <v>0.15</v>
      </c>
      <c r="F329" s="2363">
        <v>0.15</v>
      </c>
      <c r="G329" s="2364">
        <v>0.15</v>
      </c>
    </row>
    <row r="330" spans="1:7">
      <c r="A330" s="2373" t="s">
        <v>305</v>
      </c>
      <c r="B330" s="2362" t="s">
        <v>2758</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2766</v>
      </c>
      <c r="C332" s="2363">
        <v>0.15</v>
      </c>
      <c r="D332" s="2363">
        <v>0.15</v>
      </c>
      <c r="E332" s="2363">
        <v>0.15</v>
      </c>
      <c r="F332" s="2363">
        <v>0.15</v>
      </c>
      <c r="G332" s="2364">
        <v>0.15</v>
      </c>
    </row>
    <row r="333" spans="1:7">
      <c r="A333" s="2373" t="s">
        <v>305</v>
      </c>
      <c r="B333" s="2362" t="s">
        <v>2770</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2776</v>
      </c>
      <c r="C336" s="2363">
        <v>0.15</v>
      </c>
      <c r="D336" s="2363">
        <v>0.15</v>
      </c>
      <c r="E336" s="2363">
        <v>0.15</v>
      </c>
      <c r="F336" s="2363">
        <v>0.14199999999999999</v>
      </c>
      <c r="G336" s="2364">
        <v>0.15</v>
      </c>
    </row>
    <row r="337" spans="1:7">
      <c r="A337" s="2373" t="s">
        <v>305</v>
      </c>
      <c r="B337" s="2362" t="s">
        <v>2781</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2788</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2793</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2801</v>
      </c>
      <c r="C345" s="2363">
        <v>0.15</v>
      </c>
      <c r="D345" s="2363">
        <v>0.15</v>
      </c>
      <c r="E345" s="2363">
        <v>0.15</v>
      </c>
      <c r="F345" s="2363">
        <v>0.13800000000000001</v>
      </c>
      <c r="G345" s="2364">
        <v>0.15</v>
      </c>
    </row>
    <row r="346" spans="1:7">
      <c r="A346" s="2373" t="s">
        <v>305</v>
      </c>
      <c r="B346" s="2362" t="s">
        <v>2803</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2810</v>
      </c>
      <c r="C348" s="2363">
        <v>0.15</v>
      </c>
      <c r="D348" s="2363">
        <v>0.15</v>
      </c>
      <c r="E348" s="2363">
        <v>0.15</v>
      </c>
      <c r="F348" s="2363">
        <v>0.14399999999999999</v>
      </c>
      <c r="G348" s="2364">
        <v>0.15</v>
      </c>
    </row>
    <row r="349" spans="1:7">
      <c r="A349" s="2373" t="s">
        <v>305</v>
      </c>
      <c r="B349" s="2362" t="s">
        <v>2815</v>
      </c>
      <c r="C349" s="2363">
        <v>0.15</v>
      </c>
      <c r="D349" s="2363">
        <v>0.15</v>
      </c>
      <c r="E349" s="2363">
        <v>0.15</v>
      </c>
      <c r="F349" s="2363">
        <v>0.15</v>
      </c>
      <c r="G349" s="2364">
        <v>0.15</v>
      </c>
    </row>
    <row r="350" spans="1:7">
      <c r="A350" s="2373" t="s">
        <v>305</v>
      </c>
      <c r="B350" s="2362" t="s">
        <v>2818</v>
      </c>
      <c r="C350" s="2363">
        <v>0.15</v>
      </c>
      <c r="D350" s="2363">
        <v>0.15</v>
      </c>
      <c r="E350" s="2363">
        <v>0.15</v>
      </c>
      <c r="F350" s="2363">
        <v>0.14699999999999999</v>
      </c>
      <c r="G350" s="2364">
        <v>0.15</v>
      </c>
    </row>
    <row r="351" spans="1:7">
      <c r="A351" s="2373" t="s">
        <v>305</v>
      </c>
      <c r="B351" s="2362" t="s">
        <v>2823</v>
      </c>
      <c r="C351" s="2363">
        <v>0.15</v>
      </c>
      <c r="D351" s="2363">
        <v>0.15</v>
      </c>
      <c r="E351" s="2363">
        <v>0.15</v>
      </c>
      <c r="F351" s="2363">
        <v>0.13</v>
      </c>
      <c r="G351" s="2364">
        <v>0.15</v>
      </c>
    </row>
    <row r="352" spans="1:7">
      <c r="A352" s="2373" t="s">
        <v>305</v>
      </c>
      <c r="B352" s="2362" t="s">
        <v>2828</v>
      </c>
      <c r="C352" s="2363">
        <v>0.15</v>
      </c>
      <c r="D352" s="2363">
        <v>0.15</v>
      </c>
      <c r="E352" s="2363">
        <v>0.15</v>
      </c>
      <c r="F352" s="2363">
        <v>0.14599999999999999</v>
      </c>
      <c r="G352" s="2364">
        <v>0.15</v>
      </c>
    </row>
    <row r="353" spans="1:7">
      <c r="A353" s="2373" t="s">
        <v>305</v>
      </c>
      <c r="B353" s="2362" t="s">
        <v>2835</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2848</v>
      </c>
      <c r="C355" s="2363">
        <v>0.15</v>
      </c>
      <c r="D355" s="2363">
        <v>0.15</v>
      </c>
      <c r="E355" s="2363">
        <v>0.15</v>
      </c>
      <c r="F355" s="2363">
        <v>0.15</v>
      </c>
      <c r="G355" s="2364">
        <v>0.15</v>
      </c>
    </row>
    <row r="356" spans="1:7">
      <c r="A356" s="2373" t="s">
        <v>305</v>
      </c>
      <c r="B356" s="2362" t="s">
        <v>2855</v>
      </c>
      <c r="C356" s="2363">
        <v>0.15</v>
      </c>
      <c r="D356" s="2363">
        <v>0.15</v>
      </c>
      <c r="E356" s="2363">
        <v>0.15</v>
      </c>
      <c r="F356" s="2363">
        <v>0.15</v>
      </c>
      <c r="G356" s="2364">
        <v>0.15</v>
      </c>
    </row>
    <row r="357" spans="1:7" ht="14.25" thickBot="1">
      <c r="A357" s="2376" t="s">
        <v>305</v>
      </c>
      <c r="B357" s="2366" t="s">
        <v>2860</v>
      </c>
      <c r="C357" s="2367">
        <v>0.126</v>
      </c>
      <c r="D357" s="2367">
        <v>0.127</v>
      </c>
      <c r="E357" s="2367">
        <v>0.14299999999999999</v>
      </c>
      <c r="F357" s="2367">
        <v>0.125</v>
      </c>
      <c r="G357" s="2369">
        <v>0.129</v>
      </c>
    </row>
    <row r="358" spans="1:7">
      <c r="A358" s="2372" t="s">
        <v>2729</v>
      </c>
      <c r="B358" s="2358" t="s">
        <v>2743</v>
      </c>
      <c r="C358" s="2359">
        <v>0.15</v>
      </c>
      <c r="D358" s="2359">
        <v>0.15</v>
      </c>
      <c r="E358" s="2359">
        <v>0.15</v>
      </c>
      <c r="F358" s="2359">
        <v>0.15</v>
      </c>
      <c r="G358" s="2360">
        <v>0.15</v>
      </c>
    </row>
    <row r="359" spans="1:7">
      <c r="A359" s="2373" t="s">
        <v>2729</v>
      </c>
      <c r="B359" s="2362" t="s">
        <v>2749</v>
      </c>
      <c r="C359" s="2363">
        <v>0.1</v>
      </c>
      <c r="D359" s="2363">
        <v>0.1</v>
      </c>
      <c r="E359" s="2363">
        <v>0.1</v>
      </c>
      <c r="F359" s="2363">
        <v>0.1</v>
      </c>
      <c r="G359" s="2364">
        <v>0.1</v>
      </c>
    </row>
    <row r="360" spans="1:7">
      <c r="A360" s="2373" t="s">
        <v>2729</v>
      </c>
      <c r="B360" s="2362" t="s">
        <v>2755</v>
      </c>
      <c r="C360" s="2363">
        <v>0.15</v>
      </c>
      <c r="D360" s="2363">
        <v>0.15</v>
      </c>
      <c r="E360" s="2363">
        <v>0.15</v>
      </c>
      <c r="F360" s="2363">
        <v>0.14899999999999999</v>
      </c>
      <c r="G360" s="2364">
        <v>0.15</v>
      </c>
    </row>
    <row r="361" spans="1:7">
      <c r="A361" s="2373" t="s">
        <v>2729</v>
      </c>
      <c r="B361" s="2362" t="s">
        <v>151</v>
      </c>
      <c r="C361" s="2363">
        <v>0.15</v>
      </c>
      <c r="D361" s="2363">
        <v>0.15</v>
      </c>
      <c r="E361" s="2363">
        <v>0.15</v>
      </c>
      <c r="F361" s="2363">
        <v>0.115</v>
      </c>
      <c r="G361" s="2364">
        <v>0.15</v>
      </c>
    </row>
    <row r="362" spans="1:7">
      <c r="A362" s="2373" t="s">
        <v>2729</v>
      </c>
      <c r="B362" s="2362" t="s">
        <v>2762</v>
      </c>
      <c r="C362" s="2363">
        <v>0.15</v>
      </c>
      <c r="D362" s="2363">
        <v>0.15</v>
      </c>
      <c r="E362" s="2363">
        <v>0.15</v>
      </c>
      <c r="F362" s="2363">
        <v>0.106</v>
      </c>
      <c r="G362" s="2364">
        <v>0.15</v>
      </c>
    </row>
    <row r="363" spans="1:7">
      <c r="A363" s="2373" t="s">
        <v>2729</v>
      </c>
      <c r="B363" s="2362" t="s">
        <v>2767</v>
      </c>
      <c r="C363" s="2363">
        <v>0.15</v>
      </c>
      <c r="D363" s="2363">
        <v>0.15</v>
      </c>
      <c r="E363" s="2363">
        <v>0.15</v>
      </c>
      <c r="F363" s="2363">
        <v>0.14699999999999999</v>
      </c>
      <c r="G363" s="2364">
        <v>0.15</v>
      </c>
    </row>
    <row r="364" spans="1:7">
      <c r="A364" s="2373" t="s">
        <v>2729</v>
      </c>
      <c r="B364" s="2362" t="s">
        <v>2771</v>
      </c>
      <c r="C364" s="2363">
        <v>0.15</v>
      </c>
      <c r="D364" s="2363">
        <v>0.15</v>
      </c>
      <c r="E364" s="2363">
        <v>0.15</v>
      </c>
      <c r="F364" s="2363">
        <v>0.14799999999999999</v>
      </c>
      <c r="G364" s="2364">
        <v>0.15</v>
      </c>
    </row>
    <row r="365" spans="1:7">
      <c r="A365" s="2373" t="s">
        <v>2729</v>
      </c>
      <c r="B365" s="2362" t="s">
        <v>198</v>
      </c>
      <c r="C365" s="2363">
        <v>0.15</v>
      </c>
      <c r="D365" s="2363">
        <v>0.15</v>
      </c>
      <c r="E365" s="2363">
        <v>0.15</v>
      </c>
      <c r="F365" s="2363">
        <v>0.15</v>
      </c>
      <c r="G365" s="2364">
        <v>0.15</v>
      </c>
    </row>
    <row r="366" spans="1:7">
      <c r="A366" s="2373" t="s">
        <v>2729</v>
      </c>
      <c r="B366" s="2362" t="s">
        <v>2774</v>
      </c>
      <c r="C366" s="2363">
        <v>0.15</v>
      </c>
      <c r="D366" s="2363">
        <v>0.15</v>
      </c>
      <c r="E366" s="2363">
        <v>0.15</v>
      </c>
      <c r="F366" s="2363">
        <v>0.15</v>
      </c>
      <c r="G366" s="2364">
        <v>0.15</v>
      </c>
    </row>
    <row r="367" spans="1:7">
      <c r="A367" s="2373" t="s">
        <v>2729</v>
      </c>
      <c r="B367" s="2362" t="s">
        <v>2777</v>
      </c>
      <c r="C367" s="2363">
        <v>0.15</v>
      </c>
      <c r="D367" s="2363">
        <v>0.15</v>
      </c>
      <c r="E367" s="2363">
        <v>0.15</v>
      </c>
      <c r="F367" s="2363">
        <v>0.14699999999999999</v>
      </c>
      <c r="G367" s="2364">
        <v>0.15</v>
      </c>
    </row>
    <row r="368" spans="1:7">
      <c r="A368" s="2373" t="s">
        <v>2729</v>
      </c>
      <c r="B368" s="2362" t="s">
        <v>2782</v>
      </c>
      <c r="C368" s="2363">
        <v>0.15</v>
      </c>
      <c r="D368" s="2363">
        <v>0.15</v>
      </c>
      <c r="E368" s="2363">
        <v>0.15</v>
      </c>
      <c r="F368" s="2363">
        <v>0.13600000000000001</v>
      </c>
      <c r="G368" s="2364">
        <v>0.15</v>
      </c>
    </row>
    <row r="369" spans="1:7">
      <c r="A369" s="2373" t="s">
        <v>2729</v>
      </c>
      <c r="B369" s="2362" t="s">
        <v>212</v>
      </c>
      <c r="C369" s="2363">
        <v>0.15</v>
      </c>
      <c r="D369" s="2363">
        <v>0.15</v>
      </c>
      <c r="E369" s="2363">
        <v>0.15</v>
      </c>
      <c r="F369" s="2363">
        <v>0.14399999999999999</v>
      </c>
      <c r="G369" s="2364">
        <v>0.15</v>
      </c>
    </row>
    <row r="370" spans="1:7">
      <c r="A370" s="2373" t="s">
        <v>2729</v>
      </c>
      <c r="B370" s="2362" t="s">
        <v>219</v>
      </c>
      <c r="C370" s="2363">
        <v>0.15</v>
      </c>
      <c r="D370" s="2363">
        <v>0.15</v>
      </c>
      <c r="E370" s="2363">
        <v>0.15</v>
      </c>
      <c r="F370" s="2363">
        <v>0.14599999999999999</v>
      </c>
      <c r="G370" s="2364">
        <v>0.15</v>
      </c>
    </row>
    <row r="371" spans="1:7">
      <c r="A371" s="2373" t="s">
        <v>2729</v>
      </c>
      <c r="B371" s="2362" t="s">
        <v>227</v>
      </c>
      <c r="C371" s="2363">
        <v>0.15</v>
      </c>
      <c r="D371" s="2363">
        <v>0.15</v>
      </c>
      <c r="E371" s="2363">
        <v>0.15</v>
      </c>
      <c r="F371" s="2363">
        <v>0.12</v>
      </c>
      <c r="G371" s="2364">
        <v>0.15</v>
      </c>
    </row>
    <row r="372" spans="1:7">
      <c r="A372" s="2373" t="s">
        <v>2729</v>
      </c>
      <c r="B372" s="2362" t="s">
        <v>2790</v>
      </c>
      <c r="C372" s="2363">
        <v>0.15</v>
      </c>
      <c r="D372" s="2363">
        <v>0.15</v>
      </c>
      <c r="E372" s="2363">
        <v>0.15</v>
      </c>
      <c r="F372" s="2363">
        <v>0.14299999999999999</v>
      </c>
      <c r="G372" s="2364">
        <v>0.15</v>
      </c>
    </row>
    <row r="373" spans="1:7">
      <c r="A373" s="2373" t="s">
        <v>2729</v>
      </c>
      <c r="B373" s="2362" t="s">
        <v>256</v>
      </c>
      <c r="C373" s="2363">
        <v>0.15</v>
      </c>
      <c r="D373" s="2363">
        <v>0.15</v>
      </c>
      <c r="E373" s="2363">
        <v>0.15</v>
      </c>
      <c r="F373" s="2363">
        <v>0.14599999999999999</v>
      </c>
      <c r="G373" s="2364">
        <v>0.15</v>
      </c>
    </row>
    <row r="374" spans="1:7">
      <c r="A374" s="2373" t="s">
        <v>2729</v>
      </c>
      <c r="B374" s="2362" t="s">
        <v>264</v>
      </c>
      <c r="C374" s="2363">
        <v>0.15</v>
      </c>
      <c r="D374" s="2363">
        <v>0.15</v>
      </c>
      <c r="E374" s="2363">
        <v>0.15</v>
      </c>
      <c r="F374" s="2363">
        <v>0.14399999999999999</v>
      </c>
      <c r="G374" s="2364">
        <v>0.15</v>
      </c>
    </row>
    <row r="375" spans="1:7">
      <c r="A375" s="2373" t="s">
        <v>2729</v>
      </c>
      <c r="B375" s="2362" t="s">
        <v>2798</v>
      </c>
      <c r="C375" s="2363">
        <v>0.15</v>
      </c>
      <c r="D375" s="2363">
        <v>0.15</v>
      </c>
      <c r="E375" s="2363">
        <v>0.15</v>
      </c>
      <c r="F375" s="2363">
        <v>0.13</v>
      </c>
      <c r="G375" s="2364">
        <v>0.15</v>
      </c>
    </row>
    <row r="376" spans="1:7">
      <c r="A376" s="2373" t="s">
        <v>2729</v>
      </c>
      <c r="B376" s="2362" t="s">
        <v>275</v>
      </c>
      <c r="C376" s="2363">
        <v>0.15</v>
      </c>
      <c r="D376" s="2363">
        <v>0.15</v>
      </c>
      <c r="E376" s="2363">
        <v>0.15</v>
      </c>
      <c r="F376" s="2363">
        <v>0.14199999999999999</v>
      </c>
      <c r="G376" s="2364">
        <v>0.15</v>
      </c>
    </row>
    <row r="377" spans="1:7" ht="14.25" thickBot="1">
      <c r="A377" s="2376" t="s">
        <v>2729</v>
      </c>
      <c r="B377" s="2366" t="s">
        <v>2804</v>
      </c>
      <c r="C377" s="2367">
        <v>0.15</v>
      </c>
      <c r="D377" s="2367">
        <v>0.15</v>
      </c>
      <c r="E377" s="2367">
        <v>0.15</v>
      </c>
      <c r="F377" s="2367">
        <v>0.14000000000000001</v>
      </c>
      <c r="G377" s="2369">
        <v>0.15</v>
      </c>
    </row>
    <row r="378" spans="1:7">
      <c r="A378" s="2372" t="s">
        <v>2730</v>
      </c>
      <c r="B378" s="2358" t="s">
        <v>2744</v>
      </c>
      <c r="C378" s="2359">
        <v>0.15</v>
      </c>
      <c r="D378" s="2359">
        <v>0.15</v>
      </c>
      <c r="E378" s="2359">
        <v>0.15</v>
      </c>
      <c r="F378" s="2359">
        <v>0.107</v>
      </c>
      <c r="G378" s="2360">
        <v>0.15</v>
      </c>
    </row>
    <row r="379" spans="1:7">
      <c r="A379" s="2373" t="s">
        <v>2730</v>
      </c>
      <c r="B379" s="2362" t="s">
        <v>2750</v>
      </c>
      <c r="C379" s="2363">
        <v>0.15</v>
      </c>
      <c r="D379" s="2363">
        <v>0.15</v>
      </c>
      <c r="E379" s="2363">
        <v>0.15</v>
      </c>
      <c r="F379" s="2363">
        <v>0.115</v>
      </c>
      <c r="G379" s="2364">
        <v>0.14899999999999999</v>
      </c>
    </row>
    <row r="380" spans="1:7">
      <c r="A380" s="2373" t="s">
        <v>2730</v>
      </c>
      <c r="B380" s="2362" t="s">
        <v>2756</v>
      </c>
      <c r="C380" s="2363">
        <v>0.15</v>
      </c>
      <c r="D380" s="2363">
        <v>0.15</v>
      </c>
      <c r="E380" s="2363">
        <v>0.15</v>
      </c>
      <c r="F380" s="2363">
        <v>0.1</v>
      </c>
      <c r="G380" s="2364">
        <v>0.14799999999999999</v>
      </c>
    </row>
    <row r="381" spans="1:7">
      <c r="A381" s="2373" t="s">
        <v>2730</v>
      </c>
      <c r="B381" s="2362" t="s">
        <v>2759</v>
      </c>
      <c r="C381" s="2363">
        <v>0.15</v>
      </c>
      <c r="D381" s="2363">
        <v>0.15</v>
      </c>
      <c r="E381" s="2363">
        <v>0.15</v>
      </c>
      <c r="F381" s="2363">
        <v>0.126</v>
      </c>
      <c r="G381" s="2364">
        <v>0.15</v>
      </c>
    </row>
    <row r="382" spans="1:7">
      <c r="A382" s="2373" t="s">
        <v>2730</v>
      </c>
      <c r="B382" s="2362" t="s">
        <v>2763</v>
      </c>
      <c r="C382" s="2363">
        <v>0.15</v>
      </c>
      <c r="D382" s="2363">
        <v>0.15</v>
      </c>
      <c r="E382" s="2363">
        <v>0.15</v>
      </c>
      <c r="F382" s="2363">
        <v>0.15</v>
      </c>
      <c r="G382" s="2364">
        <v>0.15</v>
      </c>
    </row>
    <row r="383" spans="1:7">
      <c r="A383" s="2373" t="s">
        <v>2730</v>
      </c>
      <c r="B383" s="2362" t="s">
        <v>2768</v>
      </c>
      <c r="C383" s="2363">
        <v>0.15</v>
      </c>
      <c r="D383" s="2363">
        <v>0.15</v>
      </c>
      <c r="E383" s="2363">
        <v>0.15</v>
      </c>
      <c r="F383" s="2363">
        <v>0.14699999999999999</v>
      </c>
      <c r="G383" s="2364">
        <v>0.15</v>
      </c>
    </row>
    <row r="384" spans="1:7" ht="14.25" thickBot="1">
      <c r="A384" s="2383" t="s">
        <v>2730</v>
      </c>
      <c r="B384" s="2384" t="s">
        <v>2772</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8"/>
  </cols>
  <sheetData>
    <row r="1" spans="1:6">
      <c r="A1" s="4693" t="s">
        <v>3111</v>
      </c>
      <c r="B1" s="4693"/>
      <c r="C1" s="4693"/>
      <c r="D1" s="4693"/>
      <c r="E1" s="4693"/>
      <c r="F1" s="4694"/>
    </row>
    <row r="2" spans="1:6">
      <c r="A2" s="2387" t="s">
        <v>3112</v>
      </c>
    </row>
    <row r="3" spans="1:6">
      <c r="A3" s="2387" t="s">
        <v>3113</v>
      </c>
      <c r="F3" s="2388" t="s">
        <v>3114</v>
      </c>
    </row>
    <row r="4" spans="1:6">
      <c r="A4" s="2389" t="s">
        <v>659</v>
      </c>
      <c r="B4" s="2389" t="s">
        <v>660</v>
      </c>
      <c r="C4" s="2389" t="s">
        <v>19</v>
      </c>
      <c r="D4" s="2389" t="s">
        <v>661</v>
      </c>
      <c r="E4" s="2389" t="s">
        <v>3</v>
      </c>
      <c r="F4" s="2389" t="s">
        <v>3115</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79" t="str">
        <f>IF(项目基本情况!B9="房地产市场价值","估价结果一览表","结果表-2")</f>
        <v>结果表-2</v>
      </c>
      <c r="B1" s="4279"/>
      <c r="C1" s="4279"/>
      <c r="D1" s="4279"/>
      <c r="E1" s="4279"/>
      <c r="F1" s="4279"/>
      <c r="G1" s="4279"/>
      <c r="H1" s="4279"/>
      <c r="I1" s="4279"/>
    </row>
    <row r="2" spans="1:9" ht="30" customHeight="1" thickTop="1">
      <c r="A2" s="4280" t="s">
        <v>912</v>
      </c>
      <c r="B2" s="4280" t="s">
        <v>913</v>
      </c>
      <c r="C2" s="4280" t="s">
        <v>914</v>
      </c>
      <c r="D2" s="4280" t="str">
        <f>结果表!D116</f>
        <v>出让国有建设用地使用权价值</v>
      </c>
      <c r="E2" s="4280"/>
      <c r="F2" s="4280">
        <f>结果表!F116</f>
        <v>0</v>
      </c>
      <c r="G2" s="4280"/>
      <c r="H2" s="4280" t="str">
        <f>IF(项目基本情况!B9="房地产市场价值","房地产市场价值","房地产价值")</f>
        <v>房地产价值</v>
      </c>
      <c r="I2" s="4280"/>
    </row>
    <row r="3" spans="1:9" ht="15">
      <c r="A3" s="4281"/>
      <c r="B3" s="4281"/>
      <c r="C3" s="4281"/>
      <c r="D3" s="544" t="s">
        <v>909</v>
      </c>
      <c r="E3" s="544" t="s">
        <v>915</v>
      </c>
      <c r="F3" s="544" t="s">
        <v>909</v>
      </c>
      <c r="G3" s="544" t="s">
        <v>910</v>
      </c>
      <c r="H3" s="544" t="s">
        <v>909</v>
      </c>
      <c r="I3" s="544" t="s">
        <v>910</v>
      </c>
    </row>
    <row r="4" spans="1:9" ht="15">
      <c r="A4" s="1047" t="str">
        <f>项目基本情况!S2</f>
        <v>北京市房地产</v>
      </c>
      <c r="B4" s="544">
        <f>项目基本情况!C17</f>
        <v>138.79</v>
      </c>
      <c r="C4" s="544">
        <f>项目基本情况!C18</f>
        <v>0</v>
      </c>
      <c r="D4" s="544" t="e">
        <f ca="1">结果表!E118</f>
        <v>#REF!</v>
      </c>
      <c r="E4" s="544" t="e">
        <f ca="1">结果表!D118</f>
        <v>#REF!</v>
      </c>
      <c r="F4" s="544" t="e">
        <f ca="1">结果表!G118</f>
        <v>#REF!</v>
      </c>
      <c r="G4" s="544" t="e">
        <f ca="1">结果表!F118</f>
        <v>#REF!</v>
      </c>
      <c r="H4" s="544">
        <f ca="1">结果表!I118</f>
        <v>475.96640000000002</v>
      </c>
      <c r="I4" s="544">
        <f ca="1">结果表!H118</f>
        <v>2470927</v>
      </c>
    </row>
    <row r="5" spans="1:9" ht="30" customHeight="1">
      <c r="A5" s="4281" t="s">
        <v>911</v>
      </c>
      <c r="B5" s="4281"/>
      <c r="C5" s="4281"/>
      <c r="D5" s="4281" t="e">
        <f ca="1">结果表!D119</f>
        <v>#REF!</v>
      </c>
      <c r="E5" s="4281"/>
      <c r="F5" s="4281" t="e">
        <f ca="1">结果表!F119</f>
        <v>#REF!</v>
      </c>
      <c r="G5" s="4281"/>
      <c r="H5" s="4281" t="str">
        <f ca="1">结果表!H119</f>
        <v>肆佰柒拾伍万玖仟陆佰陆拾肆元整</v>
      </c>
      <c r="I5" s="4281"/>
    </row>
    <row r="6" spans="1:9" ht="15.75">
      <c r="A6" s="4282" t="str">
        <f>结果表!A120</f>
        <v>估价师知悉的法定优先受偿款</v>
      </c>
      <c r="B6" s="4282"/>
      <c r="C6" s="4282"/>
      <c r="D6" s="4282">
        <f>结果表!H120</f>
        <v>0</v>
      </c>
      <c r="E6" s="4282"/>
      <c r="F6" s="4282"/>
      <c r="G6" s="4282"/>
      <c r="H6" s="4282"/>
      <c r="I6" s="4282"/>
    </row>
    <row r="7" spans="1:9" ht="15">
      <c r="A7" s="4281" t="s">
        <v>911</v>
      </c>
      <c r="B7" s="4281"/>
      <c r="C7" s="4281"/>
      <c r="D7" s="4283" t="str">
        <f>结果表!H121</f>
        <v>零元整</v>
      </c>
      <c r="E7" s="4284"/>
      <c r="F7" s="4284"/>
      <c r="G7" s="4284"/>
      <c r="H7" s="4284"/>
      <c r="I7" s="4285"/>
    </row>
    <row r="8" spans="1:9" ht="15.75">
      <c r="A8" s="4282" t="str">
        <f>结果表!A122</f>
        <v>房地产抵押价值</v>
      </c>
      <c r="B8" s="4282"/>
      <c r="C8" s="4282"/>
      <c r="D8" s="4282">
        <f ca="1">结果表!H122</f>
        <v>475.96640000000002</v>
      </c>
      <c r="E8" s="4282"/>
      <c r="F8" s="4282"/>
      <c r="G8" s="4282"/>
      <c r="H8" s="4282"/>
      <c r="I8" s="4282"/>
    </row>
    <row r="9" spans="1:9" ht="15">
      <c r="A9" s="4281" t="s">
        <v>911</v>
      </c>
      <c r="B9" s="4281"/>
      <c r="C9" s="4281"/>
      <c r="D9" s="4281" t="str">
        <f ca="1">结果表!H123</f>
        <v>肆佰柒拾伍万玖仟陆佰陆拾肆元整</v>
      </c>
      <c r="E9" s="4281"/>
      <c r="F9" s="4281"/>
      <c r="G9" s="4281"/>
      <c r="H9" s="4281"/>
      <c r="I9" s="4281"/>
    </row>
    <row r="10" spans="1:9" ht="15.75">
      <c r="A10" s="4282" t="str">
        <f>结果表!A124</f>
        <v/>
      </c>
      <c r="B10" s="4282"/>
      <c r="C10" s="4282"/>
      <c r="D10" s="4282" t="str">
        <f>结果表!H124</f>
        <v>——</v>
      </c>
      <c r="E10" s="4282"/>
      <c r="F10" s="4282"/>
      <c r="G10" s="4282"/>
      <c r="H10" s="4282"/>
      <c r="I10" s="4282"/>
    </row>
    <row r="11" spans="1:9" ht="15">
      <c r="A11" s="4281" t="s">
        <v>911</v>
      </c>
      <c r="B11" s="4281"/>
      <c r="C11" s="4281"/>
      <c r="D11" s="4281" t="e">
        <f>结果表!H125</f>
        <v>#VALUE!</v>
      </c>
      <c r="E11" s="4281"/>
      <c r="F11" s="4281"/>
      <c r="G11" s="4281"/>
      <c r="H11" s="4281"/>
      <c r="I11" s="4281"/>
    </row>
    <row r="12" spans="1:9" ht="15.75">
      <c r="A12" s="4282" t="str">
        <f>结果表!A126</f>
        <v/>
      </c>
      <c r="B12" s="4282"/>
      <c r="C12" s="4282"/>
      <c r="D12" s="4282" t="str">
        <f>结果表!H126</f>
        <v>——</v>
      </c>
      <c r="E12" s="4282"/>
      <c r="F12" s="4282"/>
      <c r="G12" s="4282"/>
      <c r="H12" s="4282"/>
      <c r="I12" s="4282"/>
    </row>
    <row r="13" spans="1:9" ht="15.75" thickBot="1">
      <c r="A13" s="4286" t="s">
        <v>911</v>
      </c>
      <c r="B13" s="4286"/>
      <c r="C13" s="4286"/>
      <c r="D13" s="4286" t="e">
        <f>结果表!H127</f>
        <v>#VALUE!</v>
      </c>
      <c r="E13" s="4286"/>
      <c r="F13" s="4286"/>
      <c r="G13" s="4286"/>
      <c r="H13" s="4286"/>
      <c r="I13" s="4286"/>
    </row>
    <row r="14" spans="1:9" ht="15" thickTop="1">
      <c r="A14" s="4287" t="s">
        <v>916</v>
      </c>
      <c r="B14" s="4287"/>
      <c r="C14" s="4287"/>
      <c r="D14" s="4287"/>
      <c r="E14" s="4287"/>
      <c r="F14" s="4287"/>
      <c r="G14" s="4287"/>
      <c r="H14" s="4287"/>
      <c r="I14" s="4287"/>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326">
        <f>基准地价修正!G23</f>
        <v>46050</v>
      </c>
      <c r="B1" s="2318" t="s">
        <v>3254</v>
      </c>
      <c r="C1" s="2319"/>
      <c r="D1" s="2319"/>
      <c r="E1" s="2319"/>
      <c r="F1" s="2319"/>
      <c r="G1" s="2319"/>
      <c r="H1" s="2319"/>
      <c r="I1" s="2319"/>
      <c r="J1" s="2293"/>
      <c r="K1" s="2319" t="s">
        <v>448</v>
      </c>
      <c r="L1" s="2319"/>
      <c r="M1" s="2319"/>
      <c r="N1" s="2319"/>
      <c r="O1" s="2319"/>
      <c r="P1" s="2319"/>
      <c r="Q1" s="2293"/>
      <c r="R1" s="4695" t="s">
        <v>450</v>
      </c>
      <c r="S1" s="4696"/>
      <c r="T1" s="4696"/>
      <c r="U1" s="4696"/>
      <c r="V1" s="4696"/>
      <c r="W1" s="4696"/>
      <c r="X1" s="2293"/>
      <c r="Y1" s="4695" t="s">
        <v>451</v>
      </c>
      <c r="Z1" s="4696"/>
      <c r="AA1" s="4696"/>
      <c r="AB1" s="4696"/>
      <c r="AC1" s="4696"/>
      <c r="AD1" s="4696"/>
    </row>
    <row r="2" spans="1:44" s="1592" customFormat="1" ht="14.25" thickBot="1">
      <c r="B2" s="2279"/>
      <c r="C2" s="2280"/>
      <c r="D2" s="1593" t="s">
        <v>2689</v>
      </c>
      <c r="E2" s="1594" t="s">
        <v>2690</v>
      </c>
      <c r="F2" s="1594" t="s">
        <v>2691</v>
      </c>
      <c r="G2" s="1594" t="s">
        <v>2692</v>
      </c>
      <c r="H2" s="1594" t="s">
        <v>2693</v>
      </c>
      <c r="I2" s="1594" t="s">
        <v>2510</v>
      </c>
      <c r="J2" s="2281"/>
      <c r="K2" s="1593" t="s">
        <v>2689</v>
      </c>
      <c r="L2" s="1594" t="s">
        <v>2690</v>
      </c>
      <c r="M2" s="1594" t="s">
        <v>2691</v>
      </c>
      <c r="N2" s="1594" t="s">
        <v>2692</v>
      </c>
      <c r="O2" s="1594" t="s">
        <v>2694</v>
      </c>
      <c r="P2" s="1594" t="s">
        <v>2510</v>
      </c>
      <c r="Q2" s="2281"/>
      <c r="R2" s="1593" t="s">
        <v>2689</v>
      </c>
      <c r="S2" s="1594" t="s">
        <v>2690</v>
      </c>
      <c r="T2" s="1594" t="s">
        <v>2691</v>
      </c>
      <c r="U2" s="1594" t="s">
        <v>2695</v>
      </c>
      <c r="V2" s="1594" t="s">
        <v>2696</v>
      </c>
      <c r="W2" s="1594" t="s">
        <v>2510</v>
      </c>
      <c r="X2" s="2281"/>
      <c r="Y2" s="1593" t="s">
        <v>2689</v>
      </c>
      <c r="Z2" s="1594" t="s">
        <v>2690</v>
      </c>
      <c r="AA2" s="1594" t="s">
        <v>2691</v>
      </c>
      <c r="AB2" s="1594" t="s">
        <v>2697</v>
      </c>
      <c r="AC2" s="1594" t="s">
        <v>2696</v>
      </c>
      <c r="AD2" s="1594" t="s">
        <v>2510</v>
      </c>
      <c r="AF2" t="s">
        <v>3261</v>
      </c>
      <c r="AG2" t="s">
        <v>660</v>
      </c>
      <c r="AH2" t="s">
        <v>19</v>
      </c>
      <c r="AI2" t="s">
        <v>3262</v>
      </c>
      <c r="AJ2" t="s">
        <v>3</v>
      </c>
      <c r="AK2" t="s">
        <v>3263</v>
      </c>
      <c r="AM2" t="s">
        <v>3261</v>
      </c>
      <c r="AN2" t="s">
        <v>660</v>
      </c>
      <c r="AO2" t="s">
        <v>19</v>
      </c>
      <c r="AP2" t="s">
        <v>3262</v>
      </c>
      <c r="AQ2" t="s">
        <v>3</v>
      </c>
      <c r="AR2" t="s">
        <v>3263</v>
      </c>
    </row>
    <row r="3" spans="1:44" s="2284" customFormat="1" ht="12.75">
      <c r="A3" s="2282" t="s">
        <v>2698</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3629</v>
      </c>
      <c r="B5" s="2931">
        <v>2026</v>
      </c>
      <c r="C5" s="2932">
        <v>4</v>
      </c>
      <c r="D5" s="2938">
        <v>0</v>
      </c>
      <c r="E5" s="2938">
        <v>0</v>
      </c>
      <c r="F5" s="2938">
        <v>0</v>
      </c>
      <c r="G5" s="2938">
        <v>0</v>
      </c>
      <c r="H5" s="2938">
        <v>0</v>
      </c>
      <c r="I5" s="2939">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2.75">
      <c r="A6" s="1616" t="s">
        <v>3628</v>
      </c>
      <c r="B6" s="2931">
        <v>2026</v>
      </c>
      <c r="C6" s="2932">
        <v>3</v>
      </c>
      <c r="D6" s="2938">
        <v>0</v>
      </c>
      <c r="E6" s="2938">
        <v>0</v>
      </c>
      <c r="F6" s="2938">
        <v>0</v>
      </c>
      <c r="G6" s="2938">
        <v>0</v>
      </c>
      <c r="H6" s="2938">
        <v>0</v>
      </c>
      <c r="I6" s="2939">
        <f t="shared" ref="I6:I9" si="23">F6</f>
        <v>0</v>
      </c>
      <c r="J6" s="2304"/>
      <c r="K6" s="1618">
        <f t="shared" si="5"/>
        <v>0</v>
      </c>
      <c r="L6" s="1608">
        <f t="shared" si="6"/>
        <v>0</v>
      </c>
      <c r="M6" s="1608">
        <f t="shared" si="7"/>
        <v>0</v>
      </c>
      <c r="N6" s="1608">
        <f t="shared" si="8"/>
        <v>0</v>
      </c>
      <c r="O6" s="1608">
        <f t="shared" si="9"/>
        <v>0</v>
      </c>
      <c r="P6" s="1608">
        <f t="shared" si="10"/>
        <v>0</v>
      </c>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2.75">
      <c r="A7" s="1616" t="s">
        <v>3627</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2.75">
      <c r="A8" s="2305" t="s">
        <v>3630</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2.75">
      <c r="A9" s="1616" t="s">
        <v>3626</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2.75">
      <c r="A10" s="1616" t="s">
        <v>3631</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2.75">
      <c r="A11" s="1616" t="s">
        <v>3275</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2.75">
      <c r="A12" s="1616" t="s">
        <v>3266</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2.75">
      <c r="A13" s="1616" t="s">
        <v>3265</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2.75">
      <c r="A14" s="1616" t="s">
        <v>3258</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2.75">
      <c r="A15" s="2302" t="s">
        <v>3252</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2.75">
      <c r="A16" s="2302" t="s">
        <v>3251</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2.75">
      <c r="A17" s="2302" t="s">
        <v>3247</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2.75">
      <c r="A18" s="2302" t="s">
        <v>3246</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2.75">
      <c r="A19" s="2302" t="s">
        <v>3244</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2.75">
      <c r="A20" s="2302" t="s">
        <v>3243</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2.75">
      <c r="A21" s="2302" t="s">
        <v>3242</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2.75">
      <c r="A22" s="2302" t="s">
        <v>3240</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2.75">
      <c r="A23" s="2302" t="s">
        <v>3231</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2.75">
      <c r="A24" s="2302" t="s">
        <v>2699</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2.75">
      <c r="A25" s="2302" t="s">
        <v>2700</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2.75">
      <c r="A26" s="2302" t="s">
        <v>2701</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2.75">
      <c r="A27" s="2302" t="s">
        <v>2702</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25" thickBot="1">
      <c r="A28" s="2311" t="s">
        <v>2703</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25" thickTop="1"/>
    <row r="30" spans="1:44">
      <c r="A30" s="2485" t="s">
        <v>3257</v>
      </c>
    </row>
    <row r="31" spans="1:44">
      <c r="I31" s="1049" t="s">
        <v>2704</v>
      </c>
    </row>
    <row r="33" spans="1:44" s="1591" customFormat="1" ht="12.75">
      <c r="B33" s="2318" t="s">
        <v>3255</v>
      </c>
      <c r="C33" s="2319"/>
      <c r="D33" s="2319"/>
      <c r="E33" s="2319"/>
      <c r="F33" s="2319"/>
      <c r="G33" s="2319"/>
      <c r="H33" s="2319"/>
      <c r="I33" s="2319"/>
      <c r="J33" s="2293"/>
      <c r="K33" s="2319" t="s">
        <v>2705</v>
      </c>
      <c r="L33" s="2319"/>
      <c r="M33" s="2319"/>
      <c r="N33" s="2319"/>
      <c r="O33" s="2319"/>
      <c r="P33" s="2319"/>
      <c r="Q33" s="2293"/>
      <c r="R33" s="4695" t="s">
        <v>2706</v>
      </c>
      <c r="S33" s="4696"/>
      <c r="T33" s="4696"/>
      <c r="U33" s="4696"/>
      <c r="V33" s="4696"/>
      <c r="W33" s="4696"/>
      <c r="X33" s="2293"/>
      <c r="Y33" s="4695" t="s">
        <v>2707</v>
      </c>
      <c r="Z33" s="4696"/>
      <c r="AA33" s="4696"/>
      <c r="AB33" s="4696"/>
      <c r="AC33" s="4696"/>
      <c r="AD33" s="4696"/>
    </row>
    <row r="34" spans="1:44" s="1592" customFormat="1" ht="14.25" thickBot="1">
      <c r="B34" s="2279"/>
      <c r="C34" s="2280"/>
      <c r="D34" s="1593" t="s">
        <v>2708</v>
      </c>
      <c r="E34" s="1594" t="s">
        <v>2709</v>
      </c>
      <c r="F34" s="1594" t="s">
        <v>2710</v>
      </c>
      <c r="G34" s="1594" t="s">
        <v>2711</v>
      </c>
      <c r="H34" s="1594"/>
      <c r="I34" s="1594" t="s">
        <v>2712</v>
      </c>
      <c r="J34" s="2281"/>
      <c r="K34" s="1593" t="s">
        <v>2708</v>
      </c>
      <c r="L34" s="1594" t="s">
        <v>2709</v>
      </c>
      <c r="M34" s="1594" t="s">
        <v>2710</v>
      </c>
      <c r="N34" s="1594" t="s">
        <v>2711</v>
      </c>
      <c r="O34" s="1594"/>
      <c r="P34" s="1594" t="s">
        <v>2712</v>
      </c>
      <c r="Q34" s="2281"/>
      <c r="R34" s="1593" t="s">
        <v>2708</v>
      </c>
      <c r="S34" s="1594" t="s">
        <v>2709</v>
      </c>
      <c r="T34" s="1594" t="s">
        <v>2710</v>
      </c>
      <c r="U34" s="1594" t="s">
        <v>2711</v>
      </c>
      <c r="V34" s="1594"/>
      <c r="W34" s="1594" t="s">
        <v>2712</v>
      </c>
      <c r="X34" s="2281"/>
      <c r="Y34" s="1593" t="s">
        <v>2708</v>
      </c>
      <c r="Z34" s="1594" t="s">
        <v>2709</v>
      </c>
      <c r="AA34" s="1594" t="s">
        <v>2710</v>
      </c>
      <c r="AB34" s="1594" t="s">
        <v>2711</v>
      </c>
      <c r="AC34" s="1594"/>
      <c r="AD34" s="1594" t="s">
        <v>2712</v>
      </c>
      <c r="AG34" t="s">
        <v>660</v>
      </c>
      <c r="AH34" t="s">
        <v>19</v>
      </c>
      <c r="AI34" t="s">
        <v>3262</v>
      </c>
      <c r="AJ34"/>
      <c r="AK34" t="s">
        <v>3263</v>
      </c>
      <c r="AN34" t="s">
        <v>660</v>
      </c>
      <c r="AO34" t="s">
        <v>19</v>
      </c>
      <c r="AP34" t="s">
        <v>3262</v>
      </c>
      <c r="AQ34"/>
      <c r="AR34" t="s">
        <v>3263</v>
      </c>
    </row>
    <row r="35" spans="1:44" s="2284" customFormat="1" ht="12.75">
      <c r="A35" s="2282" t="s">
        <v>2713</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8">
        <f>ROUND(SUMPRODUCT(PRODUCT(1+L36:L60)),4)</f>
        <v>0.98660000000000003</v>
      </c>
      <c r="T35" s="2948">
        <f t="shared" ref="T35:U35" si="154">ROUND(SUMPRODUCT(PRODUCT(1+M36:M60)),4)</f>
        <v>0.95069999999999999</v>
      </c>
      <c r="U35" s="2948">
        <f t="shared" si="154"/>
        <v>1.0123</v>
      </c>
      <c r="V35" s="2948"/>
      <c r="W35" s="2947">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3629</v>
      </c>
      <c r="B37" s="2931">
        <v>2026</v>
      </c>
      <c r="C37" s="2932">
        <v>4</v>
      </c>
      <c r="D37" s="2303"/>
      <c r="E37" s="2938">
        <v>0</v>
      </c>
      <c r="F37" s="2938">
        <v>0</v>
      </c>
      <c r="G37" s="2938">
        <v>0</v>
      </c>
      <c r="H37" s="2938"/>
      <c r="I37" s="2939">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9">
        <f>ROUND(IF(项目基本情况!$B$8="出让",SUMPRODUCT(PRODUCT(1+L37:L$60)),SUMPRODUCT(PRODUCT(1+L37:L$59))),4)</f>
        <v>0.98309999999999997</v>
      </c>
      <c r="T37" s="2949">
        <f>ROUND(IF(项目基本情况!$B$8="出让",SUMPRODUCT(PRODUCT(1+M37:M$60)),SUMPRODUCT(PRODUCT(1+M37:M$59))),4)</f>
        <v>0.94620000000000004</v>
      </c>
      <c r="U37" s="2949">
        <f>ROUND(IF(项目基本情况!$B$8="出让",SUMPRODUCT(PRODUCT(1+N37:N$60)),SUMPRODUCT(PRODUCT(1+N37:N$59))),4)</f>
        <v>1.0024</v>
      </c>
      <c r="V37" s="2949"/>
      <c r="W37" s="2949">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98.31</v>
      </c>
      <c r="AH37" s="2952">
        <f>$AG$60*T37</f>
        <v>94.62</v>
      </c>
      <c r="AI37" s="2952">
        <f>$AG$60*U37</f>
        <v>100.24</v>
      </c>
      <c r="AJ37" s="2952"/>
      <c r="AK37" s="2952">
        <f>$AG$60*W37</f>
        <v>94.62</v>
      </c>
      <c r="AN37" s="2954">
        <v>100</v>
      </c>
      <c r="AO37" s="2954">
        <v>100</v>
      </c>
      <c r="AP37" s="2954">
        <v>100</v>
      </c>
      <c r="AQ37" s="2954"/>
      <c r="AR37" s="2954">
        <v>100</v>
      </c>
    </row>
    <row r="38" spans="1:44" s="1620" customFormat="1" ht="12.75">
      <c r="A38" s="1616" t="s">
        <v>3628</v>
      </c>
      <c r="B38" s="2931">
        <v>2026</v>
      </c>
      <c r="C38" s="2932">
        <v>3</v>
      </c>
      <c r="D38" s="2303"/>
      <c r="E38" s="2938">
        <v>0</v>
      </c>
      <c r="F38" s="2938">
        <v>0</v>
      </c>
      <c r="G38" s="2938">
        <v>0</v>
      </c>
      <c r="H38" s="2938"/>
      <c r="I38" s="2939">
        <f t="shared" ref="I38:I41" si="165">F38</f>
        <v>0</v>
      </c>
      <c r="J38" s="2304"/>
      <c r="K38" s="1618"/>
      <c r="L38" s="1608">
        <f t="shared" si="157"/>
        <v>0</v>
      </c>
      <c r="M38" s="1608">
        <f t="shared" si="158"/>
        <v>0</v>
      </c>
      <c r="N38" s="1608">
        <f t="shared" si="159"/>
        <v>0</v>
      </c>
      <c r="O38" s="1608"/>
      <c r="P38" s="1608">
        <f t="shared" ref="P38:P41" si="166">M38</f>
        <v>0</v>
      </c>
      <c r="Q38" s="2304"/>
      <c r="R38" s="1607"/>
      <c r="S38" s="2949">
        <f>ROUND(IF(项目基本情况!$B$8="出让",SUMPRODUCT(PRODUCT(1+L38:L$60)),SUMPRODUCT(PRODUCT(1+L38:L$59))),4)</f>
        <v>0.98309999999999997</v>
      </c>
      <c r="T38" s="2949">
        <f>ROUND(IF(项目基本情况!$B$8="出让",SUMPRODUCT(PRODUCT(1+M38:M$60)),SUMPRODUCT(PRODUCT(1+M38:M$59))),4)</f>
        <v>0.94620000000000004</v>
      </c>
      <c r="U38" s="2949">
        <f>ROUND(IF(项目基本情况!$B$8="出让",SUMPRODUCT(PRODUCT(1+N38:N$60)),SUMPRODUCT(PRODUCT(1+N38:N$59))),4)</f>
        <v>1.0024</v>
      </c>
      <c r="V38" s="2949"/>
      <c r="W38" s="2949">
        <f t="shared" ref="W38:W41" si="167">T38</f>
        <v>0.94620000000000004</v>
      </c>
      <c r="X38" s="2304"/>
      <c r="Y38" s="1608"/>
      <c r="Z38" s="2299"/>
      <c r="AA38" s="1608"/>
      <c r="AB38" s="1608"/>
      <c r="AC38" s="2301"/>
      <c r="AD38" s="1608"/>
      <c r="AG38" s="2952">
        <f t="shared" ref="AG38:AG41" si="168">$AG$60*S38</f>
        <v>98.31</v>
      </c>
      <c r="AH38" s="2952">
        <f t="shared" ref="AH38:AH41" si="169">$AG$60*T38</f>
        <v>94.62</v>
      </c>
      <c r="AI38" s="2952">
        <f t="shared" ref="AI38:AI41" si="170">$AG$60*U38</f>
        <v>100.24</v>
      </c>
      <c r="AJ38" s="2952"/>
      <c r="AK38" s="2952">
        <f t="shared" ref="AK38:AK41" si="171">$AG$60*W38</f>
        <v>94.62</v>
      </c>
      <c r="AN38" s="2952">
        <f t="shared" ref="AN38:AN41" si="172">AN37/(1+E37/100)</f>
        <v>100</v>
      </c>
      <c r="AO38" s="2952">
        <f t="shared" ref="AO38:AO41" si="173">AO37/(1+F37/100)</f>
        <v>100</v>
      </c>
      <c r="AP38" s="2952">
        <f t="shared" ref="AP38:AP41" si="174">AP37/(1+G37/100)</f>
        <v>100</v>
      </c>
      <c r="AQ38" s="2952"/>
      <c r="AR38" s="2952">
        <f t="shared" ref="AR38:AR41" si="175">AR37/(1+I37/100)</f>
        <v>100</v>
      </c>
    </row>
    <row r="39" spans="1:44" s="1620" customFormat="1" ht="12.75">
      <c r="A39" s="1616" t="s">
        <v>3627</v>
      </c>
      <c r="B39" s="2931">
        <v>2026</v>
      </c>
      <c r="C39" s="2932">
        <v>2</v>
      </c>
      <c r="D39" s="2303"/>
      <c r="E39" s="2938">
        <v>0</v>
      </c>
      <c r="F39" s="2938">
        <v>0</v>
      </c>
      <c r="G39" s="2938">
        <v>0</v>
      </c>
      <c r="H39" s="2938"/>
      <c r="I39" s="2939">
        <f t="shared" si="165"/>
        <v>0</v>
      </c>
      <c r="J39" s="2304"/>
      <c r="K39" s="1618"/>
      <c r="L39" s="1608">
        <f t="shared" si="157"/>
        <v>0</v>
      </c>
      <c r="M39" s="1608">
        <f t="shared" si="158"/>
        <v>0</v>
      </c>
      <c r="N39" s="1608">
        <f t="shared" si="159"/>
        <v>0</v>
      </c>
      <c r="O39" s="1608"/>
      <c r="P39" s="1608">
        <f t="shared" si="166"/>
        <v>0</v>
      </c>
      <c r="Q39" s="2304"/>
      <c r="R39" s="1607"/>
      <c r="S39" s="2949">
        <f>ROUND(IF(项目基本情况!$B$8="出让",SUMPRODUCT(PRODUCT(1+L39:L$60)),SUMPRODUCT(PRODUCT(1+L39:L$59))),4)</f>
        <v>0.98309999999999997</v>
      </c>
      <c r="T39" s="2949">
        <f>ROUND(IF(项目基本情况!$B$8="出让",SUMPRODUCT(PRODUCT(1+M39:M$60)),SUMPRODUCT(PRODUCT(1+M39:M$59))),4)</f>
        <v>0.94620000000000004</v>
      </c>
      <c r="U39" s="2949">
        <f>ROUND(IF(项目基本情况!$B$8="出让",SUMPRODUCT(PRODUCT(1+N39:N$60)),SUMPRODUCT(PRODUCT(1+N39:N$59))),4)</f>
        <v>1.0024</v>
      </c>
      <c r="V39" s="2949"/>
      <c r="W39" s="2949">
        <f t="shared" si="167"/>
        <v>0.94620000000000004</v>
      </c>
      <c r="X39" s="2304"/>
      <c r="Y39" s="1608"/>
      <c r="Z39" s="2299"/>
      <c r="AA39" s="1608"/>
      <c r="AB39" s="1608"/>
      <c r="AC39" s="2301"/>
      <c r="AD39" s="1608"/>
      <c r="AG39" s="2952">
        <f t="shared" si="168"/>
        <v>98.31</v>
      </c>
      <c r="AH39" s="2952">
        <f t="shared" si="169"/>
        <v>94.62</v>
      </c>
      <c r="AI39" s="2952">
        <f t="shared" si="170"/>
        <v>100.24</v>
      </c>
      <c r="AJ39" s="2952"/>
      <c r="AK39" s="2952">
        <f t="shared" si="171"/>
        <v>94.62</v>
      </c>
      <c r="AN39" s="2952">
        <f t="shared" si="172"/>
        <v>100</v>
      </c>
      <c r="AO39" s="2952">
        <f t="shared" si="173"/>
        <v>100</v>
      </c>
      <c r="AP39" s="2952">
        <f t="shared" si="174"/>
        <v>100</v>
      </c>
      <c r="AQ39" s="2952"/>
      <c r="AR39" s="2952">
        <f t="shared" si="175"/>
        <v>100</v>
      </c>
    </row>
    <row r="40" spans="1:44" s="2310" customFormat="1" ht="12.75">
      <c r="A40" s="2305" t="s">
        <v>3632</v>
      </c>
      <c r="B40" s="2933">
        <v>2026</v>
      </c>
      <c r="C40" s="2934">
        <v>1</v>
      </c>
      <c r="D40" s="2306"/>
      <c r="E40" s="2940">
        <v>0</v>
      </c>
      <c r="F40" s="2940">
        <v>0</v>
      </c>
      <c r="G40" s="2940">
        <v>0</v>
      </c>
      <c r="H40" s="2941"/>
      <c r="I40" s="2942">
        <f t="shared" si="165"/>
        <v>0</v>
      </c>
      <c r="J40" s="2307"/>
      <c r="K40" s="2308"/>
      <c r="L40" s="2309">
        <f t="shared" si="157"/>
        <v>0</v>
      </c>
      <c r="M40" s="2309">
        <f t="shared" si="158"/>
        <v>0</v>
      </c>
      <c r="N40" s="2309">
        <f t="shared" si="159"/>
        <v>0</v>
      </c>
      <c r="O40" s="2309"/>
      <c r="P40" s="2309">
        <f t="shared" si="166"/>
        <v>0</v>
      </c>
      <c r="Q40" s="2307"/>
      <c r="R40" s="2307"/>
      <c r="S40" s="2950">
        <f>ROUND(IF(项目基本情况!$B$8="出让",SUMPRODUCT(PRODUCT(1+L40:L$60)),SUMPRODUCT(PRODUCT(1+L40:L$59))),4)</f>
        <v>0.98309999999999997</v>
      </c>
      <c r="T40" s="2950">
        <f>ROUND(IF(项目基本情况!$B$8="出让",SUMPRODUCT(PRODUCT(1+M40:M$60)),SUMPRODUCT(PRODUCT(1+M40:M$59))),4)</f>
        <v>0.94620000000000004</v>
      </c>
      <c r="U40" s="2950">
        <f>ROUND(IF(项目基本情况!$B$8="出让",SUMPRODUCT(PRODUCT(1+N40:N$60)),SUMPRODUCT(PRODUCT(1+N40:N$59))),4)</f>
        <v>1.0024</v>
      </c>
      <c r="V40" s="2950"/>
      <c r="W40" s="2950">
        <f t="shared" si="167"/>
        <v>0.94620000000000004</v>
      </c>
      <c r="X40" s="2307"/>
      <c r="Y40" s="2309"/>
      <c r="Z40" s="2320"/>
      <c r="AA40" s="2321"/>
      <c r="AB40" s="2309"/>
      <c r="AC40" s="2322"/>
      <c r="AD40" s="2309"/>
      <c r="AG40" s="2953">
        <f t="shared" si="168"/>
        <v>98.31</v>
      </c>
      <c r="AH40" s="2953">
        <f t="shared" si="169"/>
        <v>94.62</v>
      </c>
      <c r="AI40" s="2953">
        <f t="shared" si="170"/>
        <v>100.24</v>
      </c>
      <c r="AJ40" s="2953"/>
      <c r="AK40" s="2953">
        <f t="shared" si="171"/>
        <v>94.62</v>
      </c>
      <c r="AN40" s="2953">
        <f t="shared" si="172"/>
        <v>100</v>
      </c>
      <c r="AO40" s="2953">
        <f t="shared" si="173"/>
        <v>100</v>
      </c>
      <c r="AP40" s="2953">
        <f t="shared" si="174"/>
        <v>100</v>
      </c>
      <c r="AQ40" s="2953"/>
      <c r="AR40" s="2953">
        <f t="shared" si="175"/>
        <v>100</v>
      </c>
    </row>
    <row r="41" spans="1:44" s="1620" customFormat="1" ht="12.75">
      <c r="A41" s="1616" t="s">
        <v>3626</v>
      </c>
      <c r="B41" s="2931">
        <v>2025</v>
      </c>
      <c r="C41" s="2932">
        <v>4</v>
      </c>
      <c r="D41" s="2303"/>
      <c r="E41" s="2938">
        <v>-2.0499999999999998</v>
      </c>
      <c r="F41" s="2938">
        <v>-3.68</v>
      </c>
      <c r="G41" s="2938">
        <v>-2.4300000000000002</v>
      </c>
      <c r="H41" s="2938"/>
      <c r="I41" s="2939">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9">
        <f>ROUND(IF(项目基本情况!$B$8="出让",SUMPRODUCT(PRODUCT(1+L41:L$60)),SUMPRODUCT(PRODUCT(1+L41:L$59))),4)</f>
        <v>0.98309999999999997</v>
      </c>
      <c r="T41" s="2949">
        <f>ROUND(IF(项目基本情况!$B$8="出让",SUMPRODUCT(PRODUCT(1+M41:M$60)),SUMPRODUCT(PRODUCT(1+M41:M$59))),4)</f>
        <v>0.94620000000000004</v>
      </c>
      <c r="U41" s="2949">
        <f>ROUND(IF(项目基本情况!$B$8="出让",SUMPRODUCT(PRODUCT(1+N41:N$60)),SUMPRODUCT(PRODUCT(1+N41:N$59))),4)</f>
        <v>1.0024</v>
      </c>
      <c r="V41" s="2949"/>
      <c r="W41" s="2949">
        <f t="shared" si="167"/>
        <v>0.94620000000000004</v>
      </c>
      <c r="X41" s="2304"/>
      <c r="Y41" s="1608"/>
      <c r="Z41" s="2299"/>
      <c r="AA41" s="1608"/>
      <c r="AB41" s="1608"/>
      <c r="AC41" s="2301"/>
      <c r="AD41" s="1608"/>
      <c r="AG41" s="2952">
        <f t="shared" si="168"/>
        <v>98.31</v>
      </c>
      <c r="AH41" s="2952">
        <f t="shared" si="169"/>
        <v>94.62</v>
      </c>
      <c r="AI41" s="2952">
        <f t="shared" si="170"/>
        <v>100.24</v>
      </c>
      <c r="AJ41" s="2952"/>
      <c r="AK41" s="2952">
        <f t="shared" si="171"/>
        <v>94.62</v>
      </c>
      <c r="AN41" s="2952">
        <f t="shared" si="172"/>
        <v>100</v>
      </c>
      <c r="AO41" s="2952">
        <f t="shared" si="173"/>
        <v>100</v>
      </c>
      <c r="AP41" s="2952">
        <f t="shared" si="174"/>
        <v>100</v>
      </c>
      <c r="AQ41" s="2952"/>
      <c r="AR41" s="2952">
        <f t="shared" si="175"/>
        <v>100</v>
      </c>
    </row>
    <row r="42" spans="1:44" s="1620" customFormat="1" ht="12.75">
      <c r="A42" s="1616" t="s">
        <v>3274</v>
      </c>
      <c r="B42" s="2931">
        <v>2025</v>
      </c>
      <c r="C42" s="2932">
        <v>3</v>
      </c>
      <c r="D42" s="2303"/>
      <c r="E42" s="2938">
        <v>-0.8</v>
      </c>
      <c r="F42" s="2938">
        <v>-1.45</v>
      </c>
      <c r="G42" s="2938">
        <v>-0.62</v>
      </c>
      <c r="H42" s="2938"/>
      <c r="I42" s="2939">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2">
        <f t="shared" ref="AG42:AG58" si="184">$AG$60*S42</f>
        <v>100.37</v>
      </c>
      <c r="AH42" s="2952">
        <f t="shared" ref="AH42:AH58" si="185">$AG$60*T42</f>
        <v>98.22999999999999</v>
      </c>
      <c r="AI42" s="2952">
        <f t="shared" ref="AI42:AI58" si="186">$AG$60*U42</f>
        <v>102.74000000000001</v>
      </c>
      <c r="AJ42" s="2952"/>
      <c r="AK42" s="2952">
        <f t="shared" ref="AK42:AK58" si="187">$AG$60*W42</f>
        <v>98.22999999999999</v>
      </c>
      <c r="AN42" s="2952">
        <f>AN37/(1+E37/100)</f>
        <v>100</v>
      </c>
      <c r="AO42" s="2952">
        <f t="shared" ref="AO42:AR42" si="188">AO37/(1+F37/100)</f>
        <v>100</v>
      </c>
      <c r="AP42" s="2952">
        <f t="shared" si="188"/>
        <v>100</v>
      </c>
      <c r="AQ42" s="2952"/>
      <c r="AR42" s="2952">
        <f t="shared" si="188"/>
        <v>100</v>
      </c>
    </row>
    <row r="43" spans="1:44" s="1620" customFormat="1" ht="12.75">
      <c r="A43" s="1616" t="s">
        <v>3275</v>
      </c>
      <c r="B43" s="2931">
        <v>2025</v>
      </c>
      <c r="C43" s="2932">
        <v>2</v>
      </c>
      <c r="D43" s="2303"/>
      <c r="E43" s="2938">
        <v>-0.31</v>
      </c>
      <c r="F43" s="2938">
        <v>-1.03</v>
      </c>
      <c r="G43" s="2938">
        <v>0.03</v>
      </c>
      <c r="H43" s="2938"/>
      <c r="I43" s="2939">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2">
        <f t="shared" si="184"/>
        <v>101.18</v>
      </c>
      <c r="AH43" s="2952">
        <f t="shared" si="185"/>
        <v>99.68</v>
      </c>
      <c r="AI43" s="2952">
        <f t="shared" si="186"/>
        <v>103.38000000000001</v>
      </c>
      <c r="AJ43" s="2952"/>
      <c r="AK43" s="2952">
        <f t="shared" si="187"/>
        <v>99.68</v>
      </c>
      <c r="AN43" s="2952">
        <f t="shared" ref="AN43:AN60" si="196">AN42/(1+E42/100)</f>
        <v>100.80645161290323</v>
      </c>
      <c r="AO43" s="2952">
        <f t="shared" ref="AO43" si="197">AO42/(1+F42/100)</f>
        <v>101.47133434804667</v>
      </c>
      <c r="AP43" s="2952">
        <f t="shared" ref="AP43" si="198">AP42/(1+G42/100)</f>
        <v>100.6238679814852</v>
      </c>
      <c r="AQ43" s="2952"/>
      <c r="AR43" s="2952">
        <f t="shared" ref="AR43" si="199">AR42/(1+I42/100)</f>
        <v>101.47133434804667</v>
      </c>
    </row>
    <row r="44" spans="1:44" s="1620" customFormat="1" ht="12.75">
      <c r="A44" s="1616" t="s">
        <v>3264</v>
      </c>
      <c r="B44" s="2931">
        <v>2025</v>
      </c>
      <c r="C44" s="2932">
        <v>1</v>
      </c>
      <c r="D44" s="2303"/>
      <c r="E44" s="2938">
        <v>-1.47</v>
      </c>
      <c r="F44" s="2938">
        <v>-0.98</v>
      </c>
      <c r="G44" s="2938">
        <v>-0.51</v>
      </c>
      <c r="H44" s="2938"/>
      <c r="I44" s="2939">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2">
        <f t="shared" si="184"/>
        <v>101.49</v>
      </c>
      <c r="AH44" s="2952">
        <f t="shared" si="185"/>
        <v>100.72000000000001</v>
      </c>
      <c r="AI44" s="2952">
        <f t="shared" si="186"/>
        <v>103.35000000000001</v>
      </c>
      <c r="AJ44" s="2952"/>
      <c r="AK44" s="2952">
        <f t="shared" si="187"/>
        <v>100.72000000000001</v>
      </c>
      <c r="AN44" s="2952">
        <f t="shared" si="196"/>
        <v>101.11992337536687</v>
      </c>
      <c r="AO44" s="2952">
        <f t="shared" ref="AO44:AO60" si="207">AO43/(1+F43/100)</f>
        <v>102.52736622011383</v>
      </c>
      <c r="AP44" s="2952">
        <f t="shared" ref="AP44:AP60" si="208">AP43/(1+G43/100)</f>
        <v>100.59368987452285</v>
      </c>
      <c r="AQ44" s="2952"/>
      <c r="AR44" s="2952">
        <f t="shared" ref="AR44:AR60" si="209">AR43/(1+I43/100)</f>
        <v>102.52736622011383</v>
      </c>
    </row>
    <row r="45" spans="1:44" s="1620" customFormat="1" ht="12.75">
      <c r="A45" s="1616" t="s">
        <v>3265</v>
      </c>
      <c r="B45" s="2931">
        <v>2024</v>
      </c>
      <c r="C45" s="2932">
        <v>4</v>
      </c>
      <c r="D45" s="2303"/>
      <c r="E45" s="2938">
        <v>-0.61</v>
      </c>
      <c r="F45" s="2938">
        <v>-0.71</v>
      </c>
      <c r="G45" s="2938">
        <v>-0.88</v>
      </c>
      <c r="H45" s="2938"/>
      <c r="I45" s="2939">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2">
        <f t="shared" si="184"/>
        <v>103.01</v>
      </c>
      <c r="AH45" s="2952">
        <f t="shared" si="185"/>
        <v>101.71</v>
      </c>
      <c r="AI45" s="2952">
        <f t="shared" si="186"/>
        <v>103.88</v>
      </c>
      <c r="AJ45" s="2952"/>
      <c r="AK45" s="2952">
        <f t="shared" si="187"/>
        <v>101.71</v>
      </c>
      <c r="AN45" s="2952">
        <f t="shared" si="196"/>
        <v>102.62856325521858</v>
      </c>
      <c r="AO45" s="2952">
        <f t="shared" si="207"/>
        <v>103.54207859029877</v>
      </c>
      <c r="AP45" s="2952">
        <f t="shared" si="208"/>
        <v>101.10934754701262</v>
      </c>
      <c r="AQ45" s="2952"/>
      <c r="AR45" s="2952">
        <f t="shared" si="209"/>
        <v>103.54207859029877</v>
      </c>
    </row>
    <row r="46" spans="1:44" s="1620" customFormat="1" ht="12.75">
      <c r="A46" s="1616" t="s">
        <v>3249</v>
      </c>
      <c r="B46" s="2931">
        <v>2024</v>
      </c>
      <c r="C46" s="2932">
        <v>3</v>
      </c>
      <c r="D46" s="2303"/>
      <c r="E46" s="2938">
        <v>-0.66</v>
      </c>
      <c r="F46" s="2938">
        <v>-0.52</v>
      </c>
      <c r="G46" s="2938">
        <v>-2.87</v>
      </c>
      <c r="H46" s="2938"/>
      <c r="I46" s="2939">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2">
        <f t="shared" si="184"/>
        <v>103.64</v>
      </c>
      <c r="AH46" s="2952">
        <f t="shared" si="185"/>
        <v>102.44</v>
      </c>
      <c r="AI46" s="2952">
        <f t="shared" si="186"/>
        <v>104.80000000000001</v>
      </c>
      <c r="AJ46" s="2952"/>
      <c r="AK46" s="2952">
        <f t="shared" si="187"/>
        <v>102.44</v>
      </c>
      <c r="AN46" s="2952">
        <f t="shared" si="196"/>
        <v>103.25843973761805</v>
      </c>
      <c r="AO46" s="2952">
        <f t="shared" si="207"/>
        <v>104.28248422831984</v>
      </c>
      <c r="AP46" s="2952">
        <f t="shared" si="208"/>
        <v>102.00700922822097</v>
      </c>
      <c r="AQ46" s="2952"/>
      <c r="AR46" s="2952">
        <f t="shared" si="209"/>
        <v>104.28248422831984</v>
      </c>
    </row>
    <row r="47" spans="1:44" s="1620" customFormat="1" ht="12.75">
      <c r="A47" s="2302" t="s">
        <v>3253</v>
      </c>
      <c r="B47" s="2931">
        <v>2024</v>
      </c>
      <c r="C47" s="2932">
        <v>2</v>
      </c>
      <c r="D47" s="2303"/>
      <c r="E47" s="2938">
        <v>-0.31</v>
      </c>
      <c r="F47" s="2938">
        <v>-0.39</v>
      </c>
      <c r="G47" s="2938">
        <v>1.23</v>
      </c>
      <c r="H47" s="2943"/>
      <c r="I47" s="2939">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1"/>
        <v>3.3E-3</v>
      </c>
      <c r="AA47" s="2300">
        <f t="shared" si="221"/>
        <v>2.3999999999999998E-3</v>
      </c>
      <c r="AB47" s="1608">
        <f t="shared" si="221"/>
        <v>6.1999999999999998E-3</v>
      </c>
      <c r="AC47" s="2301"/>
      <c r="AD47" s="1608">
        <f t="shared" si="183"/>
        <v>2.3999999999999998E-3</v>
      </c>
      <c r="AG47" s="2952">
        <f t="shared" si="184"/>
        <v>104.32999999999998</v>
      </c>
      <c r="AH47" s="2952">
        <f t="shared" si="185"/>
        <v>102.98</v>
      </c>
      <c r="AI47" s="2952">
        <f t="shared" si="186"/>
        <v>107.89999999999999</v>
      </c>
      <c r="AJ47" s="2952"/>
      <c r="AK47" s="2952">
        <f t="shared" si="187"/>
        <v>102.98</v>
      </c>
      <c r="AN47" s="2952">
        <f t="shared" si="196"/>
        <v>103.94447326114158</v>
      </c>
      <c r="AO47" s="2952">
        <f t="shared" si="207"/>
        <v>104.82758768427809</v>
      </c>
      <c r="AP47" s="2952">
        <f t="shared" si="208"/>
        <v>105.02111523547921</v>
      </c>
      <c r="AQ47" s="2952"/>
      <c r="AR47" s="2952">
        <f t="shared" si="209"/>
        <v>104.82758768427809</v>
      </c>
    </row>
    <row r="48" spans="1:44" s="1620" customFormat="1" ht="12.75">
      <c r="A48" s="2302" t="s">
        <v>3250</v>
      </c>
      <c r="B48" s="2931">
        <v>2024</v>
      </c>
      <c r="C48" s="2932">
        <v>1</v>
      </c>
      <c r="D48" s="2303"/>
      <c r="E48" s="2938">
        <v>0.25</v>
      </c>
      <c r="F48" s="2938">
        <v>0.4</v>
      </c>
      <c r="G48" s="2938">
        <v>-0.63</v>
      </c>
      <c r="H48" s="2943"/>
      <c r="I48" s="2939">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9">T48</f>
        <v>1.0338000000000001</v>
      </c>
      <c r="X48" s="2304"/>
      <c r="Y48" s="1608"/>
      <c r="Z48" s="2299"/>
      <c r="AA48" s="2300"/>
      <c r="AB48" s="1608"/>
      <c r="AC48" s="2301"/>
      <c r="AD48" s="1608"/>
      <c r="AG48" s="2952">
        <f t="shared" si="184"/>
        <v>104.65</v>
      </c>
      <c r="AH48" s="2952">
        <f t="shared" si="185"/>
        <v>103.38000000000001</v>
      </c>
      <c r="AI48" s="2952">
        <f t="shared" si="186"/>
        <v>106.59</v>
      </c>
      <c r="AJ48" s="2952"/>
      <c r="AK48" s="2952">
        <f t="shared" si="187"/>
        <v>103.38000000000001</v>
      </c>
      <c r="AN48" s="2952">
        <f t="shared" si="196"/>
        <v>104.2677031408783</v>
      </c>
      <c r="AO48" s="2952">
        <f t="shared" si="207"/>
        <v>105.23801594646932</v>
      </c>
      <c r="AP48" s="2952">
        <f t="shared" si="208"/>
        <v>103.74505110686478</v>
      </c>
      <c r="AQ48" s="2952"/>
      <c r="AR48" s="2952">
        <f t="shared" si="209"/>
        <v>105.23801594646932</v>
      </c>
    </row>
    <row r="49" spans="1:44" s="1620" customFormat="1" ht="12.75">
      <c r="A49" s="2302" t="s">
        <v>3248</v>
      </c>
      <c r="B49" s="2931">
        <v>2023</v>
      </c>
      <c r="C49" s="2932">
        <v>4</v>
      </c>
      <c r="D49" s="2303"/>
      <c r="E49" s="2938">
        <v>7.0000000000000007E-2</v>
      </c>
      <c r="F49" s="2938">
        <v>0.09</v>
      </c>
      <c r="G49" s="2938">
        <v>0.03</v>
      </c>
      <c r="H49" s="2943"/>
      <c r="I49" s="2939">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1">T49</f>
        <v>1.0297000000000001</v>
      </c>
      <c r="X49" s="2304"/>
      <c r="Y49" s="1608"/>
      <c r="Z49" s="2299"/>
      <c r="AA49" s="2300"/>
      <c r="AB49" s="1608"/>
      <c r="AC49" s="2301"/>
      <c r="AD49" s="1608"/>
      <c r="AG49" s="2952">
        <f t="shared" si="184"/>
        <v>104.39</v>
      </c>
      <c r="AH49" s="2952">
        <f t="shared" si="185"/>
        <v>102.97</v>
      </c>
      <c r="AI49" s="2952">
        <f t="shared" si="186"/>
        <v>107.27</v>
      </c>
      <c r="AJ49" s="2952"/>
      <c r="AK49" s="2952">
        <f t="shared" si="187"/>
        <v>102.97</v>
      </c>
      <c r="AN49" s="2952">
        <f t="shared" si="196"/>
        <v>104.00768393105068</v>
      </c>
      <c r="AO49" s="2952">
        <f t="shared" si="207"/>
        <v>104.81874098253915</v>
      </c>
      <c r="AP49" s="2952">
        <f t="shared" si="208"/>
        <v>104.40278867552055</v>
      </c>
      <c r="AQ49" s="2952"/>
      <c r="AR49" s="2952">
        <f t="shared" si="209"/>
        <v>104.81874098253915</v>
      </c>
    </row>
    <row r="50" spans="1:44" s="1620" customFormat="1" ht="12.75">
      <c r="A50" s="2302" t="s">
        <v>3246</v>
      </c>
      <c r="B50" s="2931">
        <v>2023</v>
      </c>
      <c r="C50" s="2932">
        <v>3</v>
      </c>
      <c r="D50" s="2303"/>
      <c r="E50" s="2938">
        <v>0.35</v>
      </c>
      <c r="F50" s="2938">
        <v>0.17</v>
      </c>
      <c r="G50" s="2938">
        <v>0.52</v>
      </c>
      <c r="H50" s="2943"/>
      <c r="I50" s="2939">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6">T50</f>
        <v>1.0286999999999999</v>
      </c>
      <c r="X50" s="2304"/>
      <c r="Y50" s="1608"/>
      <c r="Z50" s="2299"/>
      <c r="AA50" s="2300"/>
      <c r="AB50" s="1608"/>
      <c r="AC50" s="2301"/>
      <c r="AD50" s="1608"/>
      <c r="AG50" s="2952">
        <f t="shared" si="184"/>
        <v>104.32</v>
      </c>
      <c r="AH50" s="2952">
        <f t="shared" si="185"/>
        <v>102.86999999999999</v>
      </c>
      <c r="AI50" s="2952">
        <f t="shared" si="186"/>
        <v>107.23</v>
      </c>
      <c r="AJ50" s="2952"/>
      <c r="AK50" s="2952">
        <f t="shared" si="187"/>
        <v>102.86999999999999</v>
      </c>
      <c r="AN50" s="2952">
        <f t="shared" si="196"/>
        <v>103.9349294804144</v>
      </c>
      <c r="AO50" s="2952">
        <f t="shared" si="207"/>
        <v>104.72448894249092</v>
      </c>
      <c r="AP50" s="2952">
        <f t="shared" si="208"/>
        <v>104.37147723235086</v>
      </c>
      <c r="AQ50" s="2952"/>
      <c r="AR50" s="2952">
        <f t="shared" si="209"/>
        <v>104.72448894249092</v>
      </c>
    </row>
    <row r="51" spans="1:44" s="1620" customFormat="1" ht="12.75">
      <c r="A51" s="2302" t="s">
        <v>3245</v>
      </c>
      <c r="B51" s="2931">
        <v>2023</v>
      </c>
      <c r="C51" s="2932">
        <v>2</v>
      </c>
      <c r="D51" s="2303"/>
      <c r="E51" s="2938">
        <v>0.5</v>
      </c>
      <c r="F51" s="2938">
        <v>0.45</v>
      </c>
      <c r="G51" s="2938">
        <v>0.89</v>
      </c>
      <c r="H51" s="2943"/>
      <c r="I51" s="2939">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6"/>
        <v>1.0269999999999999</v>
      </c>
      <c r="X51" s="2304"/>
      <c r="Y51" s="1608"/>
      <c r="Z51" s="2299"/>
      <c r="AA51" s="2300"/>
      <c r="AB51" s="1608"/>
      <c r="AC51" s="2301"/>
      <c r="AD51" s="1608"/>
      <c r="AG51" s="2952">
        <f t="shared" si="184"/>
        <v>103.96000000000001</v>
      </c>
      <c r="AH51" s="2952">
        <f t="shared" si="185"/>
        <v>102.69999999999999</v>
      </c>
      <c r="AI51" s="2952">
        <f t="shared" si="186"/>
        <v>106.67999999999999</v>
      </c>
      <c r="AJ51" s="2952"/>
      <c r="AK51" s="2952">
        <f t="shared" si="187"/>
        <v>102.69999999999999</v>
      </c>
      <c r="AN51" s="2952">
        <f t="shared" si="196"/>
        <v>103.5724259894513</v>
      </c>
      <c r="AO51" s="2952">
        <f t="shared" si="207"/>
        <v>104.5467594514235</v>
      </c>
      <c r="AP51" s="2952">
        <f t="shared" si="208"/>
        <v>103.83155315593996</v>
      </c>
      <c r="AQ51" s="2952"/>
      <c r="AR51" s="2952">
        <f t="shared" si="209"/>
        <v>104.5467594514235</v>
      </c>
    </row>
    <row r="52" spans="1:44" s="1620" customFormat="1" ht="12.75">
      <c r="A52" s="2302" t="s">
        <v>3243</v>
      </c>
      <c r="B52" s="2931">
        <v>2023</v>
      </c>
      <c r="C52" s="2932">
        <v>1</v>
      </c>
      <c r="D52" s="2303"/>
      <c r="E52" s="2938">
        <v>0.55000000000000004</v>
      </c>
      <c r="F52" s="2938">
        <v>0.59</v>
      </c>
      <c r="G52" s="2938">
        <v>0.64</v>
      </c>
      <c r="H52" s="2943"/>
      <c r="I52" s="2939">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6"/>
        <v>1.0224</v>
      </c>
      <c r="X52" s="2304"/>
      <c r="Y52" s="1608"/>
      <c r="Z52" s="2299"/>
      <c r="AA52" s="2300"/>
      <c r="AB52" s="1608"/>
      <c r="AC52" s="2301"/>
      <c r="AD52" s="1608"/>
      <c r="AG52" s="2952">
        <f t="shared" si="184"/>
        <v>103.44</v>
      </c>
      <c r="AH52" s="2952">
        <f t="shared" si="185"/>
        <v>102.24</v>
      </c>
      <c r="AI52" s="2952">
        <f t="shared" si="186"/>
        <v>105.74</v>
      </c>
      <c r="AJ52" s="2952"/>
      <c r="AK52" s="2952">
        <f t="shared" si="187"/>
        <v>102.24</v>
      </c>
      <c r="AN52" s="2952">
        <f t="shared" si="196"/>
        <v>103.05714028801125</v>
      </c>
      <c r="AO52" s="2952">
        <f t="shared" si="207"/>
        <v>104.07840662162619</v>
      </c>
      <c r="AP52" s="2952">
        <f t="shared" si="208"/>
        <v>102.91560427786695</v>
      </c>
      <c r="AQ52" s="2952"/>
      <c r="AR52" s="2952">
        <f t="shared" si="209"/>
        <v>104.07840662162619</v>
      </c>
    </row>
    <row r="53" spans="1:44" s="1620" customFormat="1" ht="12.75">
      <c r="A53" s="2302" t="s">
        <v>3242</v>
      </c>
      <c r="B53" s="2931">
        <v>2022</v>
      </c>
      <c r="C53" s="2932">
        <v>4</v>
      </c>
      <c r="D53" s="2303"/>
      <c r="E53" s="2938">
        <v>0.45</v>
      </c>
      <c r="F53" s="2938">
        <v>0.2</v>
      </c>
      <c r="G53" s="2938">
        <v>0.38</v>
      </c>
      <c r="H53" s="2943"/>
      <c r="I53" s="2939">
        <f t="shared" si="222"/>
        <v>0.2</v>
      </c>
      <c r="J53" s="2304"/>
      <c r="K53" s="1618"/>
      <c r="L53" s="1608">
        <f t="shared" si="223"/>
        <v>4.5000000000000005E-3</v>
      </c>
      <c r="M53" s="1608">
        <f t="shared" si="223"/>
        <v>2E-3</v>
      </c>
      <c r="N53" s="1608">
        <f t="shared" si="223"/>
        <v>3.8E-3</v>
      </c>
      <c r="O53" s="1608"/>
      <c r="P53" s="1608">
        <f t="shared" ref="P53:P60" si="237">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2">
        <f t="shared" si="184"/>
        <v>102.86999999999999</v>
      </c>
      <c r="AH53" s="2952">
        <f t="shared" si="185"/>
        <v>101.64</v>
      </c>
      <c r="AI53" s="2952">
        <f t="shared" si="186"/>
        <v>105.06</v>
      </c>
      <c r="AJ53" s="2952"/>
      <c r="AK53" s="2952">
        <f t="shared" si="187"/>
        <v>101.64</v>
      </c>
      <c r="AN53" s="2952">
        <f t="shared" si="196"/>
        <v>102.49342644257707</v>
      </c>
      <c r="AO53" s="2952">
        <f t="shared" si="207"/>
        <v>103.46794574174986</v>
      </c>
      <c r="AP53" s="2952">
        <f t="shared" si="208"/>
        <v>102.26113302649736</v>
      </c>
      <c r="AQ53" s="2952"/>
      <c r="AR53" s="2952">
        <f t="shared" si="209"/>
        <v>103.46794574174986</v>
      </c>
    </row>
    <row r="54" spans="1:44" s="1620" customFormat="1" ht="12.75">
      <c r="A54" s="2302" t="s">
        <v>3241</v>
      </c>
      <c r="B54" s="2931">
        <v>2022</v>
      </c>
      <c r="C54" s="2932">
        <v>3</v>
      </c>
      <c r="D54" s="2303"/>
      <c r="E54" s="2938">
        <v>0.3</v>
      </c>
      <c r="F54" s="2938">
        <v>0.28999999999999998</v>
      </c>
      <c r="G54" s="2938">
        <v>0.83</v>
      </c>
      <c r="H54" s="2943"/>
      <c r="I54" s="2939">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2">
        <f t="shared" si="184"/>
        <v>102.41</v>
      </c>
      <c r="AH54" s="2952">
        <f t="shared" si="185"/>
        <v>101.44</v>
      </c>
      <c r="AI54" s="2952">
        <f t="shared" si="186"/>
        <v>104.67</v>
      </c>
      <c r="AJ54" s="2952"/>
      <c r="AK54" s="2952">
        <f t="shared" si="187"/>
        <v>101.44</v>
      </c>
      <c r="AN54" s="2952">
        <f t="shared" si="196"/>
        <v>102.03427221759789</v>
      </c>
      <c r="AO54" s="2952">
        <f t="shared" si="207"/>
        <v>103.26142289595795</v>
      </c>
      <c r="AP54" s="2952">
        <f t="shared" si="208"/>
        <v>101.87401178172679</v>
      </c>
      <c r="AQ54" s="2952"/>
      <c r="AR54" s="2952">
        <f t="shared" si="209"/>
        <v>103.26142289595795</v>
      </c>
    </row>
    <row r="55" spans="1:44" s="1620" customFormat="1" ht="12.75">
      <c r="A55" s="2302" t="s">
        <v>3231</v>
      </c>
      <c r="B55" s="2931">
        <v>2022</v>
      </c>
      <c r="C55" s="2932">
        <v>2</v>
      </c>
      <c r="D55" s="2303"/>
      <c r="E55" s="2938">
        <v>-0.11</v>
      </c>
      <c r="F55" s="2938">
        <v>-0.13</v>
      </c>
      <c r="G55" s="2938">
        <v>0.53</v>
      </c>
      <c r="H55" s="2943"/>
      <c r="I55" s="2939">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2">
        <f t="shared" si="184"/>
        <v>102.10999999999999</v>
      </c>
      <c r="AH55" s="2952">
        <f t="shared" si="185"/>
        <v>101.14000000000001</v>
      </c>
      <c r="AI55" s="2952">
        <f t="shared" si="186"/>
        <v>103.81</v>
      </c>
      <c r="AJ55" s="2952"/>
      <c r="AK55" s="2952">
        <f t="shared" si="187"/>
        <v>101.14000000000001</v>
      </c>
      <c r="AN55" s="2952">
        <f t="shared" si="196"/>
        <v>101.72908496270976</v>
      </c>
      <c r="AO55" s="2952">
        <f t="shared" si="207"/>
        <v>102.96283068696576</v>
      </c>
      <c r="AP55" s="2952">
        <f t="shared" si="208"/>
        <v>101.03541781387166</v>
      </c>
      <c r="AQ55" s="2952"/>
      <c r="AR55" s="2952">
        <f t="shared" si="209"/>
        <v>102.96283068696576</v>
      </c>
    </row>
    <row r="56" spans="1:44" s="1620" customFormat="1" ht="12.75">
      <c r="A56" s="2302" t="s">
        <v>2714</v>
      </c>
      <c r="B56" s="2931">
        <v>2022</v>
      </c>
      <c r="C56" s="2932">
        <v>1</v>
      </c>
      <c r="D56" s="2303"/>
      <c r="E56" s="2938">
        <v>0.6</v>
      </c>
      <c r="F56" s="2938">
        <v>0.45</v>
      </c>
      <c r="G56" s="2938">
        <v>0.53</v>
      </c>
      <c r="H56" s="2943"/>
      <c r="I56" s="2939">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2">
        <f t="shared" si="184"/>
        <v>102.22</v>
      </c>
      <c r="AH56" s="2952">
        <f t="shared" si="185"/>
        <v>101.27999999999999</v>
      </c>
      <c r="AI56" s="2952">
        <f t="shared" si="186"/>
        <v>103.25999999999999</v>
      </c>
      <c r="AJ56" s="2952"/>
      <c r="AK56" s="2952">
        <f t="shared" si="187"/>
        <v>101.27999999999999</v>
      </c>
      <c r="AN56" s="2952">
        <f t="shared" si="196"/>
        <v>101.84111018391206</v>
      </c>
      <c r="AO56" s="2952">
        <f t="shared" si="207"/>
        <v>103.09685660054646</v>
      </c>
      <c r="AP56" s="2952">
        <f t="shared" si="208"/>
        <v>100.50275322179613</v>
      </c>
      <c r="AQ56" s="2952"/>
      <c r="AR56" s="2952">
        <f t="shared" si="209"/>
        <v>103.09685660054646</v>
      </c>
    </row>
    <row r="57" spans="1:44" s="1620" customFormat="1" ht="12.75">
      <c r="A57" s="2302" t="s">
        <v>2715</v>
      </c>
      <c r="B57" s="2931">
        <v>2021</v>
      </c>
      <c r="C57" s="2932">
        <v>4</v>
      </c>
      <c r="D57" s="2303"/>
      <c r="E57" s="2938">
        <v>0.57999999999999996</v>
      </c>
      <c r="F57" s="2938">
        <v>0.08</v>
      </c>
      <c r="G57" s="2938">
        <v>0.68</v>
      </c>
      <c r="H57" s="2943"/>
      <c r="I57" s="2939">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8"/>
        <v>1.0082</v>
      </c>
      <c r="X57" s="2304"/>
      <c r="Y57" s="1608"/>
      <c r="Z57" s="2299">
        <f t="shared" si="239"/>
        <v>4.8999999999999998E-3</v>
      </c>
      <c r="AA57" s="2300">
        <f t="shared" si="239"/>
        <v>3.3E-3</v>
      </c>
      <c r="AB57" s="1608">
        <f t="shared" si="239"/>
        <v>9.1999999999999998E-3</v>
      </c>
      <c r="AC57" s="2301"/>
      <c r="AD57" s="1608">
        <f t="shared" si="239"/>
        <v>3.3E-3</v>
      </c>
      <c r="AG57" s="2952">
        <f t="shared" si="184"/>
        <v>101.61</v>
      </c>
      <c r="AH57" s="2952">
        <f t="shared" si="185"/>
        <v>100.82</v>
      </c>
      <c r="AI57" s="2952">
        <f t="shared" si="186"/>
        <v>102.71</v>
      </c>
      <c r="AJ57" s="2952"/>
      <c r="AK57" s="2952">
        <f t="shared" si="187"/>
        <v>100.82</v>
      </c>
      <c r="AN57" s="2952">
        <f t="shared" si="196"/>
        <v>101.23370793629429</v>
      </c>
      <c r="AO57" s="2952">
        <f t="shared" si="207"/>
        <v>102.63499910457587</v>
      </c>
      <c r="AP57" s="2952">
        <f t="shared" si="208"/>
        <v>99.972896868393633</v>
      </c>
      <c r="AQ57" s="2952"/>
      <c r="AR57" s="2952">
        <f t="shared" si="209"/>
        <v>102.63499910457587</v>
      </c>
    </row>
    <row r="58" spans="1:44" s="1620" customFormat="1" ht="12.75">
      <c r="A58" s="2302" t="s">
        <v>2716</v>
      </c>
      <c r="B58" s="2931">
        <v>2021</v>
      </c>
      <c r="C58" s="2932">
        <v>3</v>
      </c>
      <c r="D58" s="2303"/>
      <c r="E58" s="2938">
        <v>0.47</v>
      </c>
      <c r="F58" s="2938">
        <v>0.28000000000000003</v>
      </c>
      <c r="G58" s="2938">
        <v>0.91</v>
      </c>
      <c r="H58" s="2943"/>
      <c r="I58" s="2939">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2">
        <f t="shared" si="184"/>
        <v>101.02</v>
      </c>
      <c r="AH58" s="2952">
        <f t="shared" si="185"/>
        <v>100.74000000000001</v>
      </c>
      <c r="AI58" s="2952">
        <f t="shared" si="186"/>
        <v>102.02</v>
      </c>
      <c r="AJ58" s="2952"/>
      <c r="AK58" s="2952">
        <f t="shared" si="187"/>
        <v>100.74000000000001</v>
      </c>
      <c r="AN58" s="2952">
        <f t="shared" si="196"/>
        <v>100.649938294188</v>
      </c>
      <c r="AO58" s="2952">
        <f t="shared" si="207"/>
        <v>102.55295673918452</v>
      </c>
      <c r="AP58" s="2952">
        <f t="shared" si="208"/>
        <v>99.297672694073938</v>
      </c>
      <c r="AQ58" s="2952"/>
      <c r="AR58" s="2952">
        <f t="shared" si="209"/>
        <v>102.55295673918452</v>
      </c>
    </row>
    <row r="59" spans="1:44" s="1620" customFormat="1" ht="12.75">
      <c r="A59" s="2302" t="s">
        <v>2717</v>
      </c>
      <c r="B59" s="2931">
        <v>2021</v>
      </c>
      <c r="C59" s="2932">
        <v>2</v>
      </c>
      <c r="D59" s="2303"/>
      <c r="E59" s="2938">
        <v>0.55000000000000004</v>
      </c>
      <c r="F59" s="2938">
        <v>0.46</v>
      </c>
      <c r="G59" s="2938">
        <v>1.1000000000000001</v>
      </c>
      <c r="H59" s="2943"/>
      <c r="I59" s="2939">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2">
        <f>$AG$60*S59</f>
        <v>100.55000000000001</v>
      </c>
      <c r="AH59" s="2952">
        <f t="shared" ref="AH59:AK59" si="240">$AG$60*T59</f>
        <v>100.46</v>
      </c>
      <c r="AI59" s="2952">
        <f t="shared" si="240"/>
        <v>101.1</v>
      </c>
      <c r="AJ59" s="2952"/>
      <c r="AK59" s="2952">
        <f t="shared" si="240"/>
        <v>100.46</v>
      </c>
      <c r="AN59" s="2952">
        <f t="shared" si="196"/>
        <v>100.1790965404479</v>
      </c>
      <c r="AO59" s="2952">
        <f t="shared" si="207"/>
        <v>102.26661023053903</v>
      </c>
      <c r="AP59" s="2952">
        <f t="shared" si="208"/>
        <v>98.402212559779926</v>
      </c>
      <c r="AQ59" s="2952"/>
      <c r="AR59" s="2952">
        <f t="shared" si="209"/>
        <v>102.26661023053903</v>
      </c>
    </row>
    <row r="60" spans="1:44" s="2317" customFormat="1" ht="14.25" thickBot="1">
      <c r="A60" s="2311" t="s">
        <v>2703</v>
      </c>
      <c r="B60" s="2935">
        <v>2021</v>
      </c>
      <c r="C60" s="2936">
        <v>1</v>
      </c>
      <c r="D60" s="2312"/>
      <c r="E60" s="2944">
        <v>0.35</v>
      </c>
      <c r="F60" s="2944">
        <v>0.48</v>
      </c>
      <c r="G60" s="2944">
        <v>0.98</v>
      </c>
      <c r="H60" s="2945"/>
      <c r="I60" s="2946">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1">
        <v>1</v>
      </c>
      <c r="T60" s="2951">
        <v>1</v>
      </c>
      <c r="U60" s="2951">
        <v>1</v>
      </c>
      <c r="V60" s="2951"/>
      <c r="W60" s="2951">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5">
        <v>100</v>
      </c>
      <c r="AH60" s="2955">
        <v>100</v>
      </c>
      <c r="AI60" s="2955">
        <v>100</v>
      </c>
      <c r="AJ60" s="2955"/>
      <c r="AK60" s="2955">
        <v>100</v>
      </c>
      <c r="AN60" s="2956">
        <f t="shared" si="196"/>
        <v>99.631125351017303</v>
      </c>
      <c r="AO60" s="2956">
        <f t="shared" si="207"/>
        <v>101.79833787630803</v>
      </c>
      <c r="AP60" s="2956">
        <f t="shared" si="208"/>
        <v>97.331565341028622</v>
      </c>
      <c r="AQ60" s="2956"/>
      <c r="AR60" s="2956">
        <f t="shared" si="209"/>
        <v>101.79833787630803</v>
      </c>
    </row>
    <row r="61" spans="1:44" ht="14.25" thickTop="1"/>
    <row r="62" spans="1:44">
      <c r="A62" s="2485" t="s">
        <v>3256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00" t="s">
        <v>446</v>
      </c>
      <c r="C1" s="4700"/>
      <c r="D1" s="4700"/>
      <c r="E1" s="4700"/>
      <c r="F1" s="4700"/>
      <c r="G1" s="4696" t="s">
        <v>447</v>
      </c>
      <c r="H1" s="4696"/>
      <c r="I1" s="4696"/>
      <c r="J1" s="4696"/>
      <c r="K1" s="4696"/>
      <c r="L1" s="4696"/>
      <c r="N1" s="4696" t="s">
        <v>448</v>
      </c>
      <c r="O1" s="4696"/>
      <c r="P1" s="4696"/>
      <c r="Q1" s="4696"/>
      <c r="S1" s="4696" t="s">
        <v>449</v>
      </c>
      <c r="T1" s="4696"/>
      <c r="U1" s="4696"/>
      <c r="V1" s="4696"/>
      <c r="X1" s="4695" t="s">
        <v>450</v>
      </c>
      <c r="Y1" s="4696"/>
      <c r="Z1" s="4696"/>
      <c r="AA1" s="4696"/>
      <c r="AB1" s="4696"/>
      <c r="AD1" s="4695" t="s">
        <v>451</v>
      </c>
      <c r="AE1" s="4696"/>
      <c r="AF1" s="4696"/>
      <c r="AG1" s="4696"/>
      <c r="AH1" s="4696"/>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2017</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3239</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3236</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2018</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3237</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3238</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2315</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2033</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2031</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2030</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2029</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2027</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2026</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2028</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98">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2024</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98"/>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2023</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98"/>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2016</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05"/>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2014</v>
      </c>
      <c r="B25" s="1621">
        <v>439</v>
      </c>
      <c r="C25" s="1621">
        <v>327</v>
      </c>
      <c r="D25" s="1621">
        <f>C25</f>
        <v>327</v>
      </c>
      <c r="E25" s="1621">
        <v>627</v>
      </c>
      <c r="F25" s="1622">
        <v>283</v>
      </c>
      <c r="G25" s="4701">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2015</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98"/>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98"/>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05"/>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01">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98"/>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98"/>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9"/>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97">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98"/>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98"/>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9"/>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97">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98"/>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98"/>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9"/>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02">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03"/>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03"/>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04"/>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97">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98"/>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98"/>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99"/>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97">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98">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98">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9">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97">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98">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98">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9">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97">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98">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98">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9">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97">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98">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98">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9">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97">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98">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98">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9">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97">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98">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98">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9">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97">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98">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98">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9">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97">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98">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98">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9">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97">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98">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98">
        <v>2003</v>
      </c>
      <c r="H83" s="2968">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99">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97">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98">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98">
        <v>2002</v>
      </c>
      <c r="H87" s="2968">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99">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708" t="s">
        <v>2718</v>
      </c>
      <c r="B1" s="4708"/>
      <c r="C1" s="4708"/>
      <c r="D1" s="4708"/>
      <c r="E1" s="4708"/>
      <c r="F1" s="4708"/>
      <c r="G1" s="4709"/>
      <c r="I1" s="2327" t="s">
        <v>2719</v>
      </c>
      <c r="J1" s="2328" t="s">
        <v>2720</v>
      </c>
      <c r="K1" s="2328" t="s">
        <v>2721</v>
      </c>
      <c r="L1" s="2328" t="s">
        <v>2722</v>
      </c>
      <c r="M1" s="2328" t="s">
        <v>2723</v>
      </c>
      <c r="N1" s="2328" t="s">
        <v>2724</v>
      </c>
      <c r="O1" s="2328" t="s">
        <v>2725</v>
      </c>
      <c r="P1" s="2328" t="s">
        <v>2726</v>
      </c>
      <c r="Q1" s="2328" t="s">
        <v>2727</v>
      </c>
      <c r="R1" s="2328" t="s">
        <v>2728</v>
      </c>
      <c r="S1" s="2328" t="s">
        <v>2729</v>
      </c>
      <c r="T1" s="2329" t="s">
        <v>2730</v>
      </c>
    </row>
    <row r="2" spans="1:20" ht="12" thickBot="1">
      <c r="A2" s="2330" t="s">
        <v>2731</v>
      </c>
      <c r="B2" s="2330"/>
      <c r="C2" s="2330"/>
      <c r="D2" s="2330"/>
      <c r="E2" s="2330"/>
      <c r="F2" s="2330"/>
      <c r="G2" s="2331" t="s">
        <v>2732</v>
      </c>
      <c r="I2" s="2332" t="s">
        <v>2733</v>
      </c>
      <c r="J2" s="2332" t="s">
        <v>2734</v>
      </c>
      <c r="K2" s="2332" t="s">
        <v>2735</v>
      </c>
      <c r="L2" s="2332" t="s">
        <v>2736</v>
      </c>
      <c r="M2" s="2332" t="s">
        <v>2737</v>
      </c>
      <c r="N2" s="2332" t="s">
        <v>2738</v>
      </c>
      <c r="O2" s="2332" t="s">
        <v>2739</v>
      </c>
      <c r="P2" s="2332" t="s">
        <v>2740</v>
      </c>
      <c r="Q2" s="2332" t="s">
        <v>2741</v>
      </c>
      <c r="R2" s="2332" t="s">
        <v>2742</v>
      </c>
      <c r="S2" s="2332" t="s">
        <v>2743</v>
      </c>
      <c r="T2" s="2332" t="s">
        <v>2744</v>
      </c>
    </row>
    <row r="3" spans="1:20" s="2338" customFormat="1">
      <c r="A3" s="4706" t="s">
        <v>2745</v>
      </c>
      <c r="B3" s="2333"/>
      <c r="C3" s="2334" t="s">
        <v>2690</v>
      </c>
      <c r="D3" s="2334" t="s">
        <v>2746</v>
      </c>
      <c r="E3" s="2334" t="s">
        <v>2692</v>
      </c>
      <c r="F3" s="2334" t="s">
        <v>2747</v>
      </c>
      <c r="G3" s="2334" t="s">
        <v>2510</v>
      </c>
      <c r="H3" s="2335"/>
      <c r="I3" s="2336" t="s">
        <v>2748</v>
      </c>
      <c r="J3" s="2337" t="s">
        <v>126</v>
      </c>
      <c r="K3" s="2337" t="s">
        <v>127</v>
      </c>
      <c r="L3" s="2336" t="s">
        <v>128</v>
      </c>
      <c r="M3" s="2336" t="s">
        <v>129</v>
      </c>
      <c r="N3" s="2336" t="s">
        <v>130</v>
      </c>
      <c r="O3" s="2336" t="s">
        <v>131</v>
      </c>
      <c r="P3" s="2336" t="s">
        <v>132</v>
      </c>
      <c r="Q3" s="2336" t="s">
        <v>133</v>
      </c>
      <c r="R3" s="2336" t="s">
        <v>134</v>
      </c>
      <c r="S3" s="2336" t="s">
        <v>2749</v>
      </c>
      <c r="T3" s="2336" t="s">
        <v>2750</v>
      </c>
    </row>
    <row r="4" spans="1:20" s="2338" customFormat="1" ht="12" thickBot="1">
      <c r="A4" s="4707"/>
      <c r="B4" s="2339" t="s">
        <v>2751</v>
      </c>
      <c r="C4" s="2339" t="s">
        <v>2752</v>
      </c>
      <c r="D4" s="2339" t="s">
        <v>2752</v>
      </c>
      <c r="E4" s="2339" t="s">
        <v>2752</v>
      </c>
      <c r="F4" s="2340" t="s">
        <v>2752</v>
      </c>
      <c r="G4" s="2340" t="s">
        <v>2752</v>
      </c>
      <c r="H4" s="2335"/>
      <c r="I4" s="2337" t="s">
        <v>135</v>
      </c>
      <c r="J4" s="2337" t="s">
        <v>109</v>
      </c>
      <c r="K4" s="2337" t="s">
        <v>136</v>
      </c>
      <c r="L4" s="2336" t="s">
        <v>137</v>
      </c>
      <c r="M4" s="2336" t="s">
        <v>138</v>
      </c>
      <c r="N4" s="2336" t="s">
        <v>139</v>
      </c>
      <c r="O4" s="2336" t="s">
        <v>140</v>
      </c>
      <c r="P4" s="2336" t="s">
        <v>141</v>
      </c>
      <c r="Q4" s="2336" t="s">
        <v>2753</v>
      </c>
      <c r="R4" s="2336" t="s">
        <v>2754</v>
      </c>
      <c r="S4" s="2336" t="s">
        <v>2755</v>
      </c>
      <c r="T4" s="2336" t="s">
        <v>2756</v>
      </c>
    </row>
    <row r="5" spans="1:20">
      <c r="A5" s="2341" t="s">
        <v>2719</v>
      </c>
      <c r="B5" s="2332" t="s">
        <v>2733</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2757</v>
      </c>
      <c r="R5" s="2336" t="s">
        <v>2758</v>
      </c>
      <c r="S5" s="2336" t="s">
        <v>151</v>
      </c>
      <c r="T5" s="2336" t="s">
        <v>2759</v>
      </c>
    </row>
    <row r="6" spans="1:20" ht="12" thickBot="1">
      <c r="A6" s="2336" t="s">
        <v>142</v>
      </c>
      <c r="B6" s="2336" t="s">
        <v>2748</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2760</v>
      </c>
      <c r="Q6" s="2336" t="s">
        <v>2761</v>
      </c>
      <c r="R6" s="2336" t="s">
        <v>159</v>
      </c>
      <c r="S6" s="2336" t="s">
        <v>2762</v>
      </c>
      <c r="T6" s="2336" t="s">
        <v>2763</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2764</v>
      </c>
      <c r="Q7" s="2336" t="s">
        <v>2765</v>
      </c>
      <c r="R7" s="2336" t="s">
        <v>2766</v>
      </c>
      <c r="S7" s="2336" t="s">
        <v>2767</v>
      </c>
      <c r="T7" s="2336" t="s">
        <v>2768</v>
      </c>
    </row>
    <row r="8" spans="1:20" ht="12"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2769</v>
      </c>
      <c r="Q8" s="2336" t="s">
        <v>172</v>
      </c>
      <c r="R8" s="2336" t="s">
        <v>2770</v>
      </c>
      <c r="S8" s="2336" t="s">
        <v>2771</v>
      </c>
      <c r="T8" s="2343" t="s">
        <v>2772</v>
      </c>
    </row>
    <row r="9" spans="1:20" ht="12"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2773</v>
      </c>
      <c r="Q9" s="2336" t="s">
        <v>180</v>
      </c>
      <c r="R9" s="2336" t="s">
        <v>181</v>
      </c>
      <c r="S9" s="2336" t="s">
        <v>198</v>
      </c>
    </row>
    <row r="10" spans="1:20">
      <c r="A10" s="2341" t="s">
        <v>182</v>
      </c>
      <c r="B10" s="2332" t="s">
        <v>2734</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2774</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2775</v>
      </c>
      <c r="P11" s="2336" t="s">
        <v>189</v>
      </c>
      <c r="Q11" s="2336" t="s">
        <v>197</v>
      </c>
      <c r="R11" s="2336" t="s">
        <v>2776</v>
      </c>
      <c r="S11" s="2336" t="s">
        <v>2777</v>
      </c>
    </row>
    <row r="12" spans="1:20">
      <c r="A12" s="2336" t="s">
        <v>182</v>
      </c>
      <c r="B12" s="2337" t="s">
        <v>109</v>
      </c>
      <c r="C12" s="2994">
        <v>29640</v>
      </c>
      <c r="D12" s="2994">
        <v>27550</v>
      </c>
      <c r="E12" s="2994">
        <v>28010</v>
      </c>
      <c r="F12" s="2336">
        <v>8730</v>
      </c>
      <c r="G12" s="2994">
        <v>20050</v>
      </c>
      <c r="H12" s="2335"/>
      <c r="J12" s="2337" t="s">
        <v>199</v>
      </c>
      <c r="K12" s="2337" t="s">
        <v>200</v>
      </c>
      <c r="L12" s="2336" t="s">
        <v>201</v>
      </c>
      <c r="M12" s="2336" t="s">
        <v>202</v>
      </c>
      <c r="N12" s="2336" t="s">
        <v>203</v>
      </c>
      <c r="O12" s="2336" t="s">
        <v>2778</v>
      </c>
      <c r="P12" s="2336" t="s">
        <v>2779</v>
      </c>
      <c r="Q12" s="2336" t="s">
        <v>2780</v>
      </c>
      <c r="R12" s="2336" t="s">
        <v>2781</v>
      </c>
      <c r="S12" s="2336" t="s">
        <v>2782</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2783</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2784</v>
      </c>
      <c r="K14" s="2337" t="s">
        <v>213</v>
      </c>
      <c r="L14" s="2336" t="s">
        <v>214</v>
      </c>
      <c r="M14" s="2336" t="s">
        <v>215</v>
      </c>
      <c r="N14" s="2336" t="s">
        <v>216</v>
      </c>
      <c r="O14" s="2336" t="s">
        <v>238</v>
      </c>
      <c r="P14" s="2336" t="s">
        <v>211</v>
      </c>
      <c r="Q14" s="2336" t="s">
        <v>2785</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2786</v>
      </c>
      <c r="P15" s="2336" t="s">
        <v>2787</v>
      </c>
      <c r="Q15" s="2336" t="s">
        <v>240</v>
      </c>
      <c r="R15" s="2336" t="s">
        <v>2788</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2789</v>
      </c>
      <c r="P16" s="2336" t="s">
        <v>225</v>
      </c>
      <c r="Q16" s="2336" t="s">
        <v>248</v>
      </c>
      <c r="R16" s="2336" t="s">
        <v>205</v>
      </c>
      <c r="S16" s="2336" t="s">
        <v>2790</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2791</v>
      </c>
      <c r="P17" s="2336" t="s">
        <v>2792</v>
      </c>
      <c r="Q17" s="2336" t="s">
        <v>254</v>
      </c>
      <c r="R17" s="2336" t="s">
        <v>2793</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2794</v>
      </c>
      <c r="P18" s="2336" t="s">
        <v>239</v>
      </c>
      <c r="Q18" s="2336" t="s">
        <v>2795</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2796</v>
      </c>
      <c r="P19" s="2336" t="s">
        <v>247</v>
      </c>
      <c r="Q19" s="2336" t="s">
        <v>2797</v>
      </c>
      <c r="R19" s="2336" t="s">
        <v>263</v>
      </c>
      <c r="S19" s="2336" t="s">
        <v>2798</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2799</v>
      </c>
      <c r="P20" s="2336" t="s">
        <v>2800</v>
      </c>
      <c r="Q20" s="2336" t="s">
        <v>288</v>
      </c>
      <c r="R20" s="2336" t="s">
        <v>2801</v>
      </c>
      <c r="S20" s="2336" t="s">
        <v>275</v>
      </c>
    </row>
    <row r="21" spans="1:19" ht="14.25" customHeight="1" thickBot="1">
      <c r="A21" s="2336" t="s">
        <v>182</v>
      </c>
      <c r="B21" s="2337" t="s">
        <v>206</v>
      </c>
      <c r="C21" s="2994">
        <v>32370</v>
      </c>
      <c r="D21" s="2994">
        <v>26730</v>
      </c>
      <c r="E21" s="2994">
        <v>26640</v>
      </c>
      <c r="F21" s="2994"/>
      <c r="G21" s="2994">
        <v>19440</v>
      </c>
      <c r="J21" s="2343" t="s">
        <v>2802</v>
      </c>
      <c r="K21" s="2337" t="s">
        <v>265</v>
      </c>
      <c r="L21" s="2336" t="s">
        <v>266</v>
      </c>
      <c r="M21" s="2336" t="s">
        <v>267</v>
      </c>
      <c r="N21" s="2336" t="s">
        <v>268</v>
      </c>
      <c r="O21" s="2336" t="s">
        <v>262</v>
      </c>
      <c r="P21" s="2336" t="s">
        <v>281</v>
      </c>
      <c r="Q21" s="2336" t="s">
        <v>291</v>
      </c>
      <c r="R21" s="2336" t="s">
        <v>2803</v>
      </c>
      <c r="S21" s="2343" t="s">
        <v>2804</v>
      </c>
    </row>
    <row r="22" spans="1:19" ht="14.25" customHeight="1">
      <c r="A22" s="2336" t="s">
        <v>182</v>
      </c>
      <c r="B22" s="2337" t="s">
        <v>2784</v>
      </c>
      <c r="C22" s="2994">
        <v>29830</v>
      </c>
      <c r="D22" s="2994">
        <v>27600</v>
      </c>
      <c r="E22" s="2994">
        <v>28150</v>
      </c>
      <c r="F22" s="2994"/>
      <c r="G22" s="2994">
        <v>20080</v>
      </c>
      <c r="K22" s="2337" t="s">
        <v>2805</v>
      </c>
      <c r="L22" s="2336" t="s">
        <v>270</v>
      </c>
      <c r="M22" s="2336" t="s">
        <v>271</v>
      </c>
      <c r="N22" s="2336" t="s">
        <v>272</v>
      </c>
      <c r="O22" s="2336" t="s">
        <v>2806</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2807</v>
      </c>
      <c r="L23" s="2336" t="s">
        <v>276</v>
      </c>
      <c r="M23" s="2336" t="s">
        <v>277</v>
      </c>
      <c r="N23" s="2336" t="s">
        <v>2808</v>
      </c>
      <c r="O23" s="2336" t="s">
        <v>2809</v>
      </c>
      <c r="P23" s="2336" t="s">
        <v>287</v>
      </c>
      <c r="Q23" s="2336" t="s">
        <v>296</v>
      </c>
      <c r="R23" s="2336" t="s">
        <v>2810</v>
      </c>
    </row>
    <row r="24" spans="1:19" ht="14.25" customHeight="1">
      <c r="A24" s="2336" t="s">
        <v>182</v>
      </c>
      <c r="B24" s="2337" t="s">
        <v>228</v>
      </c>
      <c r="C24" s="2994">
        <v>27930</v>
      </c>
      <c r="D24" s="2994">
        <v>32260</v>
      </c>
      <c r="E24" s="2994">
        <v>32120</v>
      </c>
      <c r="F24" s="2994"/>
      <c r="G24" s="2994">
        <v>23470</v>
      </c>
      <c r="K24" s="2337" t="s">
        <v>2811</v>
      </c>
      <c r="L24" s="2336" t="s">
        <v>279</v>
      </c>
      <c r="M24" s="2336" t="s">
        <v>280</v>
      </c>
      <c r="N24" s="2336" t="s">
        <v>2812</v>
      </c>
      <c r="O24" s="2336" t="s">
        <v>283</v>
      </c>
      <c r="P24" s="2336" t="s">
        <v>2813</v>
      </c>
      <c r="Q24" s="2345" t="s">
        <v>2814</v>
      </c>
      <c r="R24" s="2336" t="s">
        <v>2815</v>
      </c>
    </row>
    <row r="25" spans="1:19" ht="14.25" customHeight="1">
      <c r="A25" s="2336" t="s">
        <v>182</v>
      </c>
      <c r="B25" s="2337" t="s">
        <v>233</v>
      </c>
      <c r="C25" s="2994">
        <v>32230</v>
      </c>
      <c r="D25" s="2994">
        <v>29640</v>
      </c>
      <c r="E25" s="2994">
        <v>29510</v>
      </c>
      <c r="F25" s="2994"/>
      <c r="G25" s="2994">
        <v>21560</v>
      </c>
      <c r="K25" s="2337" t="s">
        <v>2816</v>
      </c>
      <c r="L25" s="2336" t="s">
        <v>2817</v>
      </c>
      <c r="M25" s="2336" t="s">
        <v>282</v>
      </c>
      <c r="N25" s="2336" t="s">
        <v>290</v>
      </c>
      <c r="O25" s="2336" t="s">
        <v>286</v>
      </c>
      <c r="P25" s="2336" t="s">
        <v>273</v>
      </c>
      <c r="Q25" s="2345" t="s">
        <v>269</v>
      </c>
      <c r="R25" s="2336" t="s">
        <v>2818</v>
      </c>
    </row>
    <row r="26" spans="1:19" ht="14.25" customHeight="1" thickBot="1">
      <c r="A26" s="2336" t="s">
        <v>182</v>
      </c>
      <c r="B26" s="2337" t="s">
        <v>242</v>
      </c>
      <c r="C26" s="2994">
        <v>31690</v>
      </c>
      <c r="D26" s="2994">
        <v>27650</v>
      </c>
      <c r="E26" s="2994">
        <v>28200</v>
      </c>
      <c r="F26" s="2994"/>
      <c r="G26" s="2994">
        <v>20110</v>
      </c>
      <c r="K26" s="2342" t="s">
        <v>2819</v>
      </c>
      <c r="L26" s="2336" t="s">
        <v>2820</v>
      </c>
      <c r="M26" s="2336" t="s">
        <v>285</v>
      </c>
      <c r="N26" s="2336" t="s">
        <v>292</v>
      </c>
      <c r="O26" s="2336" t="s">
        <v>2821</v>
      </c>
      <c r="P26" s="2336" t="s">
        <v>2822</v>
      </c>
      <c r="Q26" s="2345" t="s">
        <v>274</v>
      </c>
      <c r="R26" s="2336" t="s">
        <v>2823</v>
      </c>
    </row>
    <row r="27" spans="1:19" ht="14.25" customHeight="1">
      <c r="A27" s="2336" t="s">
        <v>182</v>
      </c>
      <c r="B27" s="2337" t="s">
        <v>249</v>
      </c>
      <c r="C27" s="2994">
        <v>29610</v>
      </c>
      <c r="D27" s="2994">
        <v>27770</v>
      </c>
      <c r="E27" s="2994">
        <v>28300</v>
      </c>
      <c r="F27" s="2994"/>
      <c r="G27" s="2994">
        <v>20210</v>
      </c>
      <c r="L27" s="2336" t="s">
        <v>2824</v>
      </c>
      <c r="M27" s="2336" t="s">
        <v>289</v>
      </c>
      <c r="N27" s="2336" t="s">
        <v>295</v>
      </c>
      <c r="O27" s="2336" t="s">
        <v>2825</v>
      </c>
      <c r="P27" s="2336" t="s">
        <v>2826</v>
      </c>
      <c r="Q27" s="2336" t="s">
        <v>2827</v>
      </c>
      <c r="R27" s="2336" t="s">
        <v>2828</v>
      </c>
    </row>
    <row r="28" spans="1:19" ht="14.25" customHeight="1">
      <c r="A28" s="2336" t="s">
        <v>182</v>
      </c>
      <c r="B28" s="2337" t="s">
        <v>257</v>
      </c>
      <c r="C28" s="2994"/>
      <c r="D28" s="2994">
        <v>31520</v>
      </c>
      <c r="E28" s="2994">
        <v>31410</v>
      </c>
      <c r="F28" s="2994"/>
      <c r="G28" s="2994">
        <v>22940</v>
      </c>
      <c r="L28" s="2336" t="s">
        <v>2829</v>
      </c>
      <c r="M28" s="2336" t="s">
        <v>2830</v>
      </c>
      <c r="N28" s="2336" t="s">
        <v>2831</v>
      </c>
      <c r="O28" s="2336" t="s">
        <v>2832</v>
      </c>
      <c r="P28" s="2336" t="s">
        <v>2833</v>
      </c>
      <c r="Q28" s="2336" t="s">
        <v>2834</v>
      </c>
      <c r="R28" s="2336" t="s">
        <v>2835</v>
      </c>
    </row>
    <row r="29" spans="1:19" ht="14.25" customHeight="1" thickBot="1">
      <c r="A29" s="2344" t="s">
        <v>182</v>
      </c>
      <c r="B29" s="2346" t="s">
        <v>2802</v>
      </c>
      <c r="C29" s="2996"/>
      <c r="D29" s="2996">
        <v>29460</v>
      </c>
      <c r="E29" s="2996">
        <v>28640</v>
      </c>
      <c r="F29" s="2996"/>
      <c r="G29" s="2996">
        <v>21430</v>
      </c>
      <c r="L29" s="2336" t="s">
        <v>2836</v>
      </c>
      <c r="M29" s="2336" t="s">
        <v>2837</v>
      </c>
      <c r="N29" s="2336" t="s">
        <v>2838</v>
      </c>
      <c r="O29" s="2336" t="s">
        <v>2839</v>
      </c>
      <c r="P29" s="2336" t="s">
        <v>2840</v>
      </c>
      <c r="Q29" s="2336" t="s">
        <v>2841</v>
      </c>
      <c r="R29" s="2336" t="s">
        <v>278</v>
      </c>
    </row>
    <row r="30" spans="1:19" ht="14.25" customHeight="1">
      <c r="A30" s="2341" t="s">
        <v>294</v>
      </c>
      <c r="B30" s="2332" t="s">
        <v>2735</v>
      </c>
      <c r="C30" s="2993">
        <v>26890</v>
      </c>
      <c r="D30" s="2993">
        <v>26770</v>
      </c>
      <c r="E30" s="2993">
        <v>25700</v>
      </c>
      <c r="F30" s="2993">
        <v>8180</v>
      </c>
      <c r="G30" s="2997">
        <v>18740</v>
      </c>
      <c r="L30" s="2336" t="s">
        <v>2842</v>
      </c>
      <c r="M30" s="2336" t="s">
        <v>2843</v>
      </c>
      <c r="N30" s="2336" t="s">
        <v>2844</v>
      </c>
      <c r="O30" s="2336" t="s">
        <v>2845</v>
      </c>
      <c r="P30" s="2336" t="s">
        <v>2846</v>
      </c>
      <c r="Q30" s="2336" t="s">
        <v>2847</v>
      </c>
      <c r="R30" s="2336" t="s">
        <v>2848</v>
      </c>
    </row>
    <row r="31" spans="1:19" ht="14.25" customHeight="1">
      <c r="A31" s="2336" t="s">
        <v>294</v>
      </c>
      <c r="B31" s="2337" t="s">
        <v>127</v>
      </c>
      <c r="C31" s="2994">
        <v>24550</v>
      </c>
      <c r="D31" s="2994">
        <v>23990</v>
      </c>
      <c r="E31" s="2994">
        <v>22930</v>
      </c>
      <c r="F31" s="2994">
        <v>7470</v>
      </c>
      <c r="G31" s="2998">
        <v>16790</v>
      </c>
      <c r="L31" s="2336" t="s">
        <v>2849</v>
      </c>
      <c r="M31" s="2336" t="s">
        <v>2850</v>
      </c>
      <c r="N31" s="2336" t="s">
        <v>2851</v>
      </c>
      <c r="O31" s="2336" t="s">
        <v>2852</v>
      </c>
      <c r="P31" s="2336" t="s">
        <v>2853</v>
      </c>
      <c r="Q31" s="2336" t="s">
        <v>2854</v>
      </c>
      <c r="R31" s="2336" t="s">
        <v>2855</v>
      </c>
    </row>
    <row r="32" spans="1:19" ht="14.25" customHeight="1" thickBot="1">
      <c r="A32" s="2336" t="s">
        <v>294</v>
      </c>
      <c r="B32" s="2337" t="s">
        <v>136</v>
      </c>
      <c r="C32" s="2994">
        <v>27210</v>
      </c>
      <c r="D32" s="2994">
        <v>23240</v>
      </c>
      <c r="E32" s="2994">
        <v>23260</v>
      </c>
      <c r="F32" s="2994">
        <v>7130</v>
      </c>
      <c r="G32" s="2998">
        <v>16270</v>
      </c>
      <c r="L32" s="2336" t="s">
        <v>2856</v>
      </c>
      <c r="M32" s="2336" t="s">
        <v>2857</v>
      </c>
      <c r="N32" s="2336" t="s">
        <v>298</v>
      </c>
      <c r="O32" s="2336" t="s">
        <v>2858</v>
      </c>
      <c r="P32" s="2336" t="s">
        <v>297</v>
      </c>
      <c r="Q32" s="2336" t="s">
        <v>2859</v>
      </c>
      <c r="R32" s="2343" t="s">
        <v>2860</v>
      </c>
    </row>
    <row r="33" spans="1:17" ht="14.25" customHeight="1" thickBot="1">
      <c r="A33" s="2336" t="s">
        <v>294</v>
      </c>
      <c r="B33" s="2337" t="s">
        <v>145</v>
      </c>
      <c r="C33" s="2994">
        <v>27300</v>
      </c>
      <c r="D33" s="2994">
        <v>22980</v>
      </c>
      <c r="E33" s="2994">
        <v>24260</v>
      </c>
      <c r="F33" s="2994">
        <v>5860</v>
      </c>
      <c r="G33" s="2998">
        <v>16090</v>
      </c>
      <c r="L33" s="2343" t="s">
        <v>2861</v>
      </c>
      <c r="M33" s="2336" t="s">
        <v>2862</v>
      </c>
      <c r="N33" s="2336" t="s">
        <v>299</v>
      </c>
      <c r="O33" s="2336" t="s">
        <v>2863</v>
      </c>
      <c r="P33" s="2336" t="s">
        <v>2864</v>
      </c>
      <c r="Q33" s="2336" t="s">
        <v>2865</v>
      </c>
    </row>
    <row r="34" spans="1:17" ht="14.25" customHeight="1">
      <c r="A34" s="2336" t="s">
        <v>294</v>
      </c>
      <c r="B34" s="2337" t="s">
        <v>154</v>
      </c>
      <c r="C34" s="2994">
        <v>23090</v>
      </c>
      <c r="D34" s="2994">
        <v>23390</v>
      </c>
      <c r="E34" s="2994">
        <v>23510</v>
      </c>
      <c r="F34" s="2994">
        <v>6700</v>
      </c>
      <c r="G34" s="2998">
        <v>16370</v>
      </c>
      <c r="M34" s="2336" t="s">
        <v>2866</v>
      </c>
      <c r="N34" s="2336" t="s">
        <v>300</v>
      </c>
      <c r="O34" s="2336" t="s">
        <v>2867</v>
      </c>
      <c r="P34" s="2336" t="s">
        <v>2868</v>
      </c>
      <c r="Q34" s="2336" t="s">
        <v>2869</v>
      </c>
    </row>
    <row r="35" spans="1:17" ht="14.25" customHeight="1">
      <c r="A35" s="2336" t="s">
        <v>294</v>
      </c>
      <c r="B35" s="2337" t="s">
        <v>161</v>
      </c>
      <c r="C35" s="2994">
        <v>27270</v>
      </c>
      <c r="D35" s="2994">
        <v>24270</v>
      </c>
      <c r="E35" s="2994">
        <v>24950</v>
      </c>
      <c r="F35" s="2994">
        <v>6600</v>
      </c>
      <c r="G35" s="2998">
        <v>16990</v>
      </c>
      <c r="M35" s="2336" t="s">
        <v>2870</v>
      </c>
      <c r="N35" s="2336" t="s">
        <v>2871</v>
      </c>
      <c r="O35" s="2336" t="s">
        <v>2872</v>
      </c>
      <c r="P35" s="2336" t="s">
        <v>2873</v>
      </c>
      <c r="Q35" s="2336" t="s">
        <v>2874</v>
      </c>
    </row>
    <row r="36" spans="1:17" ht="14.25" customHeight="1">
      <c r="A36" s="2336" t="s">
        <v>294</v>
      </c>
      <c r="B36" s="2337" t="s">
        <v>167</v>
      </c>
      <c r="C36" s="2994">
        <v>23490</v>
      </c>
      <c r="D36" s="2994">
        <v>23020</v>
      </c>
      <c r="E36" s="2994">
        <v>25230</v>
      </c>
      <c r="F36" s="2994">
        <v>6780</v>
      </c>
      <c r="G36" s="2998">
        <v>16120</v>
      </c>
      <c r="M36" s="2336" t="s">
        <v>2875</v>
      </c>
      <c r="N36" s="2336" t="s">
        <v>2876</v>
      </c>
      <c r="O36" s="2336" t="s">
        <v>2877</v>
      </c>
      <c r="P36" s="2336" t="s">
        <v>2878</v>
      </c>
      <c r="Q36" s="2336" t="s">
        <v>2879</v>
      </c>
    </row>
    <row r="37" spans="1:17" ht="14.25" customHeight="1">
      <c r="A37" s="2336" t="s">
        <v>294</v>
      </c>
      <c r="B37" s="2337" t="s">
        <v>174</v>
      </c>
      <c r="C37" s="2994">
        <v>24380</v>
      </c>
      <c r="D37" s="2994">
        <v>22240</v>
      </c>
      <c r="E37" s="2994">
        <v>25980</v>
      </c>
      <c r="F37" s="2994">
        <v>8160</v>
      </c>
      <c r="G37" s="2998">
        <v>15570</v>
      </c>
      <c r="M37" s="2336" t="s">
        <v>2880</v>
      </c>
      <c r="N37" s="2336" t="s">
        <v>2881</v>
      </c>
      <c r="O37" s="2336" t="s">
        <v>2882</v>
      </c>
      <c r="P37" s="2336" t="s">
        <v>2883</v>
      </c>
      <c r="Q37" s="2336" t="s">
        <v>2884</v>
      </c>
    </row>
    <row r="38" spans="1:17" ht="14.25" customHeight="1">
      <c r="A38" s="2336" t="s">
        <v>294</v>
      </c>
      <c r="B38" s="2337" t="s">
        <v>184</v>
      </c>
      <c r="C38" s="2994">
        <v>23120</v>
      </c>
      <c r="D38" s="2994">
        <v>24630</v>
      </c>
      <c r="E38" s="2994">
        <v>25030</v>
      </c>
      <c r="F38" s="2994">
        <v>7710</v>
      </c>
      <c r="G38" s="2998">
        <v>17240</v>
      </c>
      <c r="M38" s="2336" t="s">
        <v>2885</v>
      </c>
      <c r="N38" s="2336" t="s">
        <v>2886</v>
      </c>
      <c r="O38" s="2336" t="s">
        <v>2887</v>
      </c>
      <c r="P38" s="2336" t="s">
        <v>2888</v>
      </c>
      <c r="Q38" s="2336" t="s">
        <v>2889</v>
      </c>
    </row>
    <row r="39" spans="1:17" ht="14.25" customHeight="1">
      <c r="A39" s="2336" t="s">
        <v>294</v>
      </c>
      <c r="B39" s="2337" t="s">
        <v>193</v>
      </c>
      <c r="C39" s="2994">
        <v>22330</v>
      </c>
      <c r="D39" s="2994">
        <v>21140</v>
      </c>
      <c r="E39" s="2994">
        <v>23970</v>
      </c>
      <c r="F39" s="2994">
        <v>7940</v>
      </c>
      <c r="G39" s="2998">
        <v>14790</v>
      </c>
      <c r="M39" s="2336" t="s">
        <v>2890</v>
      </c>
      <c r="N39" s="2336" t="s">
        <v>2891</v>
      </c>
      <c r="O39" s="2336" t="s">
        <v>2892</v>
      </c>
      <c r="P39" s="2336" t="s">
        <v>2893</v>
      </c>
      <c r="Q39" s="2336" t="s">
        <v>2894</v>
      </c>
    </row>
    <row r="40" spans="1:17" ht="14.25" customHeight="1">
      <c r="A40" s="2336" t="s">
        <v>294</v>
      </c>
      <c r="B40" s="2337" t="s">
        <v>200</v>
      </c>
      <c r="C40" s="2994">
        <v>24740</v>
      </c>
      <c r="D40" s="2994">
        <v>24690</v>
      </c>
      <c r="E40" s="2994">
        <v>22610</v>
      </c>
      <c r="F40" s="2994"/>
      <c r="G40" s="2998">
        <v>17280</v>
      </c>
      <c r="M40" s="2336" t="s">
        <v>2895</v>
      </c>
      <c r="N40" s="2336" t="s">
        <v>2896</v>
      </c>
      <c r="O40" s="2336" t="s">
        <v>2897</v>
      </c>
      <c r="P40" s="2336" t="s">
        <v>2898</v>
      </c>
      <c r="Q40" s="2336" t="s">
        <v>2899</v>
      </c>
    </row>
    <row r="41" spans="1:17" ht="14.25" customHeight="1" thickBot="1">
      <c r="A41" s="2336" t="s">
        <v>294</v>
      </c>
      <c r="B41" s="2337" t="s">
        <v>207</v>
      </c>
      <c r="C41" s="2994">
        <v>21220</v>
      </c>
      <c r="D41" s="2994">
        <v>21120</v>
      </c>
      <c r="E41" s="2994">
        <v>22590</v>
      </c>
      <c r="F41" s="2994"/>
      <c r="G41" s="2998">
        <v>14780</v>
      </c>
      <c r="M41" s="2343" t="s">
        <v>2900</v>
      </c>
      <c r="N41" s="2336" t="s">
        <v>2901</v>
      </c>
      <c r="O41" s="2336" t="s">
        <v>2902</v>
      </c>
      <c r="P41" s="2336" t="s">
        <v>2903</v>
      </c>
      <c r="Q41" s="2336" t="s">
        <v>2904</v>
      </c>
    </row>
    <row r="42" spans="1:17" ht="14.25" customHeight="1">
      <c r="A42" s="2336" t="s">
        <v>294</v>
      </c>
      <c r="B42" s="2337" t="s">
        <v>213</v>
      </c>
      <c r="C42" s="2994">
        <v>24800</v>
      </c>
      <c r="D42" s="2994">
        <v>22280</v>
      </c>
      <c r="E42" s="2994">
        <v>24350</v>
      </c>
      <c r="F42" s="2994"/>
      <c r="G42" s="2998">
        <v>15590</v>
      </c>
      <c r="N42" s="2336" t="s">
        <v>2905</v>
      </c>
      <c r="O42" s="2336" t="s">
        <v>2906</v>
      </c>
      <c r="P42" s="2336" t="s">
        <v>2907</v>
      </c>
      <c r="Q42" s="2336" t="s">
        <v>2908</v>
      </c>
    </row>
    <row r="43" spans="1:17" ht="14.25" customHeight="1">
      <c r="A43" s="2336" t="s">
        <v>2909</v>
      </c>
      <c r="B43" s="2337" t="s">
        <v>221</v>
      </c>
      <c r="C43" s="2994">
        <v>21210</v>
      </c>
      <c r="D43" s="2994">
        <v>21160</v>
      </c>
      <c r="E43" s="2994">
        <v>22650</v>
      </c>
      <c r="F43" s="2994"/>
      <c r="G43" s="2998">
        <v>14800</v>
      </c>
      <c r="N43" s="2336" t="s">
        <v>2910</v>
      </c>
      <c r="O43" s="2336" t="s">
        <v>2911</v>
      </c>
      <c r="P43" s="2336" t="s">
        <v>2912</v>
      </c>
      <c r="Q43" s="2336" t="s">
        <v>2913</v>
      </c>
    </row>
    <row r="44" spans="1:17" ht="14.25" customHeight="1" thickBot="1">
      <c r="A44" s="2336" t="s">
        <v>294</v>
      </c>
      <c r="B44" s="2337" t="s">
        <v>229</v>
      </c>
      <c r="C44" s="2994">
        <v>22370</v>
      </c>
      <c r="D44" s="2994">
        <v>23140</v>
      </c>
      <c r="E44" s="2994">
        <v>25090</v>
      </c>
      <c r="F44" s="2994"/>
      <c r="G44" s="2998">
        <v>16190</v>
      </c>
      <c r="N44" s="2336" t="s">
        <v>2914</v>
      </c>
      <c r="O44" s="2336" t="s">
        <v>2915</v>
      </c>
      <c r="P44" s="2343" t="s">
        <v>2916</v>
      </c>
      <c r="Q44" s="2336" t="s">
        <v>2917</v>
      </c>
    </row>
    <row r="45" spans="1:17" ht="14.25" customHeight="1" thickBot="1">
      <c r="A45" s="2336" t="s">
        <v>294</v>
      </c>
      <c r="B45" s="2337" t="s">
        <v>234</v>
      </c>
      <c r="C45" s="2994">
        <v>21240</v>
      </c>
      <c r="D45" s="2994">
        <v>27050</v>
      </c>
      <c r="E45" s="2994">
        <v>28000</v>
      </c>
      <c r="F45" s="2994"/>
      <c r="G45" s="2998">
        <v>18940</v>
      </c>
      <c r="N45" s="2336" t="s">
        <v>2918</v>
      </c>
      <c r="O45" s="2343" t="s">
        <v>2919</v>
      </c>
      <c r="Q45" s="2336" t="s">
        <v>2920</v>
      </c>
    </row>
    <row r="46" spans="1:17" ht="14.25" customHeight="1">
      <c r="A46" s="2336" t="s">
        <v>294</v>
      </c>
      <c r="B46" s="2337" t="s">
        <v>243</v>
      </c>
      <c r="C46" s="2994">
        <v>23240</v>
      </c>
      <c r="D46" s="2994">
        <v>23000</v>
      </c>
      <c r="E46" s="2994">
        <v>24980</v>
      </c>
      <c r="F46" s="2994"/>
      <c r="G46" s="2998">
        <v>16100</v>
      </c>
      <c r="N46" s="2336" t="s">
        <v>2921</v>
      </c>
      <c r="Q46" s="2336" t="s">
        <v>2922</v>
      </c>
    </row>
    <row r="47" spans="1:17" ht="14.25" customHeight="1">
      <c r="A47" s="2336" t="s">
        <v>294</v>
      </c>
      <c r="B47" s="2337" t="s">
        <v>250</v>
      </c>
      <c r="C47" s="2994">
        <v>27150</v>
      </c>
      <c r="D47" s="2994">
        <v>23310</v>
      </c>
      <c r="E47" s="2994">
        <v>25150</v>
      </c>
      <c r="F47" s="2994"/>
      <c r="G47" s="2998">
        <v>16310</v>
      </c>
      <c r="N47" s="2336" t="s">
        <v>2923</v>
      </c>
      <c r="Q47" s="2336" t="s">
        <v>2924</v>
      </c>
    </row>
    <row r="48" spans="1:17" ht="14.25" customHeight="1">
      <c r="A48" s="2336" t="s">
        <v>294</v>
      </c>
      <c r="B48" s="2337" t="s">
        <v>258</v>
      </c>
      <c r="C48" s="2994">
        <v>23100</v>
      </c>
      <c r="D48" s="2994">
        <v>21110</v>
      </c>
      <c r="E48" s="2994">
        <v>23080</v>
      </c>
      <c r="F48" s="2994"/>
      <c r="G48" s="2998">
        <v>14780</v>
      </c>
      <c r="N48" s="2336" t="s">
        <v>2925</v>
      </c>
      <c r="Q48" s="2336" t="s">
        <v>2926</v>
      </c>
    </row>
    <row r="49" spans="1:17" ht="14.25" customHeight="1">
      <c r="A49" s="2336" t="s">
        <v>294</v>
      </c>
      <c r="B49" s="2337" t="s">
        <v>265</v>
      </c>
      <c r="C49" s="2994">
        <v>23400</v>
      </c>
      <c r="D49" s="2994">
        <v>22920</v>
      </c>
      <c r="E49" s="2994">
        <v>24900</v>
      </c>
      <c r="F49" s="2994"/>
      <c r="G49" s="2998">
        <v>16040</v>
      </c>
      <c r="N49" s="2336" t="s">
        <v>2927</v>
      </c>
      <c r="Q49" s="2336" t="s">
        <v>2928</v>
      </c>
    </row>
    <row r="50" spans="1:17" ht="14.25" customHeight="1">
      <c r="A50" s="2336" t="s">
        <v>294</v>
      </c>
      <c r="B50" s="2337" t="s">
        <v>2805</v>
      </c>
      <c r="C50" s="2994">
        <v>21200</v>
      </c>
      <c r="D50" s="2994">
        <v>26540</v>
      </c>
      <c r="E50" s="2994">
        <v>23200</v>
      </c>
      <c r="F50" s="2994"/>
      <c r="G50" s="2998">
        <v>18580</v>
      </c>
      <c r="N50" s="2336" t="s">
        <v>2929</v>
      </c>
      <c r="Q50" s="2337" t="s">
        <v>2930</v>
      </c>
    </row>
    <row r="51" spans="1:17" ht="14.25" customHeight="1" thickBot="1">
      <c r="A51" s="2336" t="s">
        <v>294</v>
      </c>
      <c r="B51" s="2337" t="s">
        <v>2807</v>
      </c>
      <c r="C51" s="2994">
        <v>23000</v>
      </c>
      <c r="D51" s="2994">
        <v>23460</v>
      </c>
      <c r="E51" s="2994">
        <v>25290</v>
      </c>
      <c r="F51" s="2994"/>
      <c r="G51" s="2998">
        <v>16420</v>
      </c>
      <c r="N51" s="2336" t="s">
        <v>2931</v>
      </c>
      <c r="Q51" s="2343" t="s">
        <v>2932</v>
      </c>
    </row>
    <row r="52" spans="1:17" ht="14.25" customHeight="1">
      <c r="A52" s="2336" t="s">
        <v>294</v>
      </c>
      <c r="B52" s="2337" t="s">
        <v>2811</v>
      </c>
      <c r="C52" s="2994">
        <v>26660</v>
      </c>
      <c r="D52" s="2994">
        <v>22350</v>
      </c>
      <c r="E52" s="2994">
        <v>22920</v>
      </c>
      <c r="F52" s="2994"/>
      <c r="G52" s="2998">
        <v>15640</v>
      </c>
      <c r="N52" s="2336" t="s">
        <v>2933</v>
      </c>
    </row>
    <row r="53" spans="1:17" ht="14.25" customHeight="1">
      <c r="A53" s="2336" t="s">
        <v>294</v>
      </c>
      <c r="B53" s="2337" t="s">
        <v>2816</v>
      </c>
      <c r="C53" s="2994">
        <v>23580</v>
      </c>
      <c r="D53" s="2994"/>
      <c r="E53" s="2994">
        <v>24280</v>
      </c>
      <c r="F53" s="2994"/>
      <c r="G53" s="2998"/>
      <c r="N53" s="2336" t="s">
        <v>2934</v>
      </c>
    </row>
    <row r="54" spans="1:17" ht="14.25" customHeight="1" thickBot="1">
      <c r="A54" s="2348" t="s">
        <v>294</v>
      </c>
      <c r="B54" s="2342" t="s">
        <v>2819</v>
      </c>
      <c r="C54" s="2995">
        <v>22460</v>
      </c>
      <c r="D54" s="2995"/>
      <c r="E54" s="2995"/>
      <c r="F54" s="2995"/>
      <c r="G54" s="2999"/>
      <c r="N54" s="2336" t="s">
        <v>2935</v>
      </c>
    </row>
    <row r="55" spans="1:17" ht="14.25" customHeight="1">
      <c r="A55" s="2341" t="s">
        <v>108</v>
      </c>
      <c r="B55" s="2332" t="s">
        <v>2936</v>
      </c>
      <c r="C55" s="2994">
        <v>21970</v>
      </c>
      <c r="D55" s="2994">
        <v>20370</v>
      </c>
      <c r="E55" s="2994">
        <v>20180</v>
      </c>
      <c r="F55" s="2994">
        <v>5730</v>
      </c>
      <c r="G55" s="2994">
        <v>13820</v>
      </c>
      <c r="N55" s="2336" t="s">
        <v>2937</v>
      </c>
    </row>
    <row r="56" spans="1:17" ht="14.25" customHeight="1">
      <c r="A56" s="2336" t="s">
        <v>108</v>
      </c>
      <c r="B56" s="2336" t="s">
        <v>128</v>
      </c>
      <c r="C56" s="2994">
        <v>20470</v>
      </c>
      <c r="D56" s="2994">
        <v>20700</v>
      </c>
      <c r="E56" s="2994">
        <v>20380</v>
      </c>
      <c r="F56" s="2994">
        <v>4760</v>
      </c>
      <c r="G56" s="2994">
        <v>14050</v>
      </c>
      <c r="N56" s="2336" t="s">
        <v>2938</v>
      </c>
    </row>
    <row r="57" spans="1:17" ht="14.25" customHeight="1">
      <c r="A57" s="2336" t="s">
        <v>108</v>
      </c>
      <c r="B57" s="2336" t="s">
        <v>137</v>
      </c>
      <c r="C57" s="2994">
        <v>20790</v>
      </c>
      <c r="D57" s="2994">
        <v>21370</v>
      </c>
      <c r="E57" s="2994">
        <v>20890</v>
      </c>
      <c r="F57" s="2994">
        <v>4910</v>
      </c>
      <c r="G57" s="2994">
        <v>14510</v>
      </c>
      <c r="N57" s="2336" t="s">
        <v>2939</v>
      </c>
    </row>
    <row r="58" spans="1:17" ht="14.25" customHeight="1">
      <c r="A58" s="2336" t="s">
        <v>108</v>
      </c>
      <c r="B58" s="2336" t="s">
        <v>146</v>
      </c>
      <c r="C58" s="2994">
        <v>21460</v>
      </c>
      <c r="D58" s="2994">
        <v>20920</v>
      </c>
      <c r="E58" s="2994">
        <v>23410</v>
      </c>
      <c r="F58" s="2994">
        <v>5100</v>
      </c>
      <c r="G58" s="2994">
        <v>14200</v>
      </c>
      <c r="N58" s="2336" t="s">
        <v>2940</v>
      </c>
    </row>
    <row r="59" spans="1:17" ht="14.25" customHeight="1">
      <c r="A59" s="2336" t="s">
        <v>108</v>
      </c>
      <c r="B59" s="2336" t="s">
        <v>155</v>
      </c>
      <c r="C59" s="2994">
        <v>21000</v>
      </c>
      <c r="D59" s="2994">
        <v>21550</v>
      </c>
      <c r="E59" s="2994">
        <v>21150</v>
      </c>
      <c r="F59" s="2994">
        <v>5250</v>
      </c>
      <c r="G59" s="2994">
        <v>14630</v>
      </c>
      <c r="N59" s="2336" t="s">
        <v>2941</v>
      </c>
    </row>
    <row r="60" spans="1:17" ht="14.25" customHeight="1">
      <c r="A60" s="2336" t="s">
        <v>108</v>
      </c>
      <c r="B60" s="2336" t="s">
        <v>162</v>
      </c>
      <c r="C60" s="2994">
        <v>21640</v>
      </c>
      <c r="D60" s="2994">
        <v>21260</v>
      </c>
      <c r="E60" s="2994">
        <v>24040</v>
      </c>
      <c r="F60" s="2994">
        <v>4470</v>
      </c>
      <c r="G60" s="2994">
        <v>14430</v>
      </c>
      <c r="N60" s="2336" t="s">
        <v>2942</v>
      </c>
    </row>
    <row r="61" spans="1:17" ht="14.25" customHeight="1">
      <c r="A61" s="2336" t="s">
        <v>108</v>
      </c>
      <c r="B61" s="2336" t="s">
        <v>168</v>
      </c>
      <c r="C61" s="2994">
        <v>21330</v>
      </c>
      <c r="D61" s="2994">
        <v>18640</v>
      </c>
      <c r="E61" s="2994">
        <v>21190</v>
      </c>
      <c r="F61" s="2994">
        <v>4180</v>
      </c>
      <c r="G61" s="2994">
        <v>12650</v>
      </c>
      <c r="N61" s="2336" t="s">
        <v>2943</v>
      </c>
    </row>
    <row r="62" spans="1:17" ht="14.25" customHeight="1">
      <c r="A62" s="2336" t="s">
        <v>108</v>
      </c>
      <c r="B62" s="2336" t="s">
        <v>175</v>
      </c>
      <c r="C62" s="2994">
        <v>18710</v>
      </c>
      <c r="D62" s="2994">
        <v>19400</v>
      </c>
      <c r="E62" s="2994">
        <v>23750</v>
      </c>
      <c r="F62" s="2994">
        <v>4860</v>
      </c>
      <c r="G62" s="2994">
        <v>13170</v>
      </c>
      <c r="N62" s="2336" t="s">
        <v>2944</v>
      </c>
    </row>
    <row r="63" spans="1:17" ht="14.25" customHeight="1">
      <c r="A63" s="2336" t="s">
        <v>108</v>
      </c>
      <c r="B63" s="2336" t="s">
        <v>185</v>
      </c>
      <c r="C63" s="2994">
        <v>19480</v>
      </c>
      <c r="D63" s="2994">
        <v>16830</v>
      </c>
      <c r="E63" s="2994">
        <v>21590</v>
      </c>
      <c r="F63" s="2994">
        <v>4560</v>
      </c>
      <c r="G63" s="2994">
        <v>11420</v>
      </c>
      <c r="N63" s="2336" t="s">
        <v>2945</v>
      </c>
    </row>
    <row r="64" spans="1:17" ht="14.25" customHeight="1" thickBot="1">
      <c r="A64" s="2336" t="s">
        <v>108</v>
      </c>
      <c r="B64" s="2336" t="s">
        <v>194</v>
      </c>
      <c r="C64" s="2994">
        <v>16920</v>
      </c>
      <c r="D64" s="2994">
        <v>19190</v>
      </c>
      <c r="E64" s="2994">
        <v>22200</v>
      </c>
      <c r="F64" s="2994">
        <v>4390</v>
      </c>
      <c r="G64" s="2994">
        <v>13030</v>
      </c>
      <c r="N64" s="2343" t="s">
        <v>2946</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2817</v>
      </c>
      <c r="C78" s="2994">
        <v>19820</v>
      </c>
      <c r="D78" s="2994">
        <v>19780</v>
      </c>
      <c r="E78" s="2994">
        <v>18560</v>
      </c>
      <c r="F78" s="2994"/>
      <c r="G78" s="2994">
        <v>13430</v>
      </c>
    </row>
    <row r="79" spans="1:7" s="2201" customFormat="1" ht="14.25" customHeight="1">
      <c r="A79" s="2336" t="s">
        <v>108</v>
      </c>
      <c r="B79" s="2336" t="s">
        <v>2820</v>
      </c>
      <c r="C79" s="2994">
        <v>21660</v>
      </c>
      <c r="D79" s="2994">
        <v>18000</v>
      </c>
      <c r="E79" s="2994">
        <v>22570</v>
      </c>
      <c r="F79" s="2994"/>
      <c r="G79" s="2994">
        <v>12220</v>
      </c>
    </row>
    <row r="80" spans="1:7" s="2201" customFormat="1" ht="14.25" customHeight="1">
      <c r="A80" s="2336" t="s">
        <v>108</v>
      </c>
      <c r="B80" s="2336" t="s">
        <v>2824</v>
      </c>
      <c r="C80" s="2994">
        <v>19850</v>
      </c>
      <c r="D80" s="2994"/>
      <c r="E80" s="2994">
        <v>21700</v>
      </c>
      <c r="F80" s="2994"/>
      <c r="G80" s="2994"/>
    </row>
    <row r="81" spans="1:7" s="2201" customFormat="1" ht="14.25" customHeight="1">
      <c r="A81" s="2336" t="s">
        <v>108</v>
      </c>
      <c r="B81" s="2336" t="s">
        <v>2829</v>
      </c>
      <c r="C81" s="2994">
        <v>18080</v>
      </c>
      <c r="D81" s="2994"/>
      <c r="E81" s="2994">
        <v>20900</v>
      </c>
      <c r="F81" s="2994"/>
      <c r="G81" s="2994"/>
    </row>
    <row r="82" spans="1:7" s="2201" customFormat="1" ht="14.25" customHeight="1">
      <c r="A82" s="2336" t="s">
        <v>108</v>
      </c>
      <c r="B82" s="2336" t="s">
        <v>2836</v>
      </c>
      <c r="C82" s="2994"/>
      <c r="D82" s="2994"/>
      <c r="E82" s="2994">
        <v>20840</v>
      </c>
      <c r="F82" s="2994"/>
      <c r="G82" s="2994"/>
    </row>
    <row r="83" spans="1:7" s="2201" customFormat="1" ht="14.25" customHeight="1">
      <c r="A83" s="2336" t="s">
        <v>108</v>
      </c>
      <c r="B83" s="2336" t="s">
        <v>2947</v>
      </c>
      <c r="C83" s="2994"/>
      <c r="D83" s="2994"/>
      <c r="E83" s="2994"/>
      <c r="F83" s="2994">
        <v>4770</v>
      </c>
      <c r="G83" s="2994"/>
    </row>
    <row r="84" spans="1:7" s="2201" customFormat="1" ht="14.25" customHeight="1">
      <c r="A84" s="2336" t="s">
        <v>108</v>
      </c>
      <c r="B84" s="2336" t="s">
        <v>2948</v>
      </c>
      <c r="C84" s="2994"/>
      <c r="D84" s="2994"/>
      <c r="E84" s="2994"/>
      <c r="F84" s="2994">
        <v>4600</v>
      </c>
      <c r="G84" s="2994"/>
    </row>
    <row r="85" spans="1:7" s="2201" customFormat="1" ht="14.25" customHeight="1">
      <c r="A85" s="2336" t="s">
        <v>108</v>
      </c>
      <c r="B85" s="2336" t="s">
        <v>2949</v>
      </c>
      <c r="C85" s="2994"/>
      <c r="D85" s="2994"/>
      <c r="E85" s="2994"/>
      <c r="F85" s="2994">
        <v>4680</v>
      </c>
      <c r="G85" s="2994"/>
    </row>
    <row r="86" spans="1:7" s="2201" customFormat="1" ht="14.25" customHeight="1" thickBot="1">
      <c r="A86" s="2344" t="s">
        <v>108</v>
      </c>
      <c r="B86" s="2346" t="s">
        <v>2950</v>
      </c>
      <c r="C86" s="2996">
        <v>16610</v>
      </c>
      <c r="D86" s="2996">
        <v>16540</v>
      </c>
      <c r="E86" s="2996">
        <v>18850</v>
      </c>
      <c r="F86" s="2996"/>
      <c r="G86" s="2996">
        <v>11220</v>
      </c>
    </row>
    <row r="87" spans="1:7" s="2201" customFormat="1" ht="14.25" customHeight="1">
      <c r="A87" s="2341" t="s">
        <v>301</v>
      </c>
      <c r="B87" s="2332" t="s">
        <v>2951</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2830</v>
      </c>
      <c r="C113" s="2994">
        <v>15520</v>
      </c>
      <c r="D113" s="2994">
        <v>15450</v>
      </c>
      <c r="E113" s="2994"/>
      <c r="F113" s="2994"/>
      <c r="G113" s="2998">
        <v>10210</v>
      </c>
    </row>
    <row r="114" spans="1:7" s="2201" customFormat="1" ht="14.25" customHeight="1">
      <c r="A114" s="2336" t="s">
        <v>301</v>
      </c>
      <c r="B114" s="2336" t="s">
        <v>2837</v>
      </c>
      <c r="C114" s="2994">
        <v>13110</v>
      </c>
      <c r="D114" s="2994">
        <v>13050</v>
      </c>
      <c r="E114" s="2994"/>
      <c r="F114" s="2994"/>
      <c r="G114" s="2998">
        <v>8620</v>
      </c>
    </row>
    <row r="115" spans="1:7" s="2201" customFormat="1" ht="14.25" customHeight="1">
      <c r="A115" s="2336" t="s">
        <v>301</v>
      </c>
      <c r="B115" s="2336" t="s">
        <v>2843</v>
      </c>
      <c r="C115" s="2994">
        <v>12460</v>
      </c>
      <c r="D115" s="2994">
        <v>12390</v>
      </c>
      <c r="E115" s="2994"/>
      <c r="F115" s="2994"/>
      <c r="G115" s="2998">
        <v>8190</v>
      </c>
    </row>
    <row r="116" spans="1:7" s="2201" customFormat="1" ht="14.25" customHeight="1">
      <c r="A116" s="2336" t="s">
        <v>301</v>
      </c>
      <c r="B116" s="2336" t="s">
        <v>2850</v>
      </c>
      <c r="C116" s="2994">
        <v>13580</v>
      </c>
      <c r="D116" s="2994">
        <v>13520</v>
      </c>
      <c r="E116" s="2994"/>
      <c r="F116" s="2994"/>
      <c r="G116" s="2998">
        <v>8930</v>
      </c>
    </row>
    <row r="117" spans="1:7" s="2201" customFormat="1" ht="14.25" customHeight="1">
      <c r="A117" s="2336" t="s">
        <v>301</v>
      </c>
      <c r="B117" s="2336" t="s">
        <v>2857</v>
      </c>
      <c r="C117" s="2994">
        <v>17120</v>
      </c>
      <c r="D117" s="2994">
        <v>17040</v>
      </c>
      <c r="E117" s="2994"/>
      <c r="F117" s="2994"/>
      <c r="G117" s="2998">
        <v>11260</v>
      </c>
    </row>
    <row r="118" spans="1:7" s="2201" customFormat="1" ht="14.25" customHeight="1">
      <c r="A118" s="2336" t="s">
        <v>301</v>
      </c>
      <c r="B118" s="2336" t="s">
        <v>2862</v>
      </c>
      <c r="C118" s="2994">
        <v>14860</v>
      </c>
      <c r="D118" s="2994">
        <v>14790</v>
      </c>
      <c r="E118" s="2994"/>
      <c r="F118" s="2994"/>
      <c r="G118" s="2998">
        <v>9780</v>
      </c>
    </row>
    <row r="119" spans="1:7" s="2201" customFormat="1" ht="14.25" customHeight="1">
      <c r="A119" s="2336" t="s">
        <v>301</v>
      </c>
      <c r="B119" s="2336" t="s">
        <v>2866</v>
      </c>
      <c r="C119" s="2994">
        <v>16470</v>
      </c>
      <c r="D119" s="2994">
        <v>16400</v>
      </c>
      <c r="E119" s="2994"/>
      <c r="F119" s="2994"/>
      <c r="G119" s="2998">
        <v>10840</v>
      </c>
    </row>
    <row r="120" spans="1:7" s="2201" customFormat="1" ht="14.25" customHeight="1">
      <c r="A120" s="2336" t="s">
        <v>301</v>
      </c>
      <c r="B120" s="2336" t="s">
        <v>2952</v>
      </c>
      <c r="C120" s="2994"/>
      <c r="D120" s="2994"/>
      <c r="E120" s="2994"/>
      <c r="F120" s="2994">
        <v>4160</v>
      </c>
      <c r="G120" s="2998"/>
    </row>
    <row r="121" spans="1:7" s="2201" customFormat="1" ht="14.25" customHeight="1">
      <c r="A121" s="2336" t="s">
        <v>301</v>
      </c>
      <c r="B121" s="2336" t="s">
        <v>2953</v>
      </c>
      <c r="C121" s="2994"/>
      <c r="D121" s="2994"/>
      <c r="E121" s="2994"/>
      <c r="F121" s="2994">
        <v>3880</v>
      </c>
      <c r="G121" s="2998"/>
    </row>
    <row r="122" spans="1:7" s="2201" customFormat="1" ht="14.25" customHeight="1">
      <c r="A122" s="2336" t="s">
        <v>301</v>
      </c>
      <c r="B122" s="2336" t="s">
        <v>2954</v>
      </c>
      <c r="C122" s="2994">
        <v>13750</v>
      </c>
      <c r="D122" s="2994">
        <v>13680</v>
      </c>
      <c r="E122" s="2994">
        <v>16460</v>
      </c>
      <c r="F122" s="2994">
        <v>2880</v>
      </c>
      <c r="G122" s="2998">
        <v>9040</v>
      </c>
    </row>
    <row r="123" spans="1:7" s="2201" customFormat="1" ht="14.25" customHeight="1">
      <c r="A123" s="2336" t="s">
        <v>301</v>
      </c>
      <c r="B123" s="2336" t="s">
        <v>2885</v>
      </c>
      <c r="C123" s="2994">
        <v>13590</v>
      </c>
      <c r="D123" s="2994">
        <v>13520</v>
      </c>
      <c r="E123" s="2994">
        <v>16290</v>
      </c>
      <c r="F123" s="2994">
        <v>2790</v>
      </c>
      <c r="G123" s="2998">
        <v>8930</v>
      </c>
    </row>
    <row r="124" spans="1:7" s="2201" customFormat="1" ht="14.25" customHeight="1">
      <c r="A124" s="2336" t="s">
        <v>301</v>
      </c>
      <c r="B124" s="2336" t="s">
        <v>2890</v>
      </c>
      <c r="C124" s="2994">
        <v>13400</v>
      </c>
      <c r="D124" s="2994">
        <v>13320</v>
      </c>
      <c r="E124" s="2994">
        <v>16100</v>
      </c>
      <c r="F124" s="2994">
        <v>2320</v>
      </c>
      <c r="G124" s="2998">
        <v>8800</v>
      </c>
    </row>
    <row r="125" spans="1:7" s="2201" customFormat="1" ht="14.25" customHeight="1">
      <c r="A125" s="2336" t="s">
        <v>301</v>
      </c>
      <c r="B125" s="2336" t="s">
        <v>2895</v>
      </c>
      <c r="C125" s="2994">
        <v>12860</v>
      </c>
      <c r="D125" s="2994">
        <v>12790</v>
      </c>
      <c r="E125" s="2994">
        <v>15370</v>
      </c>
      <c r="F125" s="2994">
        <v>2280</v>
      </c>
      <c r="G125" s="2998">
        <v>8450</v>
      </c>
    </row>
    <row r="126" spans="1:7" s="2201" customFormat="1" ht="14.25" customHeight="1" thickBot="1">
      <c r="A126" s="2348" t="s">
        <v>301</v>
      </c>
      <c r="B126" s="2343" t="s">
        <v>2900</v>
      </c>
      <c r="C126" s="2995">
        <v>12960</v>
      </c>
      <c r="D126" s="2995">
        <v>12890</v>
      </c>
      <c r="E126" s="2995">
        <v>15530</v>
      </c>
      <c r="F126" s="2995">
        <v>2910</v>
      </c>
      <c r="G126" s="2999">
        <v>8520</v>
      </c>
    </row>
    <row r="127" spans="1:7" s="2201" customFormat="1" ht="14.25" customHeight="1">
      <c r="A127" s="2341" t="s">
        <v>27</v>
      </c>
      <c r="B127" s="2332" t="s">
        <v>2955</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2956</v>
      </c>
      <c r="C148" s="2994">
        <v>10370</v>
      </c>
      <c r="D148" s="2994">
        <v>10310</v>
      </c>
      <c r="E148" s="2994">
        <v>12970</v>
      </c>
      <c r="F148" s="2994"/>
      <c r="G148" s="2994">
        <v>6630</v>
      </c>
    </row>
    <row r="149" spans="1:7" s="2201" customFormat="1" ht="14.25" customHeight="1">
      <c r="A149" s="2336" t="s">
        <v>27</v>
      </c>
      <c r="B149" s="2336" t="s">
        <v>2957</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2831</v>
      </c>
      <c r="C153" s="2994">
        <v>10880</v>
      </c>
      <c r="D153" s="2994">
        <v>10820</v>
      </c>
      <c r="E153" s="2994">
        <v>13660</v>
      </c>
      <c r="F153" s="2994">
        <v>2260</v>
      </c>
      <c r="G153" s="2994">
        <v>6970</v>
      </c>
    </row>
    <row r="154" spans="1:7" s="2201" customFormat="1" ht="14.25" customHeight="1">
      <c r="A154" s="2336" t="s">
        <v>27</v>
      </c>
      <c r="B154" s="2336" t="s">
        <v>2958</v>
      </c>
      <c r="C154" s="2994">
        <v>11220</v>
      </c>
      <c r="D154" s="2994">
        <v>11160</v>
      </c>
      <c r="E154" s="2994">
        <v>14130</v>
      </c>
      <c r="F154" s="2994">
        <v>2230</v>
      </c>
      <c r="G154" s="2994">
        <v>7180</v>
      </c>
    </row>
    <row r="155" spans="1:7" s="2201" customFormat="1" ht="14.25" customHeight="1">
      <c r="A155" s="2336" t="s">
        <v>27</v>
      </c>
      <c r="B155" s="2336" t="s">
        <v>2844</v>
      </c>
      <c r="C155" s="2994">
        <v>10430</v>
      </c>
      <c r="D155" s="2994">
        <v>10380</v>
      </c>
      <c r="E155" s="2994">
        <v>13140</v>
      </c>
      <c r="F155" s="2994">
        <v>2080</v>
      </c>
      <c r="G155" s="2994">
        <v>6650</v>
      </c>
    </row>
    <row r="156" spans="1:7" s="2201" customFormat="1" ht="14.25" customHeight="1">
      <c r="A156" s="2336" t="s">
        <v>27</v>
      </c>
      <c r="B156" s="2336" t="s">
        <v>2959</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2960</v>
      </c>
      <c r="C160" s="2994">
        <v>11180</v>
      </c>
      <c r="D160" s="2994">
        <v>11140</v>
      </c>
      <c r="E160" s="2994">
        <v>14050</v>
      </c>
      <c r="F160" s="2994">
        <v>2270</v>
      </c>
      <c r="G160" s="2994">
        <v>7170</v>
      </c>
    </row>
    <row r="161" spans="1:7" s="2201" customFormat="1" ht="14.25" customHeight="1">
      <c r="A161" s="2336" t="s">
        <v>27</v>
      </c>
      <c r="B161" s="2336" t="s">
        <v>2876</v>
      </c>
      <c r="C161" s="2994">
        <v>11160</v>
      </c>
      <c r="D161" s="2994">
        <v>11120</v>
      </c>
      <c r="E161" s="2994">
        <v>14020</v>
      </c>
      <c r="F161" s="2994">
        <v>2150</v>
      </c>
      <c r="G161" s="2994">
        <v>7160</v>
      </c>
    </row>
    <row r="162" spans="1:7" s="2201" customFormat="1" ht="14.25" customHeight="1">
      <c r="A162" s="2336" t="s">
        <v>27</v>
      </c>
      <c r="B162" s="2336" t="s">
        <v>2881</v>
      </c>
      <c r="C162" s="2994">
        <v>9620</v>
      </c>
      <c r="D162" s="2994">
        <v>9570</v>
      </c>
      <c r="E162" s="2994">
        <v>12320</v>
      </c>
      <c r="F162" s="2994">
        <v>2010</v>
      </c>
      <c r="G162" s="2994">
        <v>6160</v>
      </c>
    </row>
    <row r="163" spans="1:7" s="2201" customFormat="1" ht="14.25" customHeight="1">
      <c r="A163" s="2336" t="s">
        <v>27</v>
      </c>
      <c r="B163" s="2336" t="s">
        <v>2886</v>
      </c>
      <c r="C163" s="2994">
        <v>9320</v>
      </c>
      <c r="D163" s="2994">
        <v>9270</v>
      </c>
      <c r="E163" s="2994">
        <v>11790</v>
      </c>
      <c r="F163" s="2994">
        <v>1920</v>
      </c>
      <c r="G163" s="2994">
        <v>5960</v>
      </c>
    </row>
    <row r="164" spans="1:7" s="2201" customFormat="1" ht="14.25" customHeight="1">
      <c r="A164" s="2336" t="s">
        <v>27</v>
      </c>
      <c r="B164" s="2336" t="s">
        <v>2891</v>
      </c>
      <c r="C164" s="2994"/>
      <c r="D164" s="2994"/>
      <c r="E164" s="2994"/>
      <c r="F164" s="2994">
        <v>1980</v>
      </c>
      <c r="G164" s="2994"/>
    </row>
    <row r="165" spans="1:7" s="2201" customFormat="1" ht="14.25" customHeight="1">
      <c r="A165" s="2336" t="s">
        <v>27</v>
      </c>
      <c r="B165" s="2336" t="s">
        <v>2961</v>
      </c>
      <c r="C165" s="2994">
        <v>11060</v>
      </c>
      <c r="D165" s="2994">
        <v>11030</v>
      </c>
      <c r="E165" s="2994">
        <v>13850</v>
      </c>
      <c r="F165" s="2994">
        <v>2170</v>
      </c>
      <c r="G165" s="2994">
        <v>7090</v>
      </c>
    </row>
    <row r="166" spans="1:7" s="2201" customFormat="1" ht="14.25" customHeight="1">
      <c r="A166" s="2336" t="s">
        <v>27</v>
      </c>
      <c r="B166" s="2336" t="s">
        <v>2901</v>
      </c>
      <c r="C166" s="2994">
        <v>11050</v>
      </c>
      <c r="D166" s="2994">
        <v>11010</v>
      </c>
      <c r="E166" s="2994">
        <v>13920</v>
      </c>
      <c r="F166" s="2994">
        <v>2140</v>
      </c>
      <c r="G166" s="2994">
        <v>7080</v>
      </c>
    </row>
    <row r="167" spans="1:7" s="2201" customFormat="1" ht="14.25" customHeight="1">
      <c r="A167" s="2336" t="s">
        <v>27</v>
      </c>
      <c r="B167" s="2336" t="s">
        <v>2905</v>
      </c>
      <c r="C167" s="2994">
        <v>10930</v>
      </c>
      <c r="D167" s="2994">
        <v>10890</v>
      </c>
      <c r="E167" s="2994">
        <v>13790</v>
      </c>
      <c r="F167" s="2994">
        <v>2010</v>
      </c>
      <c r="G167" s="2994">
        <v>7000</v>
      </c>
    </row>
    <row r="168" spans="1:7" s="2201" customFormat="1" ht="14.25" customHeight="1">
      <c r="A168" s="2336" t="s">
        <v>27</v>
      </c>
      <c r="B168" s="2336" t="s">
        <v>2910</v>
      </c>
      <c r="C168" s="2994">
        <v>9420</v>
      </c>
      <c r="D168" s="2994">
        <v>9380</v>
      </c>
      <c r="E168" s="2994">
        <v>11970</v>
      </c>
      <c r="F168" s="2994"/>
      <c r="G168" s="2994">
        <v>6040</v>
      </c>
    </row>
    <row r="169" spans="1:7" s="2201" customFormat="1" ht="14.25" customHeight="1">
      <c r="A169" s="2336" t="s">
        <v>27</v>
      </c>
      <c r="B169" s="2336" t="s">
        <v>2962</v>
      </c>
      <c r="C169" s="2994"/>
      <c r="D169" s="2994"/>
      <c r="E169" s="2994"/>
      <c r="F169" s="2994">
        <v>2880</v>
      </c>
      <c r="G169" s="2994"/>
    </row>
    <row r="170" spans="1:7" s="2201" customFormat="1" ht="14.25" customHeight="1">
      <c r="A170" s="2336" t="s">
        <v>27</v>
      </c>
      <c r="B170" s="2336" t="s">
        <v>2918</v>
      </c>
      <c r="C170" s="2994"/>
      <c r="D170" s="2994"/>
      <c r="E170" s="2994"/>
      <c r="F170" s="2994">
        <v>2880</v>
      </c>
      <c r="G170" s="2994"/>
    </row>
    <row r="171" spans="1:7" s="2201" customFormat="1" ht="14.25" customHeight="1">
      <c r="A171" s="2336" t="s">
        <v>27</v>
      </c>
      <c r="B171" s="2336" t="s">
        <v>2921</v>
      </c>
      <c r="C171" s="2994"/>
      <c r="D171" s="2994"/>
      <c r="E171" s="2994"/>
      <c r="F171" s="2994">
        <v>2880</v>
      </c>
      <c r="G171" s="2994"/>
    </row>
    <row r="172" spans="1:7" s="2201" customFormat="1" ht="14.25" customHeight="1">
      <c r="A172" s="2336" t="s">
        <v>27</v>
      </c>
      <c r="B172" s="2336" t="s">
        <v>2923</v>
      </c>
      <c r="C172" s="2994"/>
      <c r="D172" s="2994"/>
      <c r="E172" s="2994"/>
      <c r="F172" s="2994">
        <v>2880</v>
      </c>
      <c r="G172" s="2994"/>
    </row>
    <row r="173" spans="1:7" s="2201" customFormat="1" ht="14.25" customHeight="1">
      <c r="A173" s="2336" t="s">
        <v>27</v>
      </c>
      <c r="B173" s="2336" t="s">
        <v>2925</v>
      </c>
      <c r="C173" s="2994"/>
      <c r="D173" s="2994"/>
      <c r="E173" s="2994"/>
      <c r="F173" s="2994">
        <v>2150</v>
      </c>
      <c r="G173" s="2994"/>
    </row>
    <row r="174" spans="1:7" s="2201" customFormat="1" ht="14.25" customHeight="1">
      <c r="A174" s="2336" t="s">
        <v>27</v>
      </c>
      <c r="B174" s="2336" t="s">
        <v>2927</v>
      </c>
      <c r="C174" s="2994"/>
      <c r="D174" s="2994"/>
      <c r="E174" s="2994"/>
      <c r="F174" s="2994">
        <v>2030</v>
      </c>
      <c r="G174" s="2994"/>
    </row>
    <row r="175" spans="1:7" s="2201" customFormat="1" ht="14.25" customHeight="1">
      <c r="A175" s="2336" t="s">
        <v>27</v>
      </c>
      <c r="B175" s="2336" t="s">
        <v>2929</v>
      </c>
      <c r="C175" s="2994"/>
      <c r="D175" s="2994"/>
      <c r="E175" s="2994"/>
      <c r="F175" s="2994">
        <v>2780</v>
      </c>
      <c r="G175" s="2994"/>
    </row>
    <row r="176" spans="1:7" s="2201" customFormat="1" ht="14.25" customHeight="1">
      <c r="A176" s="2336" t="s">
        <v>27</v>
      </c>
      <c r="B176" s="2336" t="s">
        <v>2931</v>
      </c>
      <c r="C176" s="2994"/>
      <c r="D176" s="2994"/>
      <c r="E176" s="2994"/>
      <c r="F176" s="2994">
        <v>2780</v>
      </c>
      <c r="G176" s="2994"/>
    </row>
    <row r="177" spans="1:7" s="2201" customFormat="1" ht="14.25" customHeight="1">
      <c r="A177" s="2336" t="s">
        <v>27</v>
      </c>
      <c r="B177" s="2336" t="s">
        <v>2963</v>
      </c>
      <c r="C177" s="2994"/>
      <c r="D177" s="2994"/>
      <c r="E177" s="2994"/>
      <c r="F177" s="2994">
        <v>2780</v>
      </c>
      <c r="G177" s="2994"/>
    </row>
    <row r="178" spans="1:7" s="2201" customFormat="1" ht="14.25" customHeight="1">
      <c r="A178" s="2336" t="s">
        <v>27</v>
      </c>
      <c r="B178" s="2336" t="s">
        <v>2964</v>
      </c>
      <c r="C178" s="2994"/>
      <c r="D178" s="2994"/>
      <c r="E178" s="2994"/>
      <c r="F178" s="2994">
        <v>2060</v>
      </c>
      <c r="G178" s="2994"/>
    </row>
    <row r="179" spans="1:7" s="2201" customFormat="1" ht="14.25" customHeight="1">
      <c r="A179" s="2336" t="s">
        <v>27</v>
      </c>
      <c r="B179" s="2336" t="s">
        <v>2965</v>
      </c>
      <c r="C179" s="2994"/>
      <c r="D179" s="2994"/>
      <c r="E179" s="2994"/>
      <c r="F179" s="2994">
        <v>2120</v>
      </c>
      <c r="G179" s="2994"/>
    </row>
    <row r="180" spans="1:7" s="2201" customFormat="1" ht="14.25" customHeight="1">
      <c r="A180" s="2336" t="s">
        <v>27</v>
      </c>
      <c r="B180" s="2336" t="s">
        <v>2937</v>
      </c>
      <c r="C180" s="2994"/>
      <c r="D180" s="2994"/>
      <c r="E180" s="2994"/>
      <c r="F180" s="2994">
        <v>2340</v>
      </c>
      <c r="G180" s="2994"/>
    </row>
    <row r="181" spans="1:7" s="2201" customFormat="1" ht="14.25" customHeight="1">
      <c r="A181" s="2336" t="s">
        <v>27</v>
      </c>
      <c r="B181" s="2336" t="s">
        <v>2938</v>
      </c>
      <c r="C181" s="2994"/>
      <c r="D181" s="2994"/>
      <c r="E181" s="2994"/>
      <c r="F181" s="2994">
        <v>2340</v>
      </c>
      <c r="G181" s="2994"/>
    </row>
    <row r="182" spans="1:7" s="2201" customFormat="1" ht="14.25" customHeight="1">
      <c r="A182" s="2336" t="s">
        <v>27</v>
      </c>
      <c r="B182" s="2336" t="s">
        <v>2939</v>
      </c>
      <c r="C182" s="2994"/>
      <c r="D182" s="2994"/>
      <c r="E182" s="2994"/>
      <c r="F182" s="2994">
        <v>2340</v>
      </c>
      <c r="G182" s="2994"/>
    </row>
    <row r="183" spans="1:7" s="2201" customFormat="1" ht="14.25" customHeight="1">
      <c r="A183" s="2336" t="s">
        <v>27</v>
      </c>
      <c r="B183" s="2336" t="s">
        <v>2940</v>
      </c>
      <c r="C183" s="2994"/>
      <c r="D183" s="2994"/>
      <c r="E183" s="2994"/>
      <c r="F183" s="2994">
        <v>2340</v>
      </c>
      <c r="G183" s="2994"/>
    </row>
    <row r="184" spans="1:7" s="2201" customFormat="1" ht="14.25" customHeight="1">
      <c r="A184" s="2336" t="s">
        <v>27</v>
      </c>
      <c r="B184" s="2336" t="s">
        <v>2941</v>
      </c>
      <c r="C184" s="2994"/>
      <c r="D184" s="2994"/>
      <c r="E184" s="2994"/>
      <c r="F184" s="2994">
        <v>2340</v>
      </c>
      <c r="G184" s="2994"/>
    </row>
    <row r="185" spans="1:7" s="2201" customFormat="1" ht="14.25" customHeight="1">
      <c r="A185" s="2336" t="s">
        <v>27</v>
      </c>
      <c r="B185" s="2336" t="s">
        <v>2942</v>
      </c>
      <c r="C185" s="2994"/>
      <c r="D185" s="2994"/>
      <c r="E185" s="2994"/>
      <c r="F185" s="2994">
        <v>2530</v>
      </c>
      <c r="G185" s="2994"/>
    </row>
    <row r="186" spans="1:7" s="2201" customFormat="1" ht="14.25" customHeight="1">
      <c r="A186" s="2336" t="s">
        <v>27</v>
      </c>
      <c r="B186" s="2336" t="s">
        <v>2943</v>
      </c>
      <c r="C186" s="2994"/>
      <c r="D186" s="2994"/>
      <c r="E186" s="2994"/>
      <c r="F186" s="2994">
        <v>2550</v>
      </c>
      <c r="G186" s="2994"/>
    </row>
    <row r="187" spans="1:7" s="2201" customFormat="1" ht="14.25" customHeight="1">
      <c r="A187" s="2336" t="s">
        <v>27</v>
      </c>
      <c r="B187" s="2336" t="s">
        <v>2944</v>
      </c>
      <c r="C187" s="2994"/>
      <c r="D187" s="2994"/>
      <c r="E187" s="2994"/>
      <c r="F187" s="2994">
        <v>2070</v>
      </c>
      <c r="G187" s="2994"/>
    </row>
    <row r="188" spans="1:7" s="2201" customFormat="1" ht="14.25" customHeight="1">
      <c r="A188" s="2336" t="s">
        <v>27</v>
      </c>
      <c r="B188" s="2336" t="s">
        <v>2945</v>
      </c>
      <c r="C188" s="2994"/>
      <c r="D188" s="2994"/>
      <c r="E188" s="2994"/>
      <c r="F188" s="2994">
        <v>2340</v>
      </c>
      <c r="G188" s="2994"/>
    </row>
    <row r="189" spans="1:7" s="2201" customFormat="1" ht="14.25" customHeight="1" thickBot="1">
      <c r="A189" s="2344" t="s">
        <v>27</v>
      </c>
      <c r="B189" s="2347" t="s">
        <v>2946</v>
      </c>
      <c r="C189" s="2996"/>
      <c r="D189" s="2996"/>
      <c r="E189" s="2996"/>
      <c r="F189" s="2996">
        <v>2050</v>
      </c>
      <c r="G189" s="2996"/>
    </row>
    <row r="190" spans="1:7" s="2201" customFormat="1" ht="14.25" customHeight="1">
      <c r="A190" s="2341" t="s">
        <v>302</v>
      </c>
      <c r="B190" s="2332" t="s">
        <v>2966</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2967</v>
      </c>
      <c r="C199" s="2994">
        <v>8690</v>
      </c>
      <c r="D199" s="2994">
        <v>8630</v>
      </c>
      <c r="E199" s="2994">
        <v>11350</v>
      </c>
      <c r="F199" s="2994">
        <v>1600</v>
      </c>
      <c r="G199" s="2998">
        <v>5450</v>
      </c>
    </row>
    <row r="200" spans="1:7" s="2201" customFormat="1" ht="14.25" customHeight="1">
      <c r="A200" s="2336" t="s">
        <v>302</v>
      </c>
      <c r="B200" s="2336" t="s">
        <v>2778</v>
      </c>
      <c r="C200" s="2994"/>
      <c r="D200" s="2994"/>
      <c r="E200" s="2994"/>
      <c r="F200" s="2994">
        <v>1510</v>
      </c>
      <c r="G200" s="2998"/>
    </row>
    <row r="201" spans="1:7" s="2201" customFormat="1" ht="14.25" customHeight="1">
      <c r="A201" s="2336" t="s">
        <v>302</v>
      </c>
      <c r="B201" s="2336" t="s">
        <v>2968</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2969</v>
      </c>
      <c r="C203" s="2994">
        <v>8130</v>
      </c>
      <c r="D203" s="2994">
        <v>8070</v>
      </c>
      <c r="E203" s="2994">
        <v>10820</v>
      </c>
      <c r="F203" s="2994">
        <v>1690</v>
      </c>
      <c r="G203" s="2998">
        <v>5100</v>
      </c>
    </row>
    <row r="204" spans="1:7" s="2201" customFormat="1" ht="14.25" customHeight="1">
      <c r="A204" s="2336" t="s">
        <v>302</v>
      </c>
      <c r="B204" s="2336" t="s">
        <v>2789</v>
      </c>
      <c r="C204" s="2994">
        <v>8350</v>
      </c>
      <c r="D204" s="2994">
        <v>8290</v>
      </c>
      <c r="E204" s="2994">
        <v>11080</v>
      </c>
      <c r="F204" s="2994">
        <v>1450</v>
      </c>
      <c r="G204" s="2998">
        <v>5240</v>
      </c>
    </row>
    <row r="205" spans="1:7" s="2201" customFormat="1" ht="14.25" customHeight="1">
      <c r="A205" s="2336" t="s">
        <v>302</v>
      </c>
      <c r="B205" s="2336" t="s">
        <v>2791</v>
      </c>
      <c r="C205" s="2994">
        <v>7190</v>
      </c>
      <c r="D205" s="2994">
        <v>7130</v>
      </c>
      <c r="E205" s="2994">
        <v>9490</v>
      </c>
      <c r="F205" s="2994">
        <v>1470</v>
      </c>
      <c r="G205" s="2998">
        <v>4510</v>
      </c>
    </row>
    <row r="206" spans="1:7" s="2201" customFormat="1" ht="14.25" customHeight="1">
      <c r="A206" s="2336" t="s">
        <v>302</v>
      </c>
      <c r="B206" s="2336" t="s">
        <v>2794</v>
      </c>
      <c r="C206" s="2994">
        <v>7000</v>
      </c>
      <c r="D206" s="2994">
        <v>6950</v>
      </c>
      <c r="E206" s="2994">
        <v>9170</v>
      </c>
      <c r="F206" s="2994">
        <v>1400</v>
      </c>
      <c r="G206" s="2998">
        <v>4380</v>
      </c>
    </row>
    <row r="207" spans="1:7" s="2201" customFormat="1" ht="14.25" customHeight="1">
      <c r="A207" s="2336" t="s">
        <v>302</v>
      </c>
      <c r="B207" s="2336" t="s">
        <v>2796</v>
      </c>
      <c r="C207" s="2994">
        <v>6950</v>
      </c>
      <c r="D207" s="2994">
        <v>6900</v>
      </c>
      <c r="E207" s="2994">
        <v>9110</v>
      </c>
      <c r="F207" s="2994">
        <v>1790</v>
      </c>
      <c r="G207" s="2998">
        <v>4360</v>
      </c>
    </row>
    <row r="208" spans="1:7" s="2201" customFormat="1" ht="14.25" customHeight="1">
      <c r="A208" s="2336" t="s">
        <v>302</v>
      </c>
      <c r="B208" s="2336" t="s">
        <v>2970</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2806</v>
      </c>
      <c r="C210" s="2994">
        <v>8710</v>
      </c>
      <c r="D210" s="2994">
        <v>8660</v>
      </c>
      <c r="E210" s="2994">
        <v>11440</v>
      </c>
      <c r="F210" s="2994">
        <v>1740</v>
      </c>
      <c r="G210" s="2998">
        <v>5470</v>
      </c>
    </row>
    <row r="211" spans="1:7" s="2201" customFormat="1" ht="14.25" customHeight="1">
      <c r="A211" s="2336" t="s">
        <v>302</v>
      </c>
      <c r="B211" s="2336" t="s">
        <v>2971</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2972</v>
      </c>
      <c r="C214" s="2994">
        <v>8090</v>
      </c>
      <c r="D214" s="2994">
        <v>8030</v>
      </c>
      <c r="E214" s="2994">
        <v>10780</v>
      </c>
      <c r="F214" s="2994">
        <v>1570</v>
      </c>
      <c r="G214" s="2998">
        <v>5070</v>
      </c>
    </row>
    <row r="215" spans="1:7" s="2201" customFormat="1" ht="14.25" customHeight="1">
      <c r="A215" s="2336" t="s">
        <v>302</v>
      </c>
      <c r="B215" s="2336" t="s">
        <v>2973</v>
      </c>
      <c r="C215" s="2994">
        <v>7950</v>
      </c>
      <c r="D215" s="2994">
        <v>7900</v>
      </c>
      <c r="E215" s="2994">
        <v>10560</v>
      </c>
      <c r="F215" s="2994">
        <v>1630</v>
      </c>
      <c r="G215" s="2998">
        <v>4990</v>
      </c>
    </row>
    <row r="216" spans="1:7" s="2201" customFormat="1" ht="14.25" customHeight="1">
      <c r="A216" s="2336" t="s">
        <v>302</v>
      </c>
      <c r="B216" s="2336" t="s">
        <v>2974</v>
      </c>
      <c r="C216" s="2994">
        <v>8490</v>
      </c>
      <c r="D216" s="2994">
        <v>8440</v>
      </c>
      <c r="E216" s="2994">
        <v>11260</v>
      </c>
      <c r="F216" s="2994">
        <v>1690</v>
      </c>
      <c r="G216" s="2998">
        <v>5330</v>
      </c>
    </row>
    <row r="217" spans="1:7" s="2201" customFormat="1" ht="14.25" customHeight="1">
      <c r="A217" s="2336" t="s">
        <v>302</v>
      </c>
      <c r="B217" s="2336" t="s">
        <v>2839</v>
      </c>
      <c r="C217" s="2994">
        <v>8200</v>
      </c>
      <c r="D217" s="2994">
        <v>8150</v>
      </c>
      <c r="E217" s="2994">
        <v>10910</v>
      </c>
      <c r="F217" s="2994">
        <v>1670</v>
      </c>
      <c r="G217" s="2998">
        <v>5150</v>
      </c>
    </row>
    <row r="218" spans="1:7" s="2201" customFormat="1" ht="14.25" customHeight="1">
      <c r="A218" s="2336" t="s">
        <v>302</v>
      </c>
      <c r="B218" s="2336" t="s">
        <v>2975</v>
      </c>
      <c r="C218" s="2994"/>
      <c r="D218" s="2994"/>
      <c r="E218" s="2994"/>
      <c r="F218" s="2994">
        <v>2040</v>
      </c>
      <c r="G218" s="2998"/>
    </row>
    <row r="219" spans="1:7" s="2201" customFormat="1" ht="14.25" customHeight="1">
      <c r="A219" s="2336" t="s">
        <v>302</v>
      </c>
      <c r="B219" s="2336" t="s">
        <v>2976</v>
      </c>
      <c r="C219" s="2994"/>
      <c r="D219" s="2994"/>
      <c r="E219" s="2994"/>
      <c r="F219" s="2994">
        <v>2040</v>
      </c>
      <c r="G219" s="2998"/>
    </row>
    <row r="220" spans="1:7" s="2201" customFormat="1" ht="14.25" customHeight="1">
      <c r="A220" s="2336" t="s">
        <v>302</v>
      </c>
      <c r="B220" s="2336" t="s">
        <v>2977</v>
      </c>
      <c r="C220" s="2994"/>
      <c r="D220" s="2994"/>
      <c r="E220" s="2994"/>
      <c r="F220" s="2994">
        <v>2040</v>
      </c>
      <c r="G220" s="2998"/>
    </row>
    <row r="221" spans="1:7" s="2201" customFormat="1" ht="14.25" customHeight="1">
      <c r="A221" s="2336" t="s">
        <v>302</v>
      </c>
      <c r="B221" s="2336" t="s">
        <v>2978</v>
      </c>
      <c r="C221" s="2994"/>
      <c r="D221" s="2994"/>
      <c r="E221" s="2994"/>
      <c r="F221" s="2994">
        <v>2040</v>
      </c>
      <c r="G221" s="2998"/>
    </row>
    <row r="222" spans="1:7" s="2201" customFormat="1" ht="14.25" customHeight="1">
      <c r="A222" s="2336" t="s">
        <v>302</v>
      </c>
      <c r="B222" s="2336" t="s">
        <v>2979</v>
      </c>
      <c r="C222" s="2994"/>
      <c r="D222" s="2994"/>
      <c r="E222" s="2994"/>
      <c r="F222" s="2994">
        <v>2040</v>
      </c>
      <c r="G222" s="2998"/>
    </row>
    <row r="223" spans="1:7" s="2201" customFormat="1" ht="14.25" customHeight="1">
      <c r="A223" s="2336" t="s">
        <v>302</v>
      </c>
      <c r="B223" s="2336" t="s">
        <v>2980</v>
      </c>
      <c r="C223" s="2994"/>
      <c r="D223" s="2994"/>
      <c r="E223" s="2994"/>
      <c r="F223" s="2994">
        <v>1930</v>
      </c>
      <c r="G223" s="2998"/>
    </row>
    <row r="224" spans="1:7" s="2201" customFormat="1" ht="14.25" customHeight="1">
      <c r="A224" s="2336" t="s">
        <v>302</v>
      </c>
      <c r="B224" s="2336" t="s">
        <v>2981</v>
      </c>
      <c r="C224" s="2994"/>
      <c r="D224" s="2994"/>
      <c r="E224" s="2994"/>
      <c r="F224" s="2994">
        <v>1930</v>
      </c>
      <c r="G224" s="2998"/>
    </row>
    <row r="225" spans="1:7" s="2201" customFormat="1" ht="14.25" customHeight="1">
      <c r="A225" s="2336" t="s">
        <v>302</v>
      </c>
      <c r="B225" s="2336" t="s">
        <v>2982</v>
      </c>
      <c r="C225" s="2994"/>
      <c r="D225" s="2994"/>
      <c r="E225" s="2994"/>
      <c r="F225" s="2994">
        <v>1930</v>
      </c>
      <c r="G225" s="2998"/>
    </row>
    <row r="226" spans="1:7" s="2201" customFormat="1" ht="14.25" customHeight="1">
      <c r="A226" s="2336" t="s">
        <v>302</v>
      </c>
      <c r="B226" s="2336" t="s">
        <v>2983</v>
      </c>
      <c r="C226" s="2994"/>
      <c r="D226" s="2994"/>
      <c r="E226" s="2994"/>
      <c r="F226" s="2994">
        <v>1700</v>
      </c>
      <c r="G226" s="2998"/>
    </row>
    <row r="227" spans="1:7" s="2201" customFormat="1" ht="14.25" customHeight="1">
      <c r="A227" s="2336" t="s">
        <v>302</v>
      </c>
      <c r="B227" s="2336" t="s">
        <v>2984</v>
      </c>
      <c r="C227" s="2994"/>
      <c r="D227" s="2994"/>
      <c r="E227" s="2994"/>
      <c r="F227" s="2994">
        <v>1520</v>
      </c>
      <c r="G227" s="2998"/>
    </row>
    <row r="228" spans="1:7" s="2201" customFormat="1" ht="14.25" customHeight="1">
      <c r="A228" s="2336" t="s">
        <v>302</v>
      </c>
      <c r="B228" s="2336" t="s">
        <v>2985</v>
      </c>
      <c r="C228" s="2994"/>
      <c r="D228" s="2994"/>
      <c r="E228" s="2994"/>
      <c r="F228" s="2994">
        <v>1520</v>
      </c>
      <c r="G228" s="2998"/>
    </row>
    <row r="229" spans="1:7" s="2201" customFormat="1" ht="14.25" customHeight="1">
      <c r="A229" s="2336" t="s">
        <v>302</v>
      </c>
      <c r="B229" s="2336" t="s">
        <v>2902</v>
      </c>
      <c r="C229" s="2994"/>
      <c r="D229" s="2994"/>
      <c r="E229" s="2994"/>
      <c r="F229" s="2994">
        <v>1520</v>
      </c>
      <c r="G229" s="2998"/>
    </row>
    <row r="230" spans="1:7" s="2201" customFormat="1" ht="14.25" customHeight="1">
      <c r="A230" s="2336" t="s">
        <v>302</v>
      </c>
      <c r="B230" s="2336" t="s">
        <v>2986</v>
      </c>
      <c r="C230" s="2994"/>
      <c r="D230" s="2994"/>
      <c r="E230" s="2994"/>
      <c r="F230" s="2994">
        <v>1820</v>
      </c>
      <c r="G230" s="2998"/>
    </row>
    <row r="231" spans="1:7" s="2201" customFormat="1" ht="14.25" customHeight="1">
      <c r="A231" s="2336" t="s">
        <v>302</v>
      </c>
      <c r="B231" s="2336" t="s">
        <v>2987</v>
      </c>
      <c r="C231" s="2994"/>
      <c r="D231" s="2994"/>
      <c r="E231" s="2994"/>
      <c r="F231" s="2994">
        <v>1760</v>
      </c>
      <c r="G231" s="2998"/>
    </row>
    <row r="232" spans="1:7" s="2201" customFormat="1" ht="14.25" customHeight="1">
      <c r="A232" s="2336" t="s">
        <v>302</v>
      </c>
      <c r="B232" s="2336" t="s">
        <v>2988</v>
      </c>
      <c r="C232" s="2994"/>
      <c r="D232" s="2994"/>
      <c r="E232" s="2994"/>
      <c r="F232" s="2994">
        <v>1840</v>
      </c>
      <c r="G232" s="2998"/>
    </row>
    <row r="233" spans="1:7" s="2201" customFormat="1" ht="14.25" customHeight="1" thickBot="1">
      <c r="A233" s="2348" t="s">
        <v>302</v>
      </c>
      <c r="B233" s="2343" t="s">
        <v>2919</v>
      </c>
      <c r="C233" s="2995"/>
      <c r="D233" s="2995"/>
      <c r="E233" s="2995"/>
      <c r="F233" s="2995">
        <v>1770</v>
      </c>
      <c r="G233" s="2999"/>
    </row>
    <row r="234" spans="1:7" s="2201" customFormat="1" ht="14.25" customHeight="1">
      <c r="A234" s="2341" t="s">
        <v>303</v>
      </c>
      <c r="B234" s="2332" t="s">
        <v>2989</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2760</v>
      </c>
      <c r="C238" s="2994">
        <v>6920</v>
      </c>
      <c r="D238" s="2994">
        <v>6890</v>
      </c>
      <c r="E238" s="2994">
        <v>8640</v>
      </c>
      <c r="F238" s="2994">
        <v>1310</v>
      </c>
      <c r="G238" s="2994">
        <v>4230</v>
      </c>
    </row>
    <row r="239" spans="1:7" s="2201" customFormat="1" ht="14.25" customHeight="1">
      <c r="A239" s="2336" t="s">
        <v>303</v>
      </c>
      <c r="B239" s="2336" t="s">
        <v>2990</v>
      </c>
      <c r="C239" s="2994">
        <v>6780</v>
      </c>
      <c r="D239" s="2994">
        <v>6750</v>
      </c>
      <c r="E239" s="2994">
        <v>8440</v>
      </c>
      <c r="F239" s="2994">
        <v>1160</v>
      </c>
      <c r="G239" s="2994">
        <v>4140</v>
      </c>
    </row>
    <row r="240" spans="1:7" s="2201" customFormat="1" ht="14.25" customHeight="1">
      <c r="A240" s="2336" t="s">
        <v>303</v>
      </c>
      <c r="B240" s="2336" t="s">
        <v>2991</v>
      </c>
      <c r="C240" s="2994">
        <v>5420</v>
      </c>
      <c r="D240" s="2994">
        <v>5380</v>
      </c>
      <c r="E240" s="2994">
        <v>6640</v>
      </c>
      <c r="F240" s="2994">
        <v>1020</v>
      </c>
      <c r="G240" s="2994">
        <v>3300</v>
      </c>
    </row>
    <row r="241" spans="1:7" s="2201" customFormat="1" ht="14.25" customHeight="1">
      <c r="A241" s="2336" t="s">
        <v>303</v>
      </c>
      <c r="B241" s="2336" t="s">
        <v>2992</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2993</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2994</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2995</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2996</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2997</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2822</v>
      </c>
      <c r="C258" s="2994">
        <v>6190</v>
      </c>
      <c r="D258" s="2994">
        <v>6160</v>
      </c>
      <c r="E258" s="2994">
        <v>7680</v>
      </c>
      <c r="F258" s="2994">
        <v>1170</v>
      </c>
      <c r="G258" s="2994">
        <v>3780</v>
      </c>
    </row>
    <row r="259" spans="1:7" s="2201" customFormat="1" ht="14.25" customHeight="1">
      <c r="A259" s="2336" t="s">
        <v>303</v>
      </c>
      <c r="B259" s="2336" t="s">
        <v>2998</v>
      </c>
      <c r="C259" s="2994">
        <v>7610</v>
      </c>
      <c r="D259" s="2994">
        <v>7570</v>
      </c>
      <c r="E259" s="2994">
        <v>9350</v>
      </c>
      <c r="F259" s="2994">
        <v>1350</v>
      </c>
      <c r="G259" s="2994">
        <v>4650</v>
      </c>
    </row>
    <row r="260" spans="1:7" s="2201" customFormat="1" ht="14.25" customHeight="1">
      <c r="A260" s="2336" t="s">
        <v>303</v>
      </c>
      <c r="B260" s="2336" t="s">
        <v>2999</v>
      </c>
      <c r="C260" s="2994">
        <v>6920</v>
      </c>
      <c r="D260" s="2994">
        <v>6880</v>
      </c>
      <c r="E260" s="2994">
        <v>8380</v>
      </c>
      <c r="F260" s="2994">
        <v>1160</v>
      </c>
      <c r="G260" s="2994">
        <v>4220</v>
      </c>
    </row>
    <row r="261" spans="1:7" s="2201" customFormat="1" ht="14.25" customHeight="1">
      <c r="A261" s="2336" t="s">
        <v>303</v>
      </c>
      <c r="B261" s="2336" t="s">
        <v>3000</v>
      </c>
      <c r="C261" s="2994">
        <v>6850</v>
      </c>
      <c r="D261" s="2994">
        <v>6810</v>
      </c>
      <c r="E261" s="2994">
        <v>8290</v>
      </c>
      <c r="F261" s="2994">
        <v>1130</v>
      </c>
      <c r="G261" s="2994">
        <v>4180</v>
      </c>
    </row>
    <row r="262" spans="1:7" s="2201" customFormat="1" ht="14.25" customHeight="1">
      <c r="A262" s="2336" t="s">
        <v>303</v>
      </c>
      <c r="B262" s="2336" t="s">
        <v>3001</v>
      </c>
      <c r="C262" s="2994">
        <v>5860</v>
      </c>
      <c r="D262" s="2994">
        <v>5820</v>
      </c>
      <c r="E262" s="2994">
        <v>7640</v>
      </c>
      <c r="F262" s="2994">
        <v>1070</v>
      </c>
      <c r="G262" s="2994">
        <v>3570</v>
      </c>
    </row>
    <row r="263" spans="1:7" s="2201" customFormat="1" ht="14.25" customHeight="1">
      <c r="A263" s="2336" t="s">
        <v>303</v>
      </c>
      <c r="B263" s="2336" t="s">
        <v>3002</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3003</v>
      </c>
      <c r="C265" s="2994"/>
      <c r="D265" s="2994"/>
      <c r="E265" s="2994"/>
      <c r="F265" s="2994">
        <v>1500</v>
      </c>
      <c r="G265" s="2994"/>
    </row>
    <row r="266" spans="1:7" s="2201" customFormat="1" ht="14.25" customHeight="1">
      <c r="A266" s="2336" t="s">
        <v>303</v>
      </c>
      <c r="B266" s="2336" t="s">
        <v>3004</v>
      </c>
      <c r="C266" s="2994"/>
      <c r="D266" s="2994"/>
      <c r="E266" s="2994"/>
      <c r="F266" s="2994">
        <v>1500</v>
      </c>
      <c r="G266" s="2994"/>
    </row>
    <row r="267" spans="1:7" s="2201" customFormat="1" ht="14.25" customHeight="1">
      <c r="A267" s="2336" t="s">
        <v>303</v>
      </c>
      <c r="B267" s="2336" t="s">
        <v>3005</v>
      </c>
      <c r="C267" s="2994"/>
      <c r="D267" s="2994"/>
      <c r="E267" s="2994"/>
      <c r="F267" s="2994">
        <v>1500</v>
      </c>
      <c r="G267" s="2994"/>
    </row>
    <row r="268" spans="1:7" s="2201" customFormat="1" ht="14.25" customHeight="1">
      <c r="A268" s="2336" t="s">
        <v>303</v>
      </c>
      <c r="B268" s="2336" t="s">
        <v>3006</v>
      </c>
      <c r="C268" s="2994"/>
      <c r="D268" s="2994"/>
      <c r="E268" s="2994"/>
      <c r="F268" s="2994">
        <v>1290</v>
      </c>
      <c r="G268" s="2994"/>
    </row>
    <row r="269" spans="1:7" s="2201" customFormat="1" ht="14.25" customHeight="1">
      <c r="A269" s="2336" t="s">
        <v>303</v>
      </c>
      <c r="B269" s="2336" t="s">
        <v>3007</v>
      </c>
      <c r="C269" s="2994"/>
      <c r="D269" s="2994"/>
      <c r="E269" s="2994"/>
      <c r="F269" s="2994">
        <v>1150</v>
      </c>
      <c r="G269" s="2994"/>
    </row>
    <row r="270" spans="1:7" s="2201" customFormat="1" ht="14.25" customHeight="1">
      <c r="A270" s="2336" t="s">
        <v>303</v>
      </c>
      <c r="B270" s="2336" t="s">
        <v>3008</v>
      </c>
      <c r="C270" s="2994"/>
      <c r="D270" s="2994"/>
      <c r="E270" s="2994"/>
      <c r="F270" s="2994">
        <v>1380</v>
      </c>
      <c r="G270" s="2994"/>
    </row>
    <row r="271" spans="1:7" s="2201" customFormat="1" ht="14.25" customHeight="1">
      <c r="A271" s="2336" t="s">
        <v>303</v>
      </c>
      <c r="B271" s="2336" t="s">
        <v>3009</v>
      </c>
      <c r="C271" s="2994"/>
      <c r="D271" s="2994"/>
      <c r="E271" s="2994"/>
      <c r="F271" s="2994">
        <v>1460</v>
      </c>
      <c r="G271" s="2994"/>
    </row>
    <row r="272" spans="1:7" s="2201" customFormat="1" ht="14.25" customHeight="1">
      <c r="A272" s="2336" t="s">
        <v>303</v>
      </c>
      <c r="B272" s="2336" t="s">
        <v>3010</v>
      </c>
      <c r="C272" s="2994"/>
      <c r="D272" s="2994"/>
      <c r="E272" s="2994"/>
      <c r="F272" s="2994">
        <v>1460</v>
      </c>
      <c r="G272" s="2994"/>
    </row>
    <row r="273" spans="1:7" s="2201" customFormat="1" ht="14.25" customHeight="1">
      <c r="A273" s="2336" t="s">
        <v>303</v>
      </c>
      <c r="B273" s="2336" t="s">
        <v>2903</v>
      </c>
      <c r="C273" s="2994"/>
      <c r="D273" s="2994"/>
      <c r="E273" s="2994"/>
      <c r="F273" s="2994">
        <v>1490</v>
      </c>
      <c r="G273" s="2994"/>
    </row>
    <row r="274" spans="1:7" s="2201" customFormat="1" ht="14.25" customHeight="1">
      <c r="A274" s="2336" t="s">
        <v>303</v>
      </c>
      <c r="B274" s="2336" t="s">
        <v>3011</v>
      </c>
      <c r="C274" s="2994"/>
      <c r="D274" s="2994"/>
      <c r="E274" s="2994"/>
      <c r="F274" s="2994">
        <v>1490</v>
      </c>
      <c r="G274" s="2994"/>
    </row>
    <row r="275" spans="1:7" s="2201" customFormat="1" ht="14.25" customHeight="1">
      <c r="A275" s="2336" t="s">
        <v>303</v>
      </c>
      <c r="B275" s="2336" t="s">
        <v>3012</v>
      </c>
      <c r="C275" s="2994"/>
      <c r="D275" s="2994"/>
      <c r="E275" s="2994"/>
      <c r="F275" s="2994">
        <v>1220</v>
      </c>
      <c r="G275" s="2994"/>
    </row>
    <row r="276" spans="1:7" s="2201" customFormat="1" ht="14.25" customHeight="1" thickBot="1">
      <c r="A276" s="2344" t="s">
        <v>303</v>
      </c>
      <c r="B276" s="2346" t="s">
        <v>3013</v>
      </c>
      <c r="C276" s="2996"/>
      <c r="D276" s="2996"/>
      <c r="E276" s="2996"/>
      <c r="F276" s="2996">
        <v>1380</v>
      </c>
      <c r="G276" s="2996"/>
    </row>
    <row r="277" spans="1:7" s="2201" customFormat="1" ht="14.25" customHeight="1">
      <c r="A277" s="2341" t="s">
        <v>304</v>
      </c>
      <c r="B277" s="2332" t="s">
        <v>3014</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3015</v>
      </c>
      <c r="C279" s="2994">
        <v>4760</v>
      </c>
      <c r="D279" s="2994">
        <v>4720</v>
      </c>
      <c r="E279" s="2994">
        <v>5540</v>
      </c>
      <c r="F279" s="2994">
        <v>810</v>
      </c>
      <c r="G279" s="2998">
        <v>2850</v>
      </c>
    </row>
    <row r="280" spans="1:7" s="2201" customFormat="1" ht="14.25" customHeight="1">
      <c r="A280" s="2336" t="s">
        <v>304</v>
      </c>
      <c r="B280" s="2336" t="s">
        <v>3016</v>
      </c>
      <c r="C280" s="2994">
        <v>4010</v>
      </c>
      <c r="D280" s="2994">
        <v>3950</v>
      </c>
      <c r="E280" s="2994">
        <v>4710</v>
      </c>
      <c r="F280" s="2994">
        <v>800</v>
      </c>
      <c r="G280" s="2998">
        <v>2390</v>
      </c>
    </row>
    <row r="281" spans="1:7" s="2201" customFormat="1" ht="14.25" customHeight="1">
      <c r="A281" s="2336" t="s">
        <v>304</v>
      </c>
      <c r="B281" s="2336" t="s">
        <v>3017</v>
      </c>
      <c r="C281" s="2994">
        <v>4480</v>
      </c>
      <c r="D281" s="2994">
        <v>4420</v>
      </c>
      <c r="E281" s="2994">
        <v>5230</v>
      </c>
      <c r="F281" s="2994">
        <v>870</v>
      </c>
      <c r="G281" s="2998">
        <v>2660</v>
      </c>
    </row>
    <row r="282" spans="1:7" s="2201" customFormat="1" ht="14.25" customHeight="1">
      <c r="A282" s="2336" t="s">
        <v>304</v>
      </c>
      <c r="B282" s="2336" t="s">
        <v>3018</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3019</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3020</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2795</v>
      </c>
      <c r="C293" s="2994">
        <v>5320</v>
      </c>
      <c r="D293" s="2994">
        <v>5270</v>
      </c>
      <c r="E293" s="2994">
        <v>6160</v>
      </c>
      <c r="F293" s="2994">
        <v>990</v>
      </c>
      <c r="G293" s="2998">
        <v>3170</v>
      </c>
    </row>
    <row r="294" spans="1:7" s="2201" customFormat="1" ht="14.25" customHeight="1">
      <c r="A294" s="2336" t="s">
        <v>304</v>
      </c>
      <c r="B294" s="2336" t="s">
        <v>3021</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2814</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3022</v>
      </c>
      <c r="C302" s="2994">
        <v>5520</v>
      </c>
      <c r="D302" s="2994">
        <v>5470</v>
      </c>
      <c r="E302" s="2994">
        <v>6410</v>
      </c>
      <c r="F302" s="2994">
        <v>950</v>
      </c>
      <c r="G302" s="2998">
        <v>3300</v>
      </c>
    </row>
    <row r="303" spans="1:7" s="2201" customFormat="1" ht="14.25" customHeight="1">
      <c r="A303" s="2336" t="s">
        <v>304</v>
      </c>
      <c r="B303" s="2336" t="s">
        <v>2834</v>
      </c>
      <c r="C303" s="2994">
        <v>5630</v>
      </c>
      <c r="D303" s="2994">
        <v>5590</v>
      </c>
      <c r="E303" s="2994">
        <v>6550</v>
      </c>
      <c r="F303" s="2994">
        <v>1010</v>
      </c>
      <c r="G303" s="2998">
        <v>3370</v>
      </c>
    </row>
    <row r="304" spans="1:7" s="2201" customFormat="1" ht="14.25" customHeight="1">
      <c r="A304" s="2336" t="s">
        <v>304</v>
      </c>
      <c r="B304" s="2336" t="s">
        <v>2841</v>
      </c>
      <c r="C304" s="2994">
        <v>5680</v>
      </c>
      <c r="D304" s="2994">
        <v>5620</v>
      </c>
      <c r="E304" s="2994">
        <v>6620</v>
      </c>
      <c r="F304" s="2994">
        <v>1050</v>
      </c>
      <c r="G304" s="2998">
        <v>3390</v>
      </c>
    </row>
    <row r="305" spans="1:7" s="2201" customFormat="1" ht="14.25" customHeight="1">
      <c r="A305" s="2336" t="s">
        <v>304</v>
      </c>
      <c r="B305" s="2336" t="s">
        <v>2847</v>
      </c>
      <c r="C305" s="2994">
        <v>5590</v>
      </c>
      <c r="D305" s="2994">
        <v>5530</v>
      </c>
      <c r="E305" s="2994">
        <v>6460</v>
      </c>
      <c r="F305" s="2994">
        <v>900</v>
      </c>
      <c r="G305" s="2998">
        <v>3340</v>
      </c>
    </row>
    <row r="306" spans="1:7" s="2201" customFormat="1" ht="14.25" customHeight="1">
      <c r="A306" s="2336" t="s">
        <v>304</v>
      </c>
      <c r="B306" s="2336" t="s">
        <v>3023</v>
      </c>
      <c r="C306" s="2994">
        <v>5560</v>
      </c>
      <c r="D306" s="2994">
        <v>5510</v>
      </c>
      <c r="E306" s="2994">
        <v>6440</v>
      </c>
      <c r="F306" s="2994">
        <v>900</v>
      </c>
      <c r="G306" s="2998">
        <v>3320</v>
      </c>
    </row>
    <row r="307" spans="1:7" s="2201" customFormat="1" ht="14.25" customHeight="1">
      <c r="A307" s="2336" t="s">
        <v>304</v>
      </c>
      <c r="B307" s="2336" t="s">
        <v>2859</v>
      </c>
      <c r="C307" s="2994">
        <v>5650</v>
      </c>
      <c r="D307" s="2994">
        <v>5600</v>
      </c>
      <c r="E307" s="2994">
        <v>6590</v>
      </c>
      <c r="F307" s="2994">
        <v>930</v>
      </c>
      <c r="G307" s="2998">
        <v>3380</v>
      </c>
    </row>
    <row r="308" spans="1:7" s="2201" customFormat="1" ht="14.25" customHeight="1">
      <c r="A308" s="2336" t="s">
        <v>304</v>
      </c>
      <c r="B308" s="2336" t="s">
        <v>3024</v>
      </c>
      <c r="C308" s="2994">
        <v>5620</v>
      </c>
      <c r="D308" s="2994">
        <v>5580</v>
      </c>
      <c r="E308" s="2994">
        <v>6540</v>
      </c>
      <c r="F308" s="2994">
        <v>910</v>
      </c>
      <c r="G308" s="2998">
        <v>3370</v>
      </c>
    </row>
    <row r="309" spans="1:7" s="2201" customFormat="1" ht="14.25" customHeight="1">
      <c r="A309" s="2336" t="s">
        <v>304</v>
      </c>
      <c r="B309" s="2336" t="s">
        <v>3025</v>
      </c>
      <c r="C309" s="2994">
        <v>5060</v>
      </c>
      <c r="D309" s="2994">
        <v>5020</v>
      </c>
      <c r="E309" s="2994">
        <v>6370</v>
      </c>
      <c r="F309" s="2994">
        <v>800</v>
      </c>
      <c r="G309" s="2998">
        <v>3020</v>
      </c>
    </row>
    <row r="310" spans="1:7" s="2201" customFormat="1" ht="14.25" customHeight="1">
      <c r="A310" s="2336" t="s">
        <v>304</v>
      </c>
      <c r="B310" s="2336" t="s">
        <v>2874</v>
      </c>
      <c r="C310" s="2994">
        <v>5150</v>
      </c>
      <c r="D310" s="2994">
        <v>5110</v>
      </c>
      <c r="E310" s="2994">
        <v>6500</v>
      </c>
      <c r="F310" s="2994">
        <v>880</v>
      </c>
      <c r="G310" s="2998">
        <v>3080</v>
      </c>
    </row>
    <row r="311" spans="1:7" s="2201" customFormat="1" ht="14.25" customHeight="1">
      <c r="A311" s="2336" t="s">
        <v>304</v>
      </c>
      <c r="B311" s="2336" t="s">
        <v>3026</v>
      </c>
      <c r="C311" s="2994">
        <v>4750</v>
      </c>
      <c r="D311" s="2994">
        <v>4710</v>
      </c>
      <c r="E311" s="2994">
        <v>5510</v>
      </c>
      <c r="F311" s="2994">
        <v>880</v>
      </c>
      <c r="G311" s="2998">
        <v>2840</v>
      </c>
    </row>
    <row r="312" spans="1:7" s="2201" customFormat="1" ht="14.25" customHeight="1">
      <c r="A312" s="2336" t="s">
        <v>304</v>
      </c>
      <c r="B312" s="2336" t="s">
        <v>2884</v>
      </c>
      <c r="C312" s="2994">
        <v>4690</v>
      </c>
      <c r="D312" s="2994">
        <v>4640</v>
      </c>
      <c r="E312" s="2994">
        <v>5420</v>
      </c>
      <c r="F312" s="2994">
        <v>800</v>
      </c>
      <c r="G312" s="2998">
        <v>2800</v>
      </c>
    </row>
    <row r="313" spans="1:7" s="2201" customFormat="1" ht="14.25" customHeight="1">
      <c r="A313" s="2336" t="s">
        <v>304</v>
      </c>
      <c r="B313" s="2336" t="s">
        <v>2889</v>
      </c>
      <c r="C313" s="2994">
        <v>4810</v>
      </c>
      <c r="D313" s="2994">
        <v>4760</v>
      </c>
      <c r="E313" s="2994">
        <v>5550</v>
      </c>
      <c r="F313" s="2994">
        <v>920</v>
      </c>
      <c r="G313" s="2998">
        <v>2870</v>
      </c>
    </row>
    <row r="314" spans="1:7" s="2201" customFormat="1" ht="14.25" customHeight="1">
      <c r="A314" s="2336" t="s">
        <v>304</v>
      </c>
      <c r="B314" s="2336" t="s">
        <v>3027</v>
      </c>
      <c r="C314" s="2994"/>
      <c r="D314" s="2994"/>
      <c r="E314" s="2994"/>
      <c r="F314" s="2994">
        <v>1020</v>
      </c>
      <c r="G314" s="2998"/>
    </row>
    <row r="315" spans="1:7" s="2201" customFormat="1" ht="14.25" customHeight="1">
      <c r="A315" s="2336" t="s">
        <v>304</v>
      </c>
      <c r="B315" s="2336" t="s">
        <v>3028</v>
      </c>
      <c r="C315" s="2994"/>
      <c r="D315" s="2994"/>
      <c r="E315" s="2994"/>
      <c r="F315" s="2994">
        <v>1050</v>
      </c>
      <c r="G315" s="2998"/>
    </row>
    <row r="316" spans="1:7" s="2201" customFormat="1" ht="14.25" customHeight="1">
      <c r="A316" s="2336" t="s">
        <v>304</v>
      </c>
      <c r="B316" s="2336" t="s">
        <v>2904</v>
      </c>
      <c r="C316" s="2994"/>
      <c r="D316" s="2994"/>
      <c r="E316" s="2994"/>
      <c r="F316" s="2994">
        <v>900</v>
      </c>
      <c r="G316" s="2998"/>
    </row>
    <row r="317" spans="1:7" s="2201" customFormat="1" ht="14.25" customHeight="1">
      <c r="A317" s="2336" t="s">
        <v>304</v>
      </c>
      <c r="B317" s="2336" t="s">
        <v>3029</v>
      </c>
      <c r="C317" s="2994"/>
      <c r="D317" s="2994"/>
      <c r="E317" s="2994"/>
      <c r="F317" s="2994">
        <v>920</v>
      </c>
      <c r="G317" s="2998"/>
    </row>
    <row r="318" spans="1:7" s="2201" customFormat="1" ht="14.25" customHeight="1">
      <c r="A318" s="2336" t="s">
        <v>304</v>
      </c>
      <c r="B318" s="2336" t="s">
        <v>3030</v>
      </c>
      <c r="C318" s="2994"/>
      <c r="D318" s="2994"/>
      <c r="E318" s="2994"/>
      <c r="F318" s="2994">
        <v>1080</v>
      </c>
      <c r="G318" s="2998"/>
    </row>
    <row r="319" spans="1:7" s="2201" customFormat="1" ht="14.25" customHeight="1">
      <c r="A319" s="2336" t="s">
        <v>304</v>
      </c>
      <c r="B319" s="2336" t="s">
        <v>2917</v>
      </c>
      <c r="C319" s="2994"/>
      <c r="D319" s="2994"/>
      <c r="E319" s="2994"/>
      <c r="F319" s="2994">
        <v>1020</v>
      </c>
      <c r="G319" s="2998"/>
    </row>
    <row r="320" spans="1:7" s="2201" customFormat="1" ht="14.25" customHeight="1">
      <c r="A320" s="2336" t="s">
        <v>304</v>
      </c>
      <c r="B320" s="2336" t="s">
        <v>2920</v>
      </c>
      <c r="C320" s="2994"/>
      <c r="D320" s="2994"/>
      <c r="E320" s="2994"/>
      <c r="F320" s="2994">
        <v>1050</v>
      </c>
      <c r="G320" s="2998"/>
    </row>
    <row r="321" spans="1:7" s="2201" customFormat="1" ht="14.25" customHeight="1">
      <c r="A321" s="2336" t="s">
        <v>304</v>
      </c>
      <c r="B321" s="2336" t="s">
        <v>2922</v>
      </c>
      <c r="C321" s="2994"/>
      <c r="D321" s="2994"/>
      <c r="E321" s="2994"/>
      <c r="F321" s="2994">
        <v>960</v>
      </c>
      <c r="G321" s="2998"/>
    </row>
    <row r="322" spans="1:7" s="2201" customFormat="1" ht="14.25" customHeight="1">
      <c r="A322" s="2336" t="s">
        <v>304</v>
      </c>
      <c r="B322" s="2336" t="s">
        <v>2924</v>
      </c>
      <c r="C322" s="2994"/>
      <c r="D322" s="2994"/>
      <c r="E322" s="2994"/>
      <c r="F322" s="2994">
        <v>960</v>
      </c>
      <c r="G322" s="2998"/>
    </row>
    <row r="323" spans="1:7" s="2201" customFormat="1" ht="14.25" customHeight="1">
      <c r="A323" s="2336" t="s">
        <v>304</v>
      </c>
      <c r="B323" s="2336" t="s">
        <v>2926</v>
      </c>
      <c r="C323" s="2994"/>
      <c r="D323" s="2994"/>
      <c r="E323" s="2994"/>
      <c r="F323" s="2994">
        <v>880</v>
      </c>
      <c r="G323" s="2998"/>
    </row>
    <row r="324" spans="1:7" s="2201" customFormat="1" ht="14.25" customHeight="1">
      <c r="A324" s="2336" t="s">
        <v>304</v>
      </c>
      <c r="B324" s="2336" t="s">
        <v>2928</v>
      </c>
      <c r="C324" s="2994"/>
      <c r="D324" s="2994"/>
      <c r="E324" s="2994"/>
      <c r="F324" s="2994">
        <v>930</v>
      </c>
      <c r="G324" s="2998"/>
    </row>
    <row r="325" spans="1:7" s="2201" customFormat="1" ht="14.25" customHeight="1">
      <c r="A325" s="2336" t="s">
        <v>304</v>
      </c>
      <c r="B325" s="2337" t="s">
        <v>2930</v>
      </c>
      <c r="C325" s="2994"/>
      <c r="D325" s="2994"/>
      <c r="E325" s="2994"/>
      <c r="F325" s="2994">
        <v>900</v>
      </c>
      <c r="G325" s="2998"/>
    </row>
    <row r="326" spans="1:7" s="2201" customFormat="1" ht="14.25" customHeight="1" thickBot="1">
      <c r="A326" s="2348" t="s">
        <v>304</v>
      </c>
      <c r="B326" s="2343" t="s">
        <v>2932</v>
      </c>
      <c r="C326" s="2995"/>
      <c r="D326" s="2995"/>
      <c r="E326" s="2995"/>
      <c r="F326" s="2995">
        <v>790</v>
      </c>
      <c r="G326" s="2999"/>
    </row>
    <row r="327" spans="1:7" s="2201" customFormat="1" ht="14.25" customHeight="1">
      <c r="A327" s="2341" t="s">
        <v>305</v>
      </c>
      <c r="B327" s="2332" t="s">
        <v>3031</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3032</v>
      </c>
      <c r="C329" s="2994">
        <v>2730</v>
      </c>
      <c r="D329" s="2994">
        <v>2690</v>
      </c>
      <c r="E329" s="2994">
        <v>3100</v>
      </c>
      <c r="F329" s="2994">
        <v>660</v>
      </c>
      <c r="G329" s="2994">
        <v>1610</v>
      </c>
    </row>
    <row r="330" spans="1:7" s="2201" customFormat="1" ht="14.25" customHeight="1">
      <c r="A330" s="2336" t="s">
        <v>305</v>
      </c>
      <c r="B330" s="2336" t="s">
        <v>3033</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2766</v>
      </c>
      <c r="C332" s="2994">
        <v>3520</v>
      </c>
      <c r="D332" s="2994">
        <v>3480</v>
      </c>
      <c r="E332" s="2994">
        <v>3830</v>
      </c>
      <c r="F332" s="2994">
        <v>720</v>
      </c>
      <c r="G332" s="2994">
        <v>2090</v>
      </c>
    </row>
    <row r="333" spans="1:7" s="2201" customFormat="1" ht="14.25" customHeight="1">
      <c r="A333" s="2336" t="s">
        <v>305</v>
      </c>
      <c r="B333" s="2336" t="s">
        <v>3034</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2776</v>
      </c>
      <c r="C336" s="2994">
        <v>3570</v>
      </c>
      <c r="D336" s="2994">
        <v>3530</v>
      </c>
      <c r="E336" s="2994">
        <v>3880</v>
      </c>
      <c r="F336" s="2994">
        <v>770</v>
      </c>
      <c r="G336" s="2994">
        <v>2110</v>
      </c>
    </row>
    <row r="337" spans="1:10" s="2201" customFormat="1" ht="14.25" customHeight="1">
      <c r="A337" s="2336" t="s">
        <v>305</v>
      </c>
      <c r="B337" s="2336" t="s">
        <v>3035</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3036</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3037</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2801</v>
      </c>
      <c r="C345" s="2994">
        <v>3190</v>
      </c>
      <c r="D345" s="2994">
        <v>3140</v>
      </c>
      <c r="E345" s="2994">
        <v>3450</v>
      </c>
      <c r="F345" s="2994">
        <v>720</v>
      </c>
      <c r="G345" s="2994">
        <v>1880</v>
      </c>
      <c r="J345" s="2201"/>
    </row>
    <row r="346" spans="1:10">
      <c r="A346" s="2336" t="s">
        <v>305</v>
      </c>
      <c r="B346" s="2336" t="s">
        <v>3038</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2810</v>
      </c>
      <c r="C348" s="2994">
        <v>4000</v>
      </c>
      <c r="D348" s="2994">
        <v>3950</v>
      </c>
      <c r="E348" s="2994">
        <v>4430</v>
      </c>
      <c r="F348" s="2994">
        <v>760</v>
      </c>
      <c r="G348" s="2994">
        <v>2360</v>
      </c>
      <c r="J348" s="2201"/>
    </row>
    <row r="349" spans="1:10">
      <c r="A349" s="2336" t="s">
        <v>305</v>
      </c>
      <c r="B349" s="2336" t="s">
        <v>2815</v>
      </c>
      <c r="C349" s="2994">
        <v>3820</v>
      </c>
      <c r="D349" s="2994">
        <v>3780</v>
      </c>
      <c r="E349" s="2994">
        <v>4170</v>
      </c>
      <c r="F349" s="2994">
        <v>710</v>
      </c>
      <c r="G349" s="2994">
        <v>2260</v>
      </c>
      <c r="J349" s="2201"/>
    </row>
    <row r="350" spans="1:10">
      <c r="A350" s="2336" t="s">
        <v>305</v>
      </c>
      <c r="B350" s="2336" t="s">
        <v>3039</v>
      </c>
      <c r="C350" s="2994">
        <v>3760</v>
      </c>
      <c r="D350" s="2994">
        <v>3730</v>
      </c>
      <c r="E350" s="2994">
        <v>4100</v>
      </c>
      <c r="F350" s="2994">
        <v>800</v>
      </c>
      <c r="G350" s="2994">
        <v>2230</v>
      </c>
      <c r="J350" s="2201"/>
    </row>
    <row r="351" spans="1:10">
      <c r="A351" s="2336" t="s">
        <v>305</v>
      </c>
      <c r="B351" s="2336" t="s">
        <v>2823</v>
      </c>
      <c r="C351" s="2994">
        <v>3610</v>
      </c>
      <c r="D351" s="2994">
        <v>3580</v>
      </c>
      <c r="E351" s="2994">
        <v>3930</v>
      </c>
      <c r="F351" s="2994">
        <v>700</v>
      </c>
      <c r="G351" s="2994">
        <v>2140</v>
      </c>
      <c r="J351" s="2201"/>
    </row>
    <row r="352" spans="1:10">
      <c r="A352" s="2336" t="s">
        <v>305</v>
      </c>
      <c r="B352" s="2336" t="s">
        <v>2828</v>
      </c>
      <c r="C352" s="2994">
        <v>3670</v>
      </c>
      <c r="D352" s="2994">
        <v>3630</v>
      </c>
      <c r="E352" s="2994">
        <v>4000</v>
      </c>
      <c r="F352" s="2994">
        <v>750</v>
      </c>
      <c r="G352" s="2994">
        <v>2180</v>
      </c>
    </row>
    <row r="353" spans="1:7" s="2202" customFormat="1">
      <c r="A353" s="2336" t="s">
        <v>305</v>
      </c>
      <c r="B353" s="2336" t="s">
        <v>3040</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2848</v>
      </c>
      <c r="C355" s="2994">
        <v>3650</v>
      </c>
      <c r="D355" s="2994">
        <v>3610</v>
      </c>
      <c r="E355" s="2994">
        <v>4200</v>
      </c>
      <c r="F355" s="2994">
        <v>640</v>
      </c>
      <c r="G355" s="2994">
        <v>2160</v>
      </c>
    </row>
    <row r="356" spans="1:7" s="2202" customFormat="1">
      <c r="A356" s="2336" t="s">
        <v>305</v>
      </c>
      <c r="B356" s="2336" t="s">
        <v>2855</v>
      </c>
      <c r="C356" s="2994">
        <v>3260</v>
      </c>
      <c r="D356" s="2994">
        <v>3230</v>
      </c>
      <c r="E356" s="2994">
        <v>3740</v>
      </c>
      <c r="F356" s="2994">
        <v>600</v>
      </c>
      <c r="G356" s="2994">
        <v>1930</v>
      </c>
    </row>
    <row r="357" spans="1:7" s="2202" customFormat="1" ht="12" thickBot="1">
      <c r="A357" s="2344" t="s">
        <v>305</v>
      </c>
      <c r="B357" s="2347" t="s">
        <v>3041</v>
      </c>
      <c r="C357" s="2996">
        <v>3690</v>
      </c>
      <c r="D357" s="2996">
        <v>3650</v>
      </c>
      <c r="E357" s="2996">
        <v>4020</v>
      </c>
      <c r="F357" s="2996">
        <v>700</v>
      </c>
      <c r="G357" s="2996">
        <v>2190</v>
      </c>
    </row>
    <row r="358" spans="1:7" s="2202" customFormat="1">
      <c r="A358" s="2341" t="s">
        <v>3042</v>
      </c>
      <c r="B358" s="2332" t="s">
        <v>3043</v>
      </c>
      <c r="C358" s="2993">
        <v>2080</v>
      </c>
      <c r="D358" s="2993">
        <v>2040</v>
      </c>
      <c r="E358" s="2993">
        <v>2010</v>
      </c>
      <c r="F358" s="2993">
        <v>530</v>
      </c>
      <c r="G358" s="2997">
        <v>1230</v>
      </c>
    </row>
    <row r="359" spans="1:7" s="2202" customFormat="1">
      <c r="A359" s="2336" t="s">
        <v>3042</v>
      </c>
      <c r="B359" s="2336" t="s">
        <v>3044</v>
      </c>
      <c r="C359" s="2994">
        <v>1850</v>
      </c>
      <c r="D359" s="2994">
        <v>1820</v>
      </c>
      <c r="E359" s="2994">
        <v>1780</v>
      </c>
      <c r="F359" s="2994">
        <v>520</v>
      </c>
      <c r="G359" s="2998">
        <v>1100</v>
      </c>
    </row>
    <row r="360" spans="1:7" s="2202" customFormat="1">
      <c r="A360" s="2336" t="s">
        <v>3042</v>
      </c>
      <c r="B360" s="2336" t="s">
        <v>3045</v>
      </c>
      <c r="C360" s="2994">
        <v>2020</v>
      </c>
      <c r="D360" s="2994">
        <v>1990</v>
      </c>
      <c r="E360" s="2994">
        <v>1950</v>
      </c>
      <c r="F360" s="2994">
        <v>500</v>
      </c>
      <c r="G360" s="2998">
        <v>1200</v>
      </c>
    </row>
    <row r="361" spans="1:7" s="2202" customFormat="1">
      <c r="A361" s="2336" t="s">
        <v>3042</v>
      </c>
      <c r="B361" s="2336" t="s">
        <v>151</v>
      </c>
      <c r="C361" s="2994">
        <v>2260</v>
      </c>
      <c r="D361" s="2994">
        <v>2220</v>
      </c>
      <c r="E361" s="2994">
        <v>2180</v>
      </c>
      <c r="F361" s="2994">
        <v>580</v>
      </c>
      <c r="G361" s="2998">
        <v>1340</v>
      </c>
    </row>
    <row r="362" spans="1:7" s="2202" customFormat="1">
      <c r="A362" s="2336" t="s">
        <v>3042</v>
      </c>
      <c r="B362" s="2336" t="s">
        <v>3046</v>
      </c>
      <c r="C362" s="2994">
        <v>2650</v>
      </c>
      <c r="D362" s="2994">
        <v>2610</v>
      </c>
      <c r="E362" s="2994">
        <v>2570</v>
      </c>
      <c r="F362" s="2994">
        <v>630</v>
      </c>
      <c r="G362" s="2998">
        <v>1570</v>
      </c>
    </row>
    <row r="363" spans="1:7" s="2202" customFormat="1">
      <c r="A363" s="2336" t="s">
        <v>3042</v>
      </c>
      <c r="B363" s="2336" t="s">
        <v>2767</v>
      </c>
      <c r="C363" s="2994">
        <v>2390</v>
      </c>
      <c r="D363" s="2994">
        <v>2360</v>
      </c>
      <c r="E363" s="2994">
        <v>2320</v>
      </c>
      <c r="F363" s="2994">
        <v>600</v>
      </c>
      <c r="G363" s="2998">
        <v>1420</v>
      </c>
    </row>
    <row r="364" spans="1:7" s="2202" customFormat="1">
      <c r="A364" s="2336" t="s">
        <v>3042</v>
      </c>
      <c r="B364" s="2336" t="s">
        <v>3047</v>
      </c>
      <c r="C364" s="2994">
        <v>2050</v>
      </c>
      <c r="D364" s="2994">
        <v>2030</v>
      </c>
      <c r="E364" s="2994">
        <v>1990</v>
      </c>
      <c r="F364" s="2994">
        <v>550</v>
      </c>
      <c r="G364" s="2998">
        <v>1220</v>
      </c>
    </row>
    <row r="365" spans="1:7" s="2202" customFormat="1">
      <c r="A365" s="2336" t="s">
        <v>3042</v>
      </c>
      <c r="B365" s="2336" t="s">
        <v>198</v>
      </c>
      <c r="C365" s="2994">
        <v>2140</v>
      </c>
      <c r="D365" s="2994">
        <v>2100</v>
      </c>
      <c r="E365" s="2994">
        <v>2060</v>
      </c>
      <c r="F365" s="2994">
        <v>540</v>
      </c>
      <c r="G365" s="2998">
        <v>1270</v>
      </c>
    </row>
    <row r="366" spans="1:7" s="2202" customFormat="1">
      <c r="A366" s="2336" t="s">
        <v>3042</v>
      </c>
      <c r="B366" s="2336" t="s">
        <v>2774</v>
      </c>
      <c r="C366" s="2994">
        <v>2410</v>
      </c>
      <c r="D366" s="2994">
        <v>2370</v>
      </c>
      <c r="E366" s="2994">
        <v>2330</v>
      </c>
      <c r="F366" s="2994">
        <v>570</v>
      </c>
      <c r="G366" s="2998">
        <v>1440</v>
      </c>
    </row>
    <row r="367" spans="1:7" s="2202" customFormat="1">
      <c r="A367" s="2336" t="s">
        <v>3042</v>
      </c>
      <c r="B367" s="2336" t="s">
        <v>3048</v>
      </c>
      <c r="C367" s="2994">
        <v>2300</v>
      </c>
      <c r="D367" s="2994">
        <v>2260</v>
      </c>
      <c r="E367" s="2994">
        <v>2220</v>
      </c>
      <c r="F367" s="2994">
        <v>560</v>
      </c>
      <c r="G367" s="2998">
        <v>1370</v>
      </c>
    </row>
    <row r="368" spans="1:7" s="2202" customFormat="1">
      <c r="A368" s="2336" t="s">
        <v>3042</v>
      </c>
      <c r="B368" s="2336" t="s">
        <v>3049</v>
      </c>
      <c r="C368" s="2994">
        <v>2430</v>
      </c>
      <c r="D368" s="2994">
        <v>2390</v>
      </c>
      <c r="E368" s="2994">
        <v>2350</v>
      </c>
      <c r="F368" s="2994">
        <v>570</v>
      </c>
      <c r="G368" s="2998">
        <v>1450</v>
      </c>
    </row>
    <row r="369" spans="1:7" s="2202" customFormat="1">
      <c r="A369" s="2336" t="s">
        <v>3042</v>
      </c>
      <c r="B369" s="2336" t="s">
        <v>212</v>
      </c>
      <c r="C369" s="2994">
        <v>2320</v>
      </c>
      <c r="D369" s="2994">
        <v>2290</v>
      </c>
      <c r="E369" s="2994">
        <v>2250</v>
      </c>
      <c r="F369" s="2994">
        <v>550</v>
      </c>
      <c r="G369" s="2998">
        <v>1380</v>
      </c>
    </row>
    <row r="370" spans="1:7" s="2202" customFormat="1">
      <c r="A370" s="2336" t="s">
        <v>3042</v>
      </c>
      <c r="B370" s="2336" t="s">
        <v>219</v>
      </c>
      <c r="C370" s="2994">
        <v>2190</v>
      </c>
      <c r="D370" s="2994">
        <v>2170</v>
      </c>
      <c r="E370" s="2994">
        <v>2130</v>
      </c>
      <c r="F370" s="2994">
        <v>530</v>
      </c>
      <c r="G370" s="2998">
        <v>1310</v>
      </c>
    </row>
    <row r="371" spans="1:7" s="2202" customFormat="1">
      <c r="A371" s="2336" t="s">
        <v>3042</v>
      </c>
      <c r="B371" s="2336" t="s">
        <v>227</v>
      </c>
      <c r="C371" s="2994">
        <v>2460</v>
      </c>
      <c r="D371" s="2994">
        <v>2420</v>
      </c>
      <c r="E371" s="2994">
        <v>2370</v>
      </c>
      <c r="F371" s="2994">
        <v>560</v>
      </c>
      <c r="G371" s="2998">
        <v>1470</v>
      </c>
    </row>
    <row r="372" spans="1:7" s="2202" customFormat="1">
      <c r="A372" s="2336" t="s">
        <v>3042</v>
      </c>
      <c r="B372" s="2336" t="s">
        <v>3050</v>
      </c>
      <c r="C372" s="2994">
        <v>2250</v>
      </c>
      <c r="D372" s="2994">
        <v>2210</v>
      </c>
      <c r="E372" s="2994">
        <v>2180</v>
      </c>
      <c r="F372" s="2994">
        <v>550</v>
      </c>
      <c r="G372" s="2998">
        <v>1340</v>
      </c>
    </row>
    <row r="373" spans="1:7" s="2202" customFormat="1">
      <c r="A373" s="2336" t="s">
        <v>3042</v>
      </c>
      <c r="B373" s="2336" t="s">
        <v>256</v>
      </c>
      <c r="C373" s="2994">
        <v>2210</v>
      </c>
      <c r="D373" s="2994">
        <v>2190</v>
      </c>
      <c r="E373" s="2994">
        <v>2150</v>
      </c>
      <c r="F373" s="2994">
        <v>530</v>
      </c>
      <c r="G373" s="2998">
        <v>1320</v>
      </c>
    </row>
    <row r="374" spans="1:7" s="2202" customFormat="1">
      <c r="A374" s="2336" t="s">
        <v>3042</v>
      </c>
      <c r="B374" s="2336" t="s">
        <v>264</v>
      </c>
      <c r="C374" s="2994">
        <v>2320</v>
      </c>
      <c r="D374" s="2994">
        <v>2280</v>
      </c>
      <c r="E374" s="2994">
        <v>2230</v>
      </c>
      <c r="F374" s="2994">
        <v>580</v>
      </c>
      <c r="G374" s="2998">
        <v>1380</v>
      </c>
    </row>
    <row r="375" spans="1:7" s="2202" customFormat="1">
      <c r="A375" s="2336" t="s">
        <v>3042</v>
      </c>
      <c r="B375" s="2336" t="s">
        <v>3051</v>
      </c>
      <c r="C375" s="2994">
        <v>2090</v>
      </c>
      <c r="D375" s="2994">
        <v>2050</v>
      </c>
      <c r="E375" s="2994">
        <v>2020</v>
      </c>
      <c r="F375" s="2994">
        <v>520</v>
      </c>
      <c r="G375" s="2998">
        <v>1240</v>
      </c>
    </row>
    <row r="376" spans="1:7" s="2202" customFormat="1">
      <c r="A376" s="2336" t="s">
        <v>3042</v>
      </c>
      <c r="B376" s="2336" t="s">
        <v>275</v>
      </c>
      <c r="C376" s="2994">
        <v>2010</v>
      </c>
      <c r="D376" s="2994">
        <v>1980</v>
      </c>
      <c r="E376" s="2994">
        <v>1940</v>
      </c>
      <c r="F376" s="2994">
        <v>540</v>
      </c>
      <c r="G376" s="2998">
        <v>1190</v>
      </c>
    </row>
    <row r="377" spans="1:7" s="2202" customFormat="1" ht="12" thickBot="1">
      <c r="A377" s="2344" t="s">
        <v>3042</v>
      </c>
      <c r="B377" s="2347" t="s">
        <v>2804</v>
      </c>
      <c r="C377" s="2996">
        <v>1930</v>
      </c>
      <c r="D377" s="2996">
        <v>1890</v>
      </c>
      <c r="E377" s="2996">
        <v>1860</v>
      </c>
      <c r="F377" s="2996">
        <v>530</v>
      </c>
      <c r="G377" s="3000">
        <v>1150</v>
      </c>
    </row>
    <row r="378" spans="1:7" s="2202" customFormat="1">
      <c r="A378" s="2349" t="s">
        <v>3052</v>
      </c>
      <c r="B378" s="2332" t="s">
        <v>3053</v>
      </c>
      <c r="C378" s="2993">
        <v>1520</v>
      </c>
      <c r="D378" s="2993">
        <v>1490</v>
      </c>
      <c r="E378" s="2993">
        <v>1460</v>
      </c>
      <c r="F378" s="2993">
        <v>460</v>
      </c>
      <c r="G378" s="2997">
        <v>940</v>
      </c>
    </row>
    <row r="379" spans="1:7" s="2202" customFormat="1">
      <c r="A379" s="2350" t="s">
        <v>3052</v>
      </c>
      <c r="B379" s="2336" t="s">
        <v>3054</v>
      </c>
      <c r="C379" s="2994">
        <v>1500</v>
      </c>
      <c r="D379" s="2994">
        <v>1470</v>
      </c>
      <c r="E379" s="2994">
        <v>1430</v>
      </c>
      <c r="F379" s="2994">
        <v>460</v>
      </c>
      <c r="G379" s="2998">
        <v>920</v>
      </c>
    </row>
    <row r="380" spans="1:7" s="2202" customFormat="1">
      <c r="A380" s="2350" t="s">
        <v>3052</v>
      </c>
      <c r="B380" s="2336" t="s">
        <v>3055</v>
      </c>
      <c r="C380" s="2994">
        <v>1620</v>
      </c>
      <c r="D380" s="2994">
        <v>1590</v>
      </c>
      <c r="E380" s="2994">
        <v>1560</v>
      </c>
      <c r="F380" s="2994">
        <v>480</v>
      </c>
      <c r="G380" s="2998">
        <v>1000</v>
      </c>
    </row>
    <row r="381" spans="1:7" s="2202" customFormat="1">
      <c r="A381" s="2350" t="s">
        <v>3052</v>
      </c>
      <c r="B381" s="2336" t="s">
        <v>3056</v>
      </c>
      <c r="C381" s="2994">
        <v>1460</v>
      </c>
      <c r="D381" s="2994">
        <v>1430</v>
      </c>
      <c r="E381" s="2994">
        <v>1390</v>
      </c>
      <c r="F381" s="2994">
        <v>450</v>
      </c>
      <c r="G381" s="2998">
        <v>900</v>
      </c>
    </row>
    <row r="382" spans="1:7" s="2202" customFormat="1">
      <c r="A382" s="2350" t="s">
        <v>3052</v>
      </c>
      <c r="B382" s="2336" t="s">
        <v>3057</v>
      </c>
      <c r="C382" s="2994">
        <v>1310</v>
      </c>
      <c r="D382" s="2994">
        <v>1280</v>
      </c>
      <c r="E382" s="2994">
        <v>1250</v>
      </c>
      <c r="F382" s="2994">
        <v>440</v>
      </c>
      <c r="G382" s="2998">
        <v>800</v>
      </c>
    </row>
    <row r="383" spans="1:7" s="2202" customFormat="1">
      <c r="A383" s="2350" t="s">
        <v>3052</v>
      </c>
      <c r="B383" s="2336" t="s">
        <v>3058</v>
      </c>
      <c r="C383" s="2994">
        <v>1260</v>
      </c>
      <c r="D383" s="2994">
        <v>1230</v>
      </c>
      <c r="E383" s="2994">
        <v>1200</v>
      </c>
      <c r="F383" s="2994">
        <v>420</v>
      </c>
      <c r="G383" s="2998">
        <v>770</v>
      </c>
    </row>
    <row r="384" spans="1:7" s="2202" customFormat="1" ht="12" thickBot="1">
      <c r="A384" s="2351" t="s">
        <v>3052</v>
      </c>
      <c r="B384" s="2343" t="s">
        <v>3059</v>
      </c>
      <c r="C384" s="2995">
        <v>1170</v>
      </c>
      <c r="D384" s="2995">
        <v>1140</v>
      </c>
      <c r="E384" s="2995">
        <v>1120</v>
      </c>
      <c r="F384" s="2995">
        <v>400</v>
      </c>
      <c r="G384" s="299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46050</v>
      </c>
      <c r="D1" s="874" t="s">
        <v>597</v>
      </c>
      <c r="E1" s="3001">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2">
        <v>0</v>
      </c>
      <c r="D3" s="3005">
        <f ca="1">INDIRECT("d"&amp;$J$1)</f>
        <v>3</v>
      </c>
      <c r="E3" s="3006">
        <v>0.5</v>
      </c>
      <c r="F3" s="3007">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3">
        <v>0.5</v>
      </c>
      <c r="D4" s="3008">
        <f ca="1">INDIRECT("e"&amp;$J$1)</f>
        <v>3</v>
      </c>
      <c r="E4" s="3009">
        <v>1</v>
      </c>
      <c r="F4" s="3010">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3">
        <v>1</v>
      </c>
      <c r="D5" s="3008">
        <f ca="1">INDIRECT("f"&amp;$J$1)</f>
        <v>3</v>
      </c>
      <c r="E5" s="3009">
        <v>2</v>
      </c>
      <c r="F5" s="3010">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3">
        <v>3</v>
      </c>
      <c r="D6" s="3008">
        <f ca="1">INDIRECT("g"&amp;$J$1)</f>
        <v>3</v>
      </c>
      <c r="E6" s="3009">
        <v>3</v>
      </c>
      <c r="F6" s="3010">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4">
        <v>5</v>
      </c>
      <c r="D7" s="3011">
        <f ca="1">INDIRECT("h"&amp;$J$1)</f>
        <v>3.5</v>
      </c>
      <c r="E7" s="3012">
        <v>5</v>
      </c>
      <c r="F7" s="3013">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4">
        <v>3</v>
      </c>
      <c r="E13" s="3014">
        <v>3</v>
      </c>
      <c r="F13" s="3014">
        <f t="shared" ref="F13:F18" si="0">D13</f>
        <v>3</v>
      </c>
      <c r="G13" s="3014">
        <f t="shared" ref="G13:G18" si="1">D13</f>
        <v>3</v>
      </c>
      <c r="H13" s="3014">
        <v>3.5</v>
      </c>
      <c r="I13" s="3014"/>
      <c r="J13" s="3014"/>
      <c r="K13" s="858"/>
      <c r="L13" s="859" t="s">
        <v>626</v>
      </c>
      <c r="M13" s="860">
        <v>42301</v>
      </c>
      <c r="N13" s="3014">
        <v>0.35</v>
      </c>
      <c r="O13" s="3014">
        <v>1.1000000000000001</v>
      </c>
      <c r="P13" s="3014">
        <v>1.3</v>
      </c>
      <c r="Q13" s="3014">
        <v>1.5</v>
      </c>
      <c r="R13" s="3014">
        <v>2.1</v>
      </c>
      <c r="S13" s="3014">
        <v>2.75</v>
      </c>
      <c r="T13" s="3014"/>
      <c r="U13" s="3014"/>
      <c r="V13" s="3014"/>
      <c r="W13" s="3014"/>
      <c r="X13" s="3014"/>
      <c r="Y13" s="3014"/>
      <c r="Z13" s="3014"/>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5">
        <v>3.1</v>
      </c>
      <c r="E14" s="3015">
        <f>D14</f>
        <v>3.1</v>
      </c>
      <c r="F14" s="3015">
        <f t="shared" si="0"/>
        <v>3.1</v>
      </c>
      <c r="G14" s="3015">
        <f t="shared" si="1"/>
        <v>3.1</v>
      </c>
      <c r="H14" s="3015">
        <v>3.6</v>
      </c>
      <c r="I14" s="3014"/>
      <c r="J14" s="3014"/>
      <c r="K14" s="858"/>
      <c r="L14" s="863"/>
      <c r="M14" s="864">
        <v>42242</v>
      </c>
      <c r="N14" s="3015">
        <v>0.35</v>
      </c>
      <c r="O14" s="3015">
        <v>1.35</v>
      </c>
      <c r="P14" s="3015">
        <v>1.55</v>
      </c>
      <c r="Q14" s="3015">
        <v>1.75</v>
      </c>
      <c r="R14" s="3015">
        <v>2.35</v>
      </c>
      <c r="S14" s="3015">
        <v>3</v>
      </c>
      <c r="T14" s="3015"/>
      <c r="U14" s="3015"/>
      <c r="V14" s="3015"/>
      <c r="W14" s="3015"/>
      <c r="X14" s="3015"/>
      <c r="Y14" s="3015"/>
      <c r="Z14" s="3015"/>
    </row>
    <row r="15" spans="1:257" ht="14.25">
      <c r="A15" s="858"/>
      <c r="B15" s="859"/>
      <c r="C15" s="864">
        <v>45495</v>
      </c>
      <c r="D15" s="3015">
        <v>3.35</v>
      </c>
      <c r="E15" s="3015">
        <f>D15</f>
        <v>3.35</v>
      </c>
      <c r="F15" s="3015">
        <f t="shared" si="0"/>
        <v>3.35</v>
      </c>
      <c r="G15" s="3015">
        <f t="shared" si="1"/>
        <v>3.35</v>
      </c>
      <c r="H15" s="3015">
        <v>3.85</v>
      </c>
      <c r="I15" s="3014"/>
      <c r="J15" s="3014"/>
      <c r="K15" s="858"/>
      <c r="L15" s="863"/>
      <c r="M15" s="864">
        <v>42183</v>
      </c>
      <c r="N15" s="3015">
        <v>0.35</v>
      </c>
      <c r="O15" s="3015">
        <v>1.6</v>
      </c>
      <c r="P15" s="3015">
        <v>1.8</v>
      </c>
      <c r="Q15" s="3015">
        <v>2</v>
      </c>
      <c r="R15" s="3015">
        <v>2.6</v>
      </c>
      <c r="S15" s="3015">
        <v>3.25</v>
      </c>
      <c r="T15" s="3015"/>
      <c r="U15" s="3015"/>
      <c r="V15" s="3015"/>
      <c r="W15" s="3015"/>
      <c r="X15" s="3015"/>
      <c r="Y15" s="3015"/>
      <c r="Z15" s="3015"/>
    </row>
    <row r="16" spans="1:257" ht="14.25">
      <c r="A16" s="858"/>
      <c r="B16" s="859"/>
      <c r="C16" s="864">
        <v>45342</v>
      </c>
      <c r="D16" s="3015">
        <v>3.45</v>
      </c>
      <c r="E16" s="3015">
        <f>D16</f>
        <v>3.45</v>
      </c>
      <c r="F16" s="3015">
        <f t="shared" si="0"/>
        <v>3.45</v>
      </c>
      <c r="G16" s="3015">
        <f t="shared" si="1"/>
        <v>3.45</v>
      </c>
      <c r="H16" s="3015">
        <v>3.95</v>
      </c>
      <c r="I16" s="3014"/>
      <c r="J16" s="3014"/>
      <c r="K16" s="858"/>
      <c r="L16" s="863"/>
      <c r="M16" s="864">
        <v>42135</v>
      </c>
      <c r="N16" s="3015">
        <v>0.35</v>
      </c>
      <c r="O16" s="3015">
        <v>1.85</v>
      </c>
      <c r="P16" s="3015">
        <v>2.0499999999999998</v>
      </c>
      <c r="Q16" s="3015">
        <v>2.25</v>
      </c>
      <c r="R16" s="3015">
        <v>2.85</v>
      </c>
      <c r="S16" s="3015">
        <v>3.5</v>
      </c>
      <c r="T16" s="3015"/>
      <c r="U16" s="3015"/>
      <c r="V16" s="3015"/>
      <c r="W16" s="3015"/>
      <c r="X16" s="3015"/>
      <c r="Y16" s="3015"/>
      <c r="Z16" s="3015"/>
    </row>
    <row r="17" spans="1:256" ht="14.25">
      <c r="A17" s="858"/>
      <c r="B17" s="859"/>
      <c r="C17" s="864">
        <v>45159</v>
      </c>
      <c r="D17" s="3015">
        <v>3.45</v>
      </c>
      <c r="E17" s="3015">
        <f>D17</f>
        <v>3.45</v>
      </c>
      <c r="F17" s="3015">
        <f t="shared" si="0"/>
        <v>3.45</v>
      </c>
      <c r="G17" s="3015">
        <f t="shared" si="1"/>
        <v>3.45</v>
      </c>
      <c r="H17" s="3015">
        <v>4.2</v>
      </c>
      <c r="I17" s="3014"/>
      <c r="J17" s="3014"/>
      <c r="L17" s="863"/>
      <c r="M17" s="864">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5">
      <c r="A18" s="858"/>
      <c r="B18" s="859"/>
      <c r="C18" s="864">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4.25">
      <c r="A19" s="858"/>
      <c r="B19" s="859"/>
      <c r="C19" s="864">
        <v>44795</v>
      </c>
      <c r="D19" s="3015">
        <v>3.65</v>
      </c>
      <c r="E19" s="3015">
        <v>3.65</v>
      </c>
      <c r="F19" s="3015">
        <v>3.65</v>
      </c>
      <c r="G19" s="3015">
        <v>3.65</v>
      </c>
      <c r="H19" s="3015">
        <v>4.3</v>
      </c>
      <c r="I19" s="3014"/>
      <c r="J19" s="3014"/>
      <c r="K19" s="830"/>
      <c r="L19" s="863"/>
      <c r="M19" s="864">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5">
        <v>3.7</v>
      </c>
      <c r="E20" s="3015">
        <f>D20</f>
        <v>3.7</v>
      </c>
      <c r="F20" s="3015">
        <f>D20</f>
        <v>3.7</v>
      </c>
      <c r="G20" s="3015">
        <f>D20</f>
        <v>3.7</v>
      </c>
      <c r="H20" s="3015">
        <v>4.45</v>
      </c>
      <c r="I20" s="3014"/>
      <c r="J20" s="3014"/>
      <c r="L20" s="863"/>
      <c r="M20" s="864">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4.25">
      <c r="A21" s="858"/>
      <c r="B21" s="859"/>
      <c r="C21" s="864">
        <v>44581</v>
      </c>
      <c r="D21" s="3015">
        <v>3.7</v>
      </c>
      <c r="E21" s="3015">
        <f>D21</f>
        <v>3.7</v>
      </c>
      <c r="F21" s="3015">
        <f>D21</f>
        <v>3.7</v>
      </c>
      <c r="G21" s="3015">
        <f>D21</f>
        <v>3.7</v>
      </c>
      <c r="H21" s="3015">
        <v>4.5999999999999996</v>
      </c>
      <c r="I21" s="3014"/>
      <c r="J21" s="3014"/>
      <c r="L21" s="863"/>
      <c r="M21" s="864">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4.25">
      <c r="A22" s="858"/>
      <c r="B22" s="863"/>
      <c r="C22" s="864">
        <v>44550</v>
      </c>
      <c r="D22" s="3015">
        <v>3.8</v>
      </c>
      <c r="E22" s="3015">
        <f>D22</f>
        <v>3.8</v>
      </c>
      <c r="F22" s="3015">
        <f>D22</f>
        <v>3.8</v>
      </c>
      <c r="G22" s="3015">
        <f>D22</f>
        <v>3.8</v>
      </c>
      <c r="H22" s="3015">
        <v>4.6500000000000004</v>
      </c>
      <c r="I22" s="3015"/>
      <c r="J22" s="3014"/>
      <c r="K22" s="847"/>
      <c r="L22" s="863"/>
      <c r="M22" s="864">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4.25">
      <c r="A23" s="2050"/>
      <c r="B23" s="863"/>
      <c r="C23" s="864">
        <v>43941</v>
      </c>
      <c r="D23" s="3015">
        <v>3.85</v>
      </c>
      <c r="E23" s="3015">
        <v>3.85</v>
      </c>
      <c r="F23" s="3015">
        <v>3.85</v>
      </c>
      <c r="G23" s="3015">
        <v>3.85</v>
      </c>
      <c r="H23" s="3015">
        <v>4.6500000000000004</v>
      </c>
      <c r="I23" s="3015"/>
      <c r="J23" s="3015"/>
      <c r="L23" s="863"/>
      <c r="M23" s="864">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3"/>
      <c r="C24" s="864">
        <v>43881</v>
      </c>
      <c r="D24" s="3015">
        <v>4.05</v>
      </c>
      <c r="E24" s="3015">
        <v>4.05</v>
      </c>
      <c r="F24" s="3015">
        <v>4.05</v>
      </c>
      <c r="G24" s="3015">
        <v>4.05</v>
      </c>
      <c r="H24" s="3015">
        <v>4.75</v>
      </c>
      <c r="I24" s="3015"/>
      <c r="J24" s="3015"/>
      <c r="L24" s="863"/>
      <c r="M24" s="864">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3"/>
      <c r="C25" s="864">
        <v>43789</v>
      </c>
      <c r="D25" s="3015">
        <v>4.1500000000000004</v>
      </c>
      <c r="E25" s="3015">
        <v>4.1500000000000004</v>
      </c>
      <c r="F25" s="3015">
        <v>4.1500000000000004</v>
      </c>
      <c r="G25" s="3015">
        <v>4.1500000000000004</v>
      </c>
      <c r="H25" s="3015">
        <v>4.8</v>
      </c>
      <c r="I25" s="3015"/>
      <c r="J25" s="3015"/>
      <c r="L25" s="863"/>
      <c r="M25" s="864">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3"/>
      <c r="C26" s="864">
        <v>43728</v>
      </c>
      <c r="D26" s="3015">
        <v>4.2</v>
      </c>
      <c r="E26" s="3015">
        <v>4.2</v>
      </c>
      <c r="F26" s="3015">
        <v>4.2</v>
      </c>
      <c r="G26" s="3015">
        <v>4.2</v>
      </c>
      <c r="H26" s="3015">
        <v>4.8499999999999996</v>
      </c>
      <c r="I26" s="3015"/>
      <c r="J26" s="3015"/>
      <c r="L26" s="863"/>
      <c r="M26" s="864">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4.25">
      <c r="B27" s="859" t="s">
        <v>2194</v>
      </c>
      <c r="C27" s="865">
        <v>43697</v>
      </c>
      <c r="D27" s="3016">
        <v>4.25</v>
      </c>
      <c r="E27" s="3016">
        <v>4.25</v>
      </c>
      <c r="F27" s="3016">
        <v>4.25</v>
      </c>
      <c r="G27" s="3016">
        <v>4.25</v>
      </c>
      <c r="H27" s="3016">
        <v>4.8499999999999996</v>
      </c>
      <c r="I27" s="3016"/>
      <c r="J27" s="3016"/>
      <c r="L27" s="863"/>
      <c r="M27" s="864">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4.25">
      <c r="B28" s="2051"/>
      <c r="C28" s="2052">
        <v>42301</v>
      </c>
      <c r="D28" s="3017">
        <v>4.3499999999999996</v>
      </c>
      <c r="E28" s="3017">
        <v>4.3499999999999996</v>
      </c>
      <c r="F28" s="3017">
        <v>4.75</v>
      </c>
      <c r="G28" s="3017">
        <v>4.75</v>
      </c>
      <c r="H28" s="3017">
        <v>4.9000000000000004</v>
      </c>
      <c r="I28" s="3017"/>
      <c r="J28" s="3017"/>
      <c r="L28" s="863"/>
      <c r="M28" s="864">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3"/>
      <c r="C29" s="864">
        <v>42242</v>
      </c>
      <c r="D29" s="3015">
        <v>4.5999999999999996</v>
      </c>
      <c r="E29" s="3015">
        <v>4.5999999999999996</v>
      </c>
      <c r="F29" s="3015">
        <v>5</v>
      </c>
      <c r="G29" s="3015">
        <v>5</v>
      </c>
      <c r="H29" s="3015">
        <v>5.15</v>
      </c>
      <c r="I29" s="3015">
        <v>2.75</v>
      </c>
      <c r="J29" s="3015">
        <v>3.25</v>
      </c>
      <c r="L29" s="863"/>
      <c r="M29" s="865">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3"/>
      <c r="C30" s="864">
        <v>42183</v>
      </c>
      <c r="D30" s="3015">
        <v>4.8499999999999996</v>
      </c>
      <c r="E30" s="3015">
        <v>4.8499999999999996</v>
      </c>
      <c r="F30" s="3015">
        <v>5.25</v>
      </c>
      <c r="G30" s="3015">
        <v>5.25</v>
      </c>
      <c r="H30" s="3015">
        <v>5.4</v>
      </c>
      <c r="I30" s="3015">
        <v>3</v>
      </c>
      <c r="J30" s="3015">
        <v>3.5</v>
      </c>
      <c r="L30" s="863"/>
      <c r="M30" s="864">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3"/>
      <c r="C31" s="864">
        <v>42135</v>
      </c>
      <c r="D31" s="3015">
        <v>5.0999999999999996</v>
      </c>
      <c r="E31" s="3015">
        <v>5.0999999999999996</v>
      </c>
      <c r="F31" s="3015">
        <v>5.5</v>
      </c>
      <c r="G31" s="3015">
        <v>5.5</v>
      </c>
      <c r="H31" s="3015">
        <v>5.65</v>
      </c>
      <c r="I31" s="3015">
        <v>3.25</v>
      </c>
      <c r="J31" s="3015">
        <v>3.75</v>
      </c>
      <c r="L31" s="863"/>
      <c r="M31" s="864">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3"/>
      <c r="C32" s="864">
        <v>42064</v>
      </c>
      <c r="D32" s="3015">
        <v>5.35</v>
      </c>
      <c r="E32" s="3015">
        <v>5.35</v>
      </c>
      <c r="F32" s="3015">
        <v>5.75</v>
      </c>
      <c r="G32" s="3015">
        <v>5.75</v>
      </c>
      <c r="H32" s="3015">
        <v>5.9</v>
      </c>
      <c r="I32" s="3015"/>
      <c r="J32" s="3015"/>
      <c r="L32" s="863"/>
      <c r="M32" s="864">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3"/>
      <c r="C33" s="864">
        <v>41965</v>
      </c>
      <c r="D33" s="3015">
        <v>5.6</v>
      </c>
      <c r="E33" s="3015">
        <v>5.6</v>
      </c>
      <c r="F33" s="3015">
        <v>6</v>
      </c>
      <c r="G33" s="3015">
        <v>6</v>
      </c>
      <c r="H33" s="3015">
        <v>6.15</v>
      </c>
      <c r="I33" s="3015"/>
      <c r="J33" s="3015"/>
      <c r="L33" s="863"/>
      <c r="M33" s="864">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3"/>
      <c r="C34" s="864">
        <v>41096</v>
      </c>
      <c r="D34" s="3015">
        <v>5.6</v>
      </c>
      <c r="E34" s="3015">
        <v>6</v>
      </c>
      <c r="F34" s="3015">
        <v>6.15</v>
      </c>
      <c r="G34" s="3015">
        <v>6.4</v>
      </c>
      <c r="H34" s="3015">
        <v>6.55</v>
      </c>
      <c r="I34" s="3015">
        <v>4</v>
      </c>
      <c r="J34" s="3015">
        <v>4.5</v>
      </c>
      <c r="L34" s="863"/>
      <c r="M34" s="864">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3"/>
      <c r="C35" s="864">
        <v>41068</v>
      </c>
      <c r="D35" s="3015">
        <v>5.85</v>
      </c>
      <c r="E35" s="3015">
        <v>6.31</v>
      </c>
      <c r="F35" s="3015">
        <v>6.4</v>
      </c>
      <c r="G35" s="3015">
        <v>6.65</v>
      </c>
      <c r="H35" s="3015">
        <v>6.8</v>
      </c>
      <c r="I35" s="3015">
        <v>4.2</v>
      </c>
      <c r="J35" s="3015">
        <v>4.7</v>
      </c>
      <c r="L35" s="863"/>
      <c r="M35" s="864">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3"/>
      <c r="C36" s="864">
        <v>40731</v>
      </c>
      <c r="D36" s="3015">
        <v>6.1</v>
      </c>
      <c r="E36" s="3015">
        <v>6.56</v>
      </c>
      <c r="F36" s="3015">
        <v>6.65</v>
      </c>
      <c r="G36" s="3015">
        <v>6.9</v>
      </c>
      <c r="H36" s="3015">
        <v>7.05</v>
      </c>
      <c r="I36" s="3015">
        <v>4.45</v>
      </c>
      <c r="J36" s="3015">
        <v>4.9000000000000004</v>
      </c>
      <c r="L36" s="863"/>
      <c r="M36" s="864">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3"/>
      <c r="C37" s="864">
        <v>40639</v>
      </c>
      <c r="D37" s="3015">
        <v>5.85</v>
      </c>
      <c r="E37" s="3015">
        <v>6.31</v>
      </c>
      <c r="F37" s="3015">
        <v>6.4</v>
      </c>
      <c r="G37" s="3015">
        <v>6.65</v>
      </c>
      <c r="H37" s="3015">
        <v>6.8</v>
      </c>
      <c r="I37" s="3015">
        <v>4.2</v>
      </c>
      <c r="J37" s="3015">
        <v>4.7</v>
      </c>
      <c r="L37" s="863"/>
      <c r="M37" s="864">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3"/>
      <c r="C38" s="864">
        <v>40583</v>
      </c>
      <c r="D38" s="3015">
        <v>5.6</v>
      </c>
      <c r="E38" s="3015">
        <v>6.06</v>
      </c>
      <c r="F38" s="3015">
        <v>6.1</v>
      </c>
      <c r="G38" s="3015">
        <v>6.45</v>
      </c>
      <c r="H38" s="3015">
        <v>6.6</v>
      </c>
      <c r="I38" s="3015">
        <v>4</v>
      </c>
      <c r="J38" s="3015">
        <v>4.5</v>
      </c>
      <c r="L38" s="863"/>
      <c r="M38" s="864">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3"/>
      <c r="C39" s="864">
        <v>40538</v>
      </c>
      <c r="D39" s="3015">
        <v>5.35</v>
      </c>
      <c r="E39" s="3015">
        <v>5.81</v>
      </c>
      <c r="F39" s="3015">
        <v>5.85</v>
      </c>
      <c r="G39" s="3015">
        <v>6.22</v>
      </c>
      <c r="H39" s="3015">
        <v>6.4</v>
      </c>
      <c r="I39" s="3015">
        <v>3.75</v>
      </c>
      <c r="J39" s="3015">
        <v>4.3</v>
      </c>
      <c r="L39" s="863"/>
      <c r="M39" s="864">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3"/>
      <c r="C40" s="864">
        <v>40471</v>
      </c>
      <c r="D40" s="3015">
        <v>5.0999999999999996</v>
      </c>
      <c r="E40" s="3015">
        <v>5.56</v>
      </c>
      <c r="F40" s="3015">
        <v>5.6</v>
      </c>
      <c r="G40" s="3015">
        <v>5.96</v>
      </c>
      <c r="H40" s="3015">
        <v>6.14</v>
      </c>
      <c r="I40" s="3015">
        <v>3.5</v>
      </c>
      <c r="J40" s="3015">
        <v>4.05</v>
      </c>
      <c r="L40" s="863"/>
      <c r="M40" s="864">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3"/>
      <c r="C41" s="864">
        <v>39805</v>
      </c>
      <c r="D41" s="3015">
        <v>4.8600000000000003</v>
      </c>
      <c r="E41" s="3015">
        <v>5.31</v>
      </c>
      <c r="F41" s="3015">
        <v>5.4</v>
      </c>
      <c r="G41" s="3015">
        <v>5.76</v>
      </c>
      <c r="H41" s="3015">
        <v>5.94</v>
      </c>
      <c r="I41" s="3015">
        <v>3.33</v>
      </c>
      <c r="J41" s="3015">
        <v>3.87</v>
      </c>
      <c r="L41" s="863"/>
      <c r="M41" s="864">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3"/>
      <c r="C42" s="864">
        <v>39779</v>
      </c>
      <c r="D42" s="3015">
        <v>5.04</v>
      </c>
      <c r="E42" s="3015">
        <v>5.58</v>
      </c>
      <c r="F42" s="3015">
        <v>5.67</v>
      </c>
      <c r="G42" s="3015">
        <v>5.94</v>
      </c>
      <c r="H42" s="3015">
        <v>6.12</v>
      </c>
      <c r="I42" s="3015">
        <v>3.51</v>
      </c>
      <c r="J42" s="3015">
        <v>4.05</v>
      </c>
      <c r="L42" s="863"/>
      <c r="M42" s="864">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3"/>
      <c r="C43" s="864">
        <v>39751</v>
      </c>
      <c r="D43" s="3015">
        <v>6.03</v>
      </c>
      <c r="E43" s="3015">
        <v>6.66</v>
      </c>
      <c r="F43" s="3015">
        <v>6.75</v>
      </c>
      <c r="G43" s="3015">
        <v>7.02</v>
      </c>
      <c r="H43" s="3015">
        <v>7.2</v>
      </c>
      <c r="I43" s="3015">
        <v>4.05</v>
      </c>
      <c r="J43" s="3015">
        <v>4.59</v>
      </c>
      <c r="L43" s="863"/>
      <c r="M43" s="864">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3"/>
      <c r="C44" s="865">
        <v>39748</v>
      </c>
      <c r="D44" s="3015">
        <v>6.12</v>
      </c>
      <c r="E44" s="3015">
        <v>6.93</v>
      </c>
      <c r="F44" s="3015">
        <v>7.02</v>
      </c>
      <c r="G44" s="3015">
        <v>7.29</v>
      </c>
      <c r="H44" s="3015">
        <v>7.47</v>
      </c>
      <c r="I44" s="3015">
        <v>4.05</v>
      </c>
      <c r="J44" s="3015">
        <v>4.59</v>
      </c>
      <c r="L44" s="863"/>
      <c r="M44" s="864">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3"/>
      <c r="C45" s="864">
        <v>39730</v>
      </c>
      <c r="D45" s="3015">
        <v>6.12</v>
      </c>
      <c r="E45" s="3015">
        <v>6.93</v>
      </c>
      <c r="F45" s="3015">
        <v>7.02</v>
      </c>
      <c r="G45" s="3015">
        <v>7.29</v>
      </c>
      <c r="H45" s="3015">
        <v>7.47</v>
      </c>
      <c r="I45" s="3015">
        <v>4.32</v>
      </c>
      <c r="J45" s="3015">
        <v>4.8600000000000003</v>
      </c>
      <c r="L45" s="863"/>
      <c r="M45" s="864">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3"/>
      <c r="C46" s="864">
        <v>39707</v>
      </c>
      <c r="D46" s="3015">
        <v>6.21</v>
      </c>
      <c r="E46" s="3015">
        <v>7.2</v>
      </c>
      <c r="F46" s="3015">
        <v>7.29</v>
      </c>
      <c r="G46" s="3015">
        <v>7.56</v>
      </c>
      <c r="H46" s="3015">
        <v>7.74</v>
      </c>
      <c r="I46" s="3015">
        <v>4.59</v>
      </c>
      <c r="J46" s="3015">
        <v>5.13</v>
      </c>
      <c r="L46" s="863"/>
      <c r="M46" s="864">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3"/>
      <c r="C47" s="864">
        <v>39437</v>
      </c>
      <c r="D47" s="3015">
        <v>6.57</v>
      </c>
      <c r="E47" s="3015">
        <v>7.47</v>
      </c>
      <c r="F47" s="3015">
        <v>7.56</v>
      </c>
      <c r="G47" s="3015">
        <v>7.74</v>
      </c>
      <c r="H47" s="3015">
        <v>7.83</v>
      </c>
      <c r="I47" s="3015">
        <v>4.7699999999999996</v>
      </c>
      <c r="J47" s="3015">
        <v>5.22</v>
      </c>
      <c r="L47" s="863"/>
      <c r="M47" s="864">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3"/>
      <c r="C48" s="864">
        <v>39340</v>
      </c>
      <c r="D48" s="3015">
        <v>6.48</v>
      </c>
      <c r="E48" s="3015">
        <v>7.29</v>
      </c>
      <c r="F48" s="3015">
        <v>7.47</v>
      </c>
      <c r="G48" s="3015">
        <v>7.65</v>
      </c>
      <c r="H48" s="3015">
        <v>7.83</v>
      </c>
      <c r="I48" s="3015">
        <v>4.7699999999999996</v>
      </c>
      <c r="J48" s="3015">
        <v>5.22</v>
      </c>
      <c r="L48" s="863"/>
      <c r="M48" s="864">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3"/>
      <c r="C49" s="864">
        <v>39316</v>
      </c>
      <c r="D49" s="3015">
        <v>6.21</v>
      </c>
      <c r="E49" s="3015">
        <v>7.02</v>
      </c>
      <c r="F49" s="3015">
        <v>7.2</v>
      </c>
      <c r="G49" s="3015">
        <v>7.38</v>
      </c>
      <c r="H49" s="3015">
        <v>7.56</v>
      </c>
      <c r="I49" s="3015">
        <v>4.59</v>
      </c>
      <c r="J49" s="3015">
        <v>5.04</v>
      </c>
      <c r="L49" s="863"/>
      <c r="M49" s="864">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3"/>
      <c r="C50" s="864">
        <v>39284</v>
      </c>
      <c r="D50" s="3015">
        <v>6.03</v>
      </c>
      <c r="E50" s="3015">
        <v>6.84</v>
      </c>
      <c r="F50" s="3015">
        <v>7.02</v>
      </c>
      <c r="G50" s="3015">
        <v>7.2</v>
      </c>
      <c r="H50" s="3015">
        <v>7.38</v>
      </c>
      <c r="I50" s="3015">
        <v>4.5</v>
      </c>
      <c r="J50" s="3015">
        <v>4.95</v>
      </c>
      <c r="L50" s="863"/>
      <c r="M50" s="864">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3"/>
      <c r="C51" s="864">
        <v>39221</v>
      </c>
      <c r="D51" s="3015">
        <v>5.85</v>
      </c>
      <c r="E51" s="3015">
        <v>6.57</v>
      </c>
      <c r="F51" s="3015">
        <v>6.75</v>
      </c>
      <c r="G51" s="3015">
        <v>6.93</v>
      </c>
      <c r="H51" s="3015">
        <v>7.2</v>
      </c>
      <c r="I51" s="3015">
        <v>4.41</v>
      </c>
      <c r="J51" s="3015">
        <v>4.8600000000000003</v>
      </c>
      <c r="L51" s="863"/>
      <c r="M51" s="864">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3"/>
      <c r="C52" s="864">
        <v>39159</v>
      </c>
      <c r="D52" s="3015">
        <v>5.67</v>
      </c>
      <c r="E52" s="3015">
        <v>6.39</v>
      </c>
      <c r="F52" s="3015">
        <v>6.57</v>
      </c>
      <c r="G52" s="3015">
        <v>6.75</v>
      </c>
      <c r="H52" s="3015">
        <v>7.11</v>
      </c>
      <c r="I52" s="3015">
        <v>4.32</v>
      </c>
      <c r="J52" s="3015">
        <v>4.7699999999999996</v>
      </c>
      <c r="L52" s="863"/>
      <c r="M52" s="864"/>
      <c r="N52" s="3015"/>
      <c r="O52" s="3015"/>
      <c r="P52" s="3015"/>
      <c r="Q52" s="3015"/>
      <c r="R52" s="3015"/>
      <c r="S52" s="3015"/>
      <c r="T52" s="3015"/>
      <c r="U52" s="3015"/>
      <c r="V52" s="3015"/>
      <c r="W52" s="3015"/>
      <c r="X52" s="3015"/>
      <c r="Y52" s="3015"/>
      <c r="Z52" s="3015"/>
    </row>
    <row r="53" spans="2:26">
      <c r="B53" s="863"/>
      <c r="C53" s="864">
        <v>38948</v>
      </c>
      <c r="D53" s="3015">
        <v>5.58</v>
      </c>
      <c r="E53" s="3015">
        <v>6.12</v>
      </c>
      <c r="F53" s="3015">
        <v>6.3</v>
      </c>
      <c r="G53" s="3015">
        <v>6.48</v>
      </c>
      <c r="H53" s="3015">
        <v>6.84</v>
      </c>
      <c r="I53" s="3015">
        <v>4.1399999999999997</v>
      </c>
      <c r="J53" s="3015">
        <v>4.59</v>
      </c>
      <c r="L53" s="863"/>
      <c r="M53" s="864"/>
      <c r="N53" s="3015"/>
      <c r="O53" s="3015"/>
      <c r="P53" s="3015"/>
      <c r="Q53" s="3015"/>
      <c r="R53" s="3015"/>
      <c r="S53" s="3015"/>
      <c r="T53" s="3015"/>
      <c r="U53" s="3015"/>
      <c r="V53" s="3015"/>
      <c r="W53" s="3015"/>
      <c r="X53" s="3015"/>
      <c r="Y53" s="3015"/>
      <c r="Z53" s="3015"/>
    </row>
    <row r="54" spans="2:26">
      <c r="B54" s="863"/>
      <c r="C54" s="864">
        <v>38835</v>
      </c>
      <c r="D54" s="3015">
        <v>5.4</v>
      </c>
      <c r="E54" s="3015">
        <v>5.85</v>
      </c>
      <c r="F54" s="3015">
        <v>6.03</v>
      </c>
      <c r="G54" s="3015">
        <v>6.12</v>
      </c>
      <c r="H54" s="3015">
        <v>6.39</v>
      </c>
      <c r="I54" s="3015">
        <v>4.1399999999999997</v>
      </c>
      <c r="J54" s="3015">
        <v>4.59</v>
      </c>
      <c r="L54" s="863"/>
      <c r="M54" s="864"/>
      <c r="N54" s="3015"/>
      <c r="O54" s="3015"/>
      <c r="P54" s="3015"/>
      <c r="Q54" s="3015"/>
      <c r="R54" s="3015"/>
      <c r="S54" s="3015"/>
      <c r="T54" s="3015"/>
      <c r="U54" s="3015"/>
      <c r="V54" s="3015"/>
      <c r="W54" s="3015"/>
      <c r="X54" s="3015"/>
      <c r="Y54" s="3015"/>
      <c r="Z54" s="3015"/>
    </row>
    <row r="55" spans="2:26">
      <c r="B55" s="863"/>
      <c r="C55" s="864">
        <v>38428</v>
      </c>
      <c r="D55" s="3015">
        <v>5.22</v>
      </c>
      <c r="E55" s="3015">
        <v>5.58</v>
      </c>
      <c r="F55" s="3015">
        <v>5.76</v>
      </c>
      <c r="G55" s="3015">
        <v>5.85</v>
      </c>
      <c r="H55" s="3015">
        <v>6.12</v>
      </c>
      <c r="I55" s="3015">
        <v>3.96</v>
      </c>
      <c r="J55" s="3015">
        <v>4.41</v>
      </c>
      <c r="L55" s="863"/>
      <c r="M55" s="864"/>
      <c r="N55" s="3015"/>
      <c r="O55" s="3015"/>
      <c r="P55" s="3015"/>
      <c r="Q55" s="3015"/>
      <c r="R55" s="3015"/>
      <c r="S55" s="3015"/>
      <c r="T55" s="3015"/>
      <c r="U55" s="3015"/>
      <c r="V55" s="3015"/>
      <c r="W55" s="3015"/>
      <c r="X55" s="3015"/>
      <c r="Y55" s="3015"/>
      <c r="Z55" s="3015"/>
    </row>
    <row r="56" spans="2:26">
      <c r="B56" s="863"/>
      <c r="C56" s="864">
        <v>38289</v>
      </c>
      <c r="D56" s="3015">
        <v>5.22</v>
      </c>
      <c r="E56" s="3015">
        <v>5.58</v>
      </c>
      <c r="F56" s="3015">
        <v>5.76</v>
      </c>
      <c r="G56" s="3015">
        <v>5.85</v>
      </c>
      <c r="H56" s="3015">
        <v>6.12</v>
      </c>
      <c r="I56" s="3015">
        <v>3.78</v>
      </c>
      <c r="J56" s="3015">
        <v>4.2300000000000004</v>
      </c>
      <c r="L56" s="863"/>
      <c r="M56" s="864"/>
      <c r="N56" s="3015"/>
      <c r="O56" s="3015"/>
      <c r="P56" s="3015"/>
      <c r="Q56" s="3015"/>
      <c r="R56" s="3015"/>
      <c r="S56" s="3015"/>
      <c r="T56" s="3015"/>
      <c r="U56" s="3015"/>
      <c r="V56" s="3015"/>
      <c r="W56" s="3015"/>
      <c r="X56" s="3015"/>
      <c r="Y56" s="3015"/>
      <c r="Z56" s="3015"/>
    </row>
    <row r="57" spans="2:26">
      <c r="B57" s="863"/>
      <c r="C57" s="864">
        <v>37308</v>
      </c>
      <c r="D57" s="3015">
        <v>5.04</v>
      </c>
      <c r="E57" s="3015">
        <v>5.31</v>
      </c>
      <c r="F57" s="3015">
        <v>5.49</v>
      </c>
      <c r="G57" s="3015">
        <v>5.58</v>
      </c>
      <c r="H57" s="3015">
        <v>5.76</v>
      </c>
      <c r="I57" s="3015">
        <v>3.6</v>
      </c>
      <c r="J57" s="3015">
        <v>4.05</v>
      </c>
      <c r="L57" s="863"/>
      <c r="M57" s="864"/>
      <c r="N57" s="3015"/>
      <c r="O57" s="3015"/>
      <c r="P57" s="3015"/>
      <c r="Q57" s="3015"/>
      <c r="R57" s="3015"/>
      <c r="S57" s="3015"/>
      <c r="T57" s="3015"/>
      <c r="U57" s="3015"/>
      <c r="V57" s="3015"/>
      <c r="W57" s="3015"/>
      <c r="X57" s="3015"/>
      <c r="Y57" s="3015"/>
      <c r="Z57" s="3015"/>
    </row>
    <row r="58" spans="2:26">
      <c r="B58" s="863"/>
      <c r="C58" s="864">
        <v>36321</v>
      </c>
      <c r="D58" s="3015">
        <v>5.58</v>
      </c>
      <c r="E58" s="3015">
        <v>5.85</v>
      </c>
      <c r="F58" s="3015">
        <v>5.94</v>
      </c>
      <c r="G58" s="3015">
        <v>6.03</v>
      </c>
      <c r="H58" s="3015">
        <v>6.21</v>
      </c>
      <c r="I58" s="3015">
        <v>4.1399999999999997</v>
      </c>
      <c r="J58" s="3015">
        <v>4.59</v>
      </c>
    </row>
    <row r="59" spans="2:26">
      <c r="B59" s="863"/>
      <c r="C59" s="864">
        <v>36136</v>
      </c>
      <c r="D59" s="3015">
        <v>6.12</v>
      </c>
      <c r="E59" s="3015">
        <v>6.39</v>
      </c>
      <c r="F59" s="3015">
        <v>6.66</v>
      </c>
      <c r="G59" s="3015">
        <v>7.2</v>
      </c>
      <c r="H59" s="3015">
        <v>7.56</v>
      </c>
      <c r="I59" s="3015">
        <v>0</v>
      </c>
      <c r="J59" s="3015">
        <v>0</v>
      </c>
    </row>
    <row r="60" spans="2:26">
      <c r="B60" s="863"/>
      <c r="C60" s="864">
        <v>35977</v>
      </c>
      <c r="D60" s="3015">
        <v>6.57</v>
      </c>
      <c r="E60" s="3015">
        <v>6.93</v>
      </c>
      <c r="F60" s="3015">
        <v>7.11</v>
      </c>
      <c r="G60" s="3015">
        <v>7.65</v>
      </c>
      <c r="H60" s="3015">
        <v>8.01</v>
      </c>
      <c r="I60" s="3015">
        <v>0</v>
      </c>
      <c r="J60" s="3015">
        <v>0</v>
      </c>
    </row>
    <row r="61" spans="2:26">
      <c r="B61" s="863"/>
      <c r="C61" s="864">
        <v>35879</v>
      </c>
      <c r="D61" s="3015">
        <v>7.02</v>
      </c>
      <c r="E61" s="3015">
        <v>7.92</v>
      </c>
      <c r="F61" s="3015">
        <v>9</v>
      </c>
      <c r="G61" s="3015">
        <v>9.7200000000000006</v>
      </c>
      <c r="H61" s="3015">
        <v>10.35</v>
      </c>
      <c r="I61" s="3015">
        <v>0</v>
      </c>
      <c r="J61" s="3015">
        <v>0</v>
      </c>
    </row>
    <row r="62" spans="2:26">
      <c r="B62" s="863"/>
      <c r="C62" s="864">
        <v>35726</v>
      </c>
      <c r="D62" s="3015">
        <v>7.65</v>
      </c>
      <c r="E62" s="3015">
        <v>8.64</v>
      </c>
      <c r="F62" s="3015">
        <v>9.36</v>
      </c>
      <c r="G62" s="3015">
        <v>9.9</v>
      </c>
      <c r="H62" s="3015">
        <v>10.53</v>
      </c>
      <c r="I62" s="3015">
        <v>0</v>
      </c>
      <c r="J62" s="3015">
        <v>0</v>
      </c>
    </row>
    <row r="63" spans="2:26">
      <c r="B63" s="863"/>
      <c r="C63" s="864">
        <v>35300</v>
      </c>
      <c r="D63" s="3015">
        <v>9.18</v>
      </c>
      <c r="E63" s="3015">
        <v>10.08</v>
      </c>
      <c r="F63" s="3015">
        <v>10.98</v>
      </c>
      <c r="G63" s="3015">
        <v>11.7</v>
      </c>
      <c r="H63" s="3015">
        <v>12.42</v>
      </c>
      <c r="I63" s="3015">
        <v>0</v>
      </c>
      <c r="J63" s="3015">
        <v>0</v>
      </c>
    </row>
    <row r="64" spans="2:26">
      <c r="B64" s="863"/>
      <c r="C64" s="864">
        <v>35186</v>
      </c>
      <c r="D64" s="3015">
        <v>9.7200000000000006</v>
      </c>
      <c r="E64" s="3015">
        <v>10.98</v>
      </c>
      <c r="F64" s="3015">
        <v>13.14</v>
      </c>
      <c r="G64" s="3015">
        <v>14.94</v>
      </c>
      <c r="H64" s="3015">
        <v>15.12</v>
      </c>
      <c r="I64" s="3015">
        <v>0</v>
      </c>
      <c r="J64" s="3015">
        <v>0</v>
      </c>
    </row>
    <row r="65" spans="2:10">
      <c r="B65" s="863"/>
      <c r="C65" s="864">
        <v>34881</v>
      </c>
      <c r="D65" s="3015">
        <v>10.08</v>
      </c>
      <c r="E65" s="3015">
        <v>12.06</v>
      </c>
      <c r="F65" s="3015">
        <v>13.5</v>
      </c>
      <c r="G65" s="3015">
        <v>15.12</v>
      </c>
      <c r="H65" s="3015">
        <v>15.3</v>
      </c>
      <c r="I65" s="3015">
        <v>0</v>
      </c>
      <c r="J65" s="3015">
        <v>0</v>
      </c>
    </row>
    <row r="66" spans="2:10">
      <c r="B66" s="863"/>
      <c r="C66" s="864">
        <v>34700</v>
      </c>
      <c r="D66" s="3015">
        <v>9</v>
      </c>
      <c r="E66" s="3015">
        <v>10.98</v>
      </c>
      <c r="F66" s="3015">
        <v>12.96</v>
      </c>
      <c r="G66" s="3015">
        <v>14.58</v>
      </c>
      <c r="H66" s="3015">
        <v>14.76</v>
      </c>
      <c r="I66" s="3015">
        <v>0</v>
      </c>
      <c r="J66" s="3015">
        <v>0</v>
      </c>
    </row>
    <row r="67" spans="2:10">
      <c r="B67" s="863"/>
      <c r="C67" s="864">
        <v>34161</v>
      </c>
      <c r="D67" s="3015">
        <v>9</v>
      </c>
      <c r="E67" s="3015">
        <v>10.98</v>
      </c>
      <c r="F67" s="3015">
        <v>12.24</v>
      </c>
      <c r="G67" s="3015">
        <v>13.86</v>
      </c>
      <c r="H67" s="3015">
        <v>14.04</v>
      </c>
      <c r="I67" s="3015">
        <v>0</v>
      </c>
      <c r="J67" s="3015">
        <v>0</v>
      </c>
    </row>
    <row r="68" spans="2:10">
      <c r="B68" s="863"/>
      <c r="C68" s="864">
        <v>34104</v>
      </c>
      <c r="D68" s="3015">
        <v>8.82</v>
      </c>
      <c r="E68" s="3015">
        <v>9.36</v>
      </c>
      <c r="F68" s="3015">
        <v>10.8</v>
      </c>
      <c r="G68" s="3015">
        <v>12.06</v>
      </c>
      <c r="H68" s="3015">
        <v>12.24</v>
      </c>
      <c r="I68" s="3015">
        <v>0</v>
      </c>
      <c r="J68" s="3015">
        <v>0</v>
      </c>
    </row>
    <row r="69" spans="2:10">
      <c r="B69" s="863"/>
      <c r="C69" s="864">
        <v>33349</v>
      </c>
      <c r="D69" s="3015">
        <v>8.1</v>
      </c>
      <c r="E69" s="3015">
        <v>8.64</v>
      </c>
      <c r="F69" s="3015">
        <v>9</v>
      </c>
      <c r="G69" s="3015">
        <v>9.5399999999999991</v>
      </c>
      <c r="H69" s="3015">
        <v>9.7200000000000006</v>
      </c>
      <c r="I69" s="3015">
        <v>0</v>
      </c>
      <c r="J69" s="3015">
        <v>0</v>
      </c>
    </row>
    <row r="70" spans="2:10">
      <c r="B70" s="863"/>
      <c r="C70" s="864">
        <v>33318</v>
      </c>
      <c r="D70" s="3015">
        <v>9</v>
      </c>
      <c r="E70" s="3015">
        <v>10.08</v>
      </c>
      <c r="F70" s="3015">
        <v>10.8</v>
      </c>
      <c r="G70" s="3015">
        <v>11.52</v>
      </c>
      <c r="H70" s="3015">
        <v>11.88</v>
      </c>
      <c r="I70" s="3015" t="s">
        <v>627</v>
      </c>
      <c r="J70" s="3015" t="s">
        <v>627</v>
      </c>
    </row>
    <row r="71" spans="2:10">
      <c r="B71" s="863"/>
      <c r="C71" s="864">
        <v>33106</v>
      </c>
      <c r="D71" s="3015">
        <v>8.64</v>
      </c>
      <c r="E71" s="3015">
        <v>9.36</v>
      </c>
      <c r="F71" s="3015">
        <v>10.08</v>
      </c>
      <c r="G71" s="3015">
        <v>10.8</v>
      </c>
      <c r="H71" s="3015">
        <v>11.16</v>
      </c>
      <c r="I71" s="3015">
        <v>0</v>
      </c>
      <c r="J71" s="3015">
        <v>0</v>
      </c>
    </row>
    <row r="72" spans="2:10">
      <c r="B72" s="863"/>
      <c r="C72" s="864">
        <v>32540</v>
      </c>
      <c r="D72" s="3015">
        <v>11.34</v>
      </c>
      <c r="E72" s="3015">
        <v>11.34</v>
      </c>
      <c r="F72" s="3015">
        <v>12.78</v>
      </c>
      <c r="G72" s="3015">
        <v>14.4</v>
      </c>
      <c r="H72" s="3015">
        <v>19.260000000000002</v>
      </c>
      <c r="I72" s="3015">
        <v>0</v>
      </c>
      <c r="J72" s="3015">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88" t="s">
        <v>933</v>
      </c>
      <c r="B1" s="4288"/>
      <c r="C1" s="4288"/>
      <c r="D1" s="4288"/>
    </row>
    <row r="2" spans="1:4" ht="18">
      <c r="A2" s="4289" t="s">
        <v>917</v>
      </c>
      <c r="B2" s="4289"/>
      <c r="C2" s="4289"/>
      <c r="D2" s="4289"/>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89" t="s">
        <v>923</v>
      </c>
      <c r="B6" s="4289"/>
      <c r="C6" s="4289"/>
      <c r="D6" s="4289"/>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90" t="s">
        <v>926</v>
      </c>
      <c r="B11" s="4291"/>
      <c r="C11" s="4291"/>
      <c r="D11" s="4291"/>
    </row>
    <row r="12" spans="1:4" ht="15.75">
      <c r="A12" s="42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2"/>
      <c r="C12" s="4292"/>
      <c r="D12" s="4292"/>
    </row>
    <row r="13" spans="1:4" ht="30" customHeight="1">
      <c r="A13" s="42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2"/>
      <c r="C13" s="4292"/>
      <c r="D13" s="4292"/>
    </row>
    <row r="14" spans="1:4" ht="15.75" customHeight="1">
      <c r="A14" s="4291" t="str">
        <f>IF(项目基本情况!B8="抵押","4.本次评估估价师所知悉的法定优先受偿款情况说明如下：","——")</f>
        <v>4.本次评估估价师所知悉的法定优先受偿款情况说明如下：</v>
      </c>
      <c r="B14" s="4292"/>
      <c r="C14" s="4292"/>
      <c r="D14" s="4292"/>
    </row>
    <row r="15" spans="1:4" ht="42" customHeight="1">
      <c r="A15" s="42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91"/>
      <c r="C15" s="4291"/>
      <c r="D15" s="4291"/>
    </row>
    <row r="16" spans="1:4" ht="30" customHeight="1">
      <c r="A16" s="4294" t="s">
        <v>927</v>
      </c>
      <c r="B16" s="4294"/>
      <c r="C16" s="4294"/>
      <c r="D16" s="4294"/>
    </row>
    <row r="17" spans="1:4" ht="144" customHeight="1">
      <c r="A17" s="4294" t="s">
        <v>928</v>
      </c>
      <c r="B17" s="4294"/>
      <c r="C17" s="4294"/>
      <c r="D17" s="4294"/>
    </row>
    <row r="18" spans="1:4" ht="15.75" customHeight="1">
      <c r="A18" s="4291" t="str">
        <f>IF(项目基本情况!B8="抵押",结果表!K120,"——")</f>
        <v>故，本次评估不存在估价师知悉的法定优先受偿款</v>
      </c>
      <c r="B18" s="4291"/>
      <c r="C18" s="4291"/>
      <c r="D18" s="4291"/>
    </row>
    <row r="19" spans="1:4" ht="46.5" customHeight="1">
      <c r="A19" s="42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91"/>
      <c r="C19" s="4291"/>
      <c r="D19" s="4291"/>
    </row>
    <row r="20" spans="1:4" ht="57.75" customHeight="1">
      <c r="A20" s="42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91"/>
      <c r="C20" s="4291"/>
      <c r="D20" s="4291"/>
    </row>
    <row r="21" spans="1:4" ht="57.75" customHeight="1">
      <c r="A21" s="42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95"/>
      <c r="C21" s="4295"/>
      <c r="D21" s="4295"/>
    </row>
    <row r="22" spans="1:4" ht="18.75" customHeight="1">
      <c r="A22" s="4296" t="s">
        <v>929</v>
      </c>
      <c r="B22" s="4296"/>
      <c r="C22" s="4296"/>
      <c r="D22" s="4296"/>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93">
        <v>42551</v>
      </c>
      <c r="D31" s="4293"/>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9E3AF-4A12-4A85-ADEE-150003BADC3D}">
  <sheetPr>
    <tabColor rgb="FFFFFF00"/>
  </sheetPr>
  <dimension ref="B2:D5"/>
  <sheetViews>
    <sheetView workbookViewId="0">
      <selection activeCell="I23" sqref="I23"/>
    </sheetView>
  </sheetViews>
  <sheetFormatPr defaultColWidth="9" defaultRowHeight="13.5"/>
  <cols>
    <col min="1" max="1" width="9" style="4257"/>
    <col min="2" max="2" width="26.125" style="4257" bestFit="1" customWidth="1"/>
    <col min="3" max="3" width="34.375" style="4257" bestFit="1" customWidth="1"/>
    <col min="4" max="4" width="7.5" style="4257" bestFit="1" customWidth="1"/>
    <col min="5" max="16384" width="9" style="4257"/>
  </cols>
  <sheetData>
    <row r="2" spans="2:4">
      <c r="B2" s="4257" t="s">
        <v>4058</v>
      </c>
      <c r="C2" s="4257" t="s">
        <v>4059</v>
      </c>
      <c r="D2" s="4257" t="s">
        <v>4060</v>
      </c>
    </row>
    <row r="3" spans="2:4">
      <c r="B3" s="4258" t="s">
        <v>4061</v>
      </c>
      <c r="C3" s="4257" t="s">
        <v>4062</v>
      </c>
      <c r="D3" s="4257">
        <v>138.79</v>
      </c>
    </row>
    <row r="4" spans="2:4">
      <c r="B4" s="4257" t="s">
        <v>4063</v>
      </c>
      <c r="C4" s="4257" t="s">
        <v>4064</v>
      </c>
      <c r="D4" s="4257">
        <v>128.29</v>
      </c>
    </row>
    <row r="5" spans="2:4">
      <c r="B5" s="4257" t="s">
        <v>4065</v>
      </c>
      <c r="C5" s="4257" t="s">
        <v>4066</v>
      </c>
      <c r="D5" s="4257">
        <v>170.92</v>
      </c>
    </row>
  </sheetData>
  <phoneticPr fontId="134"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02" t="s">
        <v>940</v>
      </c>
      <c r="B15" s="4297" t="s">
        <v>107</v>
      </c>
      <c r="C15" s="4298"/>
    </row>
    <row r="16" spans="1:7" ht="13.5">
      <c r="A16" s="4303"/>
      <c r="B16" s="4297" t="s">
        <v>40</v>
      </c>
      <c r="C16" s="4298"/>
    </row>
    <row r="17" spans="1:3" ht="13.5">
      <c r="A17" s="4303"/>
      <c r="B17" s="4300" t="s">
        <v>941</v>
      </c>
      <c r="C17" s="1073" t="s">
        <v>940</v>
      </c>
    </row>
    <row r="18" spans="1:3" ht="13.5">
      <c r="A18" s="4303"/>
      <c r="B18" s="4300"/>
      <c r="C18" s="1073" t="s">
        <v>942</v>
      </c>
    </row>
    <row r="19" spans="1:3" ht="13.5">
      <c r="A19" s="4303"/>
      <c r="B19" s="4300"/>
      <c r="C19" s="1073" t="s">
        <v>943</v>
      </c>
    </row>
    <row r="20" spans="1:3" ht="13.5">
      <c r="A20" s="4304"/>
      <c r="B20" s="4299" t="s">
        <v>944</v>
      </c>
      <c r="C20" s="4298"/>
    </row>
    <row r="21" spans="1:3" ht="13.5">
      <c r="A21" s="1074" t="s">
        <v>945</v>
      </c>
      <c r="B21" s="1075"/>
      <c r="C21" s="1076"/>
    </row>
    <row r="22" spans="1:3" ht="13.5">
      <c r="A22" s="4301" t="s">
        <v>946</v>
      </c>
      <c r="B22" s="4299" t="s">
        <v>947</v>
      </c>
      <c r="C22" s="4298"/>
    </row>
    <row r="23" spans="1:3" ht="13.5">
      <c r="A23" s="4301"/>
      <c r="B23" s="4299" t="s">
        <v>948</v>
      </c>
      <c r="C23" s="4298"/>
    </row>
    <row r="24" spans="1:3" ht="13.5">
      <c r="A24" s="4301"/>
      <c r="B24" s="4299" t="s">
        <v>949</v>
      </c>
      <c r="C24" s="4298"/>
    </row>
    <row r="25" spans="1:3" ht="13.5">
      <c r="A25" s="4301"/>
      <c r="B25" s="4300" t="s">
        <v>950</v>
      </c>
      <c r="C25" s="1073" t="s">
        <v>951</v>
      </c>
    </row>
    <row r="26" spans="1:3" ht="13.5">
      <c r="A26" s="4301"/>
      <c r="B26" s="4300"/>
      <c r="C26" s="1073" t="s">
        <v>952</v>
      </c>
    </row>
    <row r="27" spans="1:3" ht="13.5">
      <c r="A27" s="4301"/>
      <c r="B27" s="4300"/>
      <c r="C27" s="1073" t="s">
        <v>953</v>
      </c>
    </row>
    <row r="28" spans="1:3" ht="13.5">
      <c r="A28" s="4301"/>
      <c r="B28" s="4300"/>
      <c r="C28" s="1073" t="s">
        <v>954</v>
      </c>
    </row>
    <row r="29" spans="1:3" ht="13.5">
      <c r="A29" s="4301"/>
      <c r="B29" s="4300"/>
      <c r="C29" s="1073" t="s">
        <v>955</v>
      </c>
    </row>
    <row r="30" spans="1:3" ht="13.5">
      <c r="A30" s="4301"/>
      <c r="B30" s="4300"/>
      <c r="C30" s="1073" t="s">
        <v>956</v>
      </c>
    </row>
    <row r="31" spans="1:3" ht="13.5">
      <c r="A31" s="4301"/>
      <c r="B31" s="4300"/>
      <c r="C31" s="1073" t="s">
        <v>957</v>
      </c>
    </row>
    <row r="32" spans="1:3" ht="13.5">
      <c r="A32" s="4301"/>
      <c r="B32" s="4300"/>
      <c r="C32" s="1073" t="s">
        <v>958</v>
      </c>
    </row>
    <row r="33" spans="1:3" ht="13.5">
      <c r="A33" s="4301"/>
      <c r="B33" s="4300"/>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176</vt:i4>
      </vt:variant>
    </vt:vector>
  </HeadingPairs>
  <TitlesOfParts>
    <vt:vector size="229" baseType="lpstr">
      <vt:lpstr>致函链接</vt:lpstr>
      <vt:lpstr>预评函-封皮</vt:lpstr>
      <vt:lpstr>预评函-1</vt:lpstr>
      <vt:lpstr>预评函-2</vt:lpstr>
      <vt:lpstr>预评函-3</vt:lpstr>
      <vt:lpstr>预评函-4</vt:lpstr>
      <vt:lpstr>预评函-5</vt:lpstr>
      <vt:lpstr>Sheet1</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收益法 (元)fei</vt:lpstr>
      <vt:lpstr>收益法-酒店模型</vt:lpstr>
      <vt:lpstr>收益法（汇总）</vt:lpstr>
      <vt:lpstr>典型户型修正</vt:lpstr>
      <vt:lpstr>租金比较法-商业</vt:lpstr>
      <vt:lpstr>Sheet2</vt:lpstr>
      <vt:lpstr>Sheet3</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'租金比较法-商业'!商业层高</vt:lpstr>
      <vt:lpstr>商业层高</vt:lpstr>
      <vt:lpstr>'租金比较法-商业'!商业成新度</vt:lpstr>
      <vt:lpstr>商业成新度</vt:lpstr>
      <vt:lpstr>商业繁华度</vt:lpstr>
      <vt:lpstr>'租金比较法-商业'!商业公共部分装修</vt:lpstr>
      <vt:lpstr>商业公共部分装修</vt:lpstr>
      <vt:lpstr>'租金比较法-商业'!商业基础设施水平</vt:lpstr>
      <vt:lpstr>商业基础设施水平</vt:lpstr>
      <vt:lpstr>'租金比较法-商业'!商业建筑结构</vt:lpstr>
      <vt:lpstr>商业建筑结构</vt:lpstr>
      <vt:lpstr>'租金比较法-商业'!商业交易情况</vt:lpstr>
      <vt:lpstr>商业交易情况</vt:lpstr>
      <vt:lpstr>商业街名称</vt:lpstr>
      <vt:lpstr>'租金比较法-商业'!商业进深比</vt:lpstr>
      <vt:lpstr>商业进深比</vt:lpstr>
      <vt:lpstr>'租金比较法-商业'!商业类型</vt:lpstr>
      <vt:lpstr>商业类型</vt:lpstr>
      <vt:lpstr>'租金比较法-商业'!商业临街状况</vt:lpstr>
      <vt:lpstr>商业临街状况</vt:lpstr>
      <vt:lpstr>'租金比较法-商业'!商业楼层</vt:lpstr>
      <vt:lpstr>商业楼层</vt:lpstr>
      <vt:lpstr>'租金比较法-商业'!商业内部装修</vt:lpstr>
      <vt:lpstr>商业内部装修</vt:lpstr>
      <vt:lpstr>'租金比较法-商业'!商业人流量</vt:lpstr>
      <vt:lpstr>商业人流量</vt:lpstr>
      <vt:lpstr>'租金比较法-商业'!商业业态</vt:lpstr>
      <vt:lpstr>商业业态</vt:lpstr>
      <vt:lpstr>'租金比较法-商业'!商业用途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2026-03-17T09:11:51Z</dcterms:modified>
</cp:coreProperties>
</file>