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商业" sheetId="33" r:id="rId23"/>
    <sheet name="比较法-办公" sheetId="34" r:id="rId24"/>
    <sheet name="收益法" sheetId="15" r:id="rId25"/>
    <sheet name="土地案例" sheetId="77" r:id="rId26"/>
    <sheet name="收益法 (元)" sheetId="67" state="hidden" r:id="rId27"/>
    <sheet name="收益法（汇总）" sheetId="70" state="hidden" r:id="rId28"/>
    <sheet name="酒店收入计算" sheetId="66" state="hidden" r:id="rId29"/>
    <sheet name="比较法-住宅" sheetId="21"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13">'数据-汇总表'!$A$1:$P$32</definedName>
    <definedName name="八级">区片价!$O$1:$O$40</definedName>
    <definedName name="办公层高" localSheetId="25">'[1]比较法-办公'!$B$119:$M$119</definedName>
    <definedName name="办公层高">'比较法-办公'!$B$119:$M$119</definedName>
    <definedName name="办公朝向" localSheetId="25">'[1]比较法-办公'!$B$91:$M$91</definedName>
    <definedName name="办公朝向">'比较法-办公'!$B$91:$M$91</definedName>
    <definedName name="办公道路级别" localSheetId="25">'[1]比较法-办公'!$B$87:$M$87</definedName>
    <definedName name="办公道路级别">'比较法-办公'!$B$87:$M$87</definedName>
    <definedName name="办公公共部分装修" localSheetId="25">'[1]比较法-办公'!$B$108:$M$108</definedName>
    <definedName name="办公公共部分装修">'比较法-办公'!$B$108:$M$108</definedName>
    <definedName name="办公基础设施水平" localSheetId="25">'[1]比较法-办公'!$B$117:$M$117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'[1]比较法-办公'!$B$106:$M$106</definedName>
    <definedName name="办公建筑结构">'比较法-办公'!$B$106:$M$106</definedName>
    <definedName name="办公建筑类型" localSheetId="25">'[1]比较法-办公'!$B$101:$M$101</definedName>
    <definedName name="办公建筑类型">'比较法-办公'!$B$101:$M$101</definedName>
    <definedName name="办公交易情况" localSheetId="25">'[1]比较法-办公'!$A$62:$M$62</definedName>
    <definedName name="办公交易情况">'比较法-办公'!$A$62:$M$62</definedName>
    <definedName name="办公楼层" localSheetId="25">'[1]比较法-办公'!$B$89:$M$89</definedName>
    <definedName name="办公楼层">'比较法-办公'!$B$89:$M$89</definedName>
    <definedName name="办公内部装修" localSheetId="25">'[1]比较法-办公'!$B$123:$M$123</definedName>
    <definedName name="办公内部装修">'比较法-办公'!$B$123:$M$123</definedName>
    <definedName name="办公物业管理" localSheetId="25">'[1]比较法-办公'!$B$115:$M$115</definedName>
    <definedName name="办公物业管理">'比较法-办公'!$B$115:$M$115</definedName>
    <definedName name="办公用途" localSheetId="25">'[1]比较法-办公'!$B$64:$M$64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5">'[1]比较法-商业'!$B$116:$M$116</definedName>
    <definedName name="商业层高">'比较法-商业'!$B$116:$M$116</definedName>
    <definedName name="商业成新度">'比较法-商业'!$B$109:$M$109</definedName>
    <definedName name="商业繁华度" localSheetId="25">[1]定义!$L$1:$L$6</definedName>
    <definedName name="商业繁华度">定义!$L$1:$L$6</definedName>
    <definedName name="商业公共部分装修" localSheetId="25">'[1]比较法-商业'!$B$107:$M$107</definedName>
    <definedName name="商业公共部分装修">'比较法-商业'!$B$107:$M$107</definedName>
    <definedName name="商业基础设施水平" localSheetId="25">'[1]比较法-商业'!$B$112:$M$112</definedName>
    <definedName name="商业基础设施水平">'比较法-商业'!$B$112:$M$112</definedName>
    <definedName name="商业建筑结构" localSheetId="25">'[1]比较法-商业'!$B$105:$M$105</definedName>
    <definedName name="商业建筑结构">'比较法-商业'!$B$105:$M$105</definedName>
    <definedName name="商业交易情况" localSheetId="25">'[1]比较法-商业'!$A$61:$M$61</definedName>
    <definedName name="商业交易情况">'比较法-商业'!$A$61:$M$61</definedName>
    <definedName name="商业街名称" localSheetId="25">[1]修正!$C$59:$C$119</definedName>
    <definedName name="商业街名称">修正!$C$59:$C$119</definedName>
    <definedName name="商业进深比" localSheetId="25">'[1]比较法-商业'!$B$120:$M$120</definedName>
    <definedName name="商业进深比">'比较法-商业'!$B$120:$M$120</definedName>
    <definedName name="商业类型" localSheetId="25">'[1]比较法-商业'!$B$100:$M$100</definedName>
    <definedName name="商业类型">'比较法-商业'!$B$100:$M$100</definedName>
    <definedName name="商业临街状况" localSheetId="25">'[1]比较法-商业'!$B$86:$M$86</definedName>
    <definedName name="商业临街状况">'比较法-商业'!$B$86:$M$86</definedName>
    <definedName name="商业楼层" localSheetId="25">'[1]比较法-商业'!$B$92:$M$92</definedName>
    <definedName name="商业楼层">'比较法-商业'!$B$92:$M$92</definedName>
    <definedName name="商业内部装修" localSheetId="25">'[1]比较法-商业'!$B$122:$M$122</definedName>
    <definedName name="商业内部装修">'比较法-商业'!$B$122:$M$122</definedName>
    <definedName name="商业人流量" localSheetId="25">'[1]比较法-商业'!$B$90:$M$90</definedName>
    <definedName name="商业人流量">'比较法-商业'!$B$90:$M$90</definedName>
    <definedName name="商业业态" localSheetId="25">'[1]比较法-商业'!$B$114:$M$114</definedName>
    <definedName name="商业业态">'比较法-商业'!$B$114:$M$114</definedName>
    <definedName name="商业用途" localSheetId="2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'[1]土地比较法-住宅、综合'!$A$73:$M$73</definedName>
    <definedName name="套工交易情况">'土地比较法-住宅、综合'!$A$73:$M$73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'[1]土地比较法-住宅、综合'!$B$106:$M$106</definedName>
    <definedName name="套综道路等级">'土地比较法-住宅、综合'!$B$106:$M$106</definedName>
    <definedName name="套综工程地质条件" localSheetId="25">'[1]土地比较法-住宅、综合'!$B$125:$M$125</definedName>
    <definedName name="套综工程地质条件">'土地比较法-住宅、综合'!$B$125:$M$125</definedName>
    <definedName name="套综交易情况" localSheetId="25">'[1]土地比较法-住宅、综合'!$A$73:$M$73</definedName>
    <definedName name="套综交易情况">'土地比较法-住宅、综合'!$A$73:$M$73</definedName>
    <definedName name="套综临街宽度及深度" localSheetId="25">'[1]土地比较法-住宅、综合'!$B$121:$M$121</definedName>
    <definedName name="套综临街宽度及深度">'土地比较法-住宅、综合'!$B$121:$M$121</definedName>
    <definedName name="套综土地级别" localSheetId="25">'[1]土地比较法-住宅、综合'!$B$108:$M$108</definedName>
    <definedName name="套综土地级别">'土地比较法-住宅、综合'!$B$108:$M$108</definedName>
    <definedName name="套综用途" localSheetId="25">'[1]土地比较法-住宅、综合'!$B$75:$M$75</definedName>
    <definedName name="套综用途">'土地比较法-住宅、综合'!$B$75:$M$75</definedName>
    <definedName name="套综宗地内开发程度" localSheetId="25">'[1]土地比较法-住宅、综合'!$B$123:$M$123</definedName>
    <definedName name="套综宗地内开发程度">'土地比较法-住宅、综合'!$B$123:$M$123</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'数据-汇总表'!$C$17:$C$26</definedName>
    <definedName name="写字楼等级" localSheetId="25">'[1]比较法-办公'!$B$113:$M$113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Q36" i="77" l="1"/>
  <c r="Q35" i="77"/>
  <c r="Q28" i="77"/>
  <c r="Q29" i="77"/>
  <c r="Q30" i="77"/>
  <c r="Q31" i="77"/>
  <c r="Q32" i="77"/>
  <c r="Q33" i="77"/>
  <c r="Q34" i="77"/>
  <c r="Q27" i="77"/>
  <c r="I47" i="33"/>
  <c r="K15" i="34"/>
  <c r="K23" i="33"/>
  <c r="K21" i="33"/>
  <c r="K19" i="33"/>
  <c r="K17" i="33"/>
  <c r="K15" i="33"/>
  <c r="D60" i="34"/>
  <c r="E60" i="34"/>
  <c r="F60" i="34"/>
  <c r="G60" i="34"/>
  <c r="H60" i="34"/>
  <c r="I60" i="34"/>
  <c r="J60" i="34"/>
  <c r="K44" i="34"/>
  <c r="K43" i="34"/>
  <c r="K41" i="34"/>
  <c r="K40" i="34"/>
  <c r="K37" i="34"/>
  <c r="K36" i="34"/>
  <c r="K35" i="34"/>
  <c r="K33" i="34"/>
  <c r="G34" i="34"/>
  <c r="E34" i="34"/>
  <c r="C34" i="34"/>
  <c r="D108" i="34"/>
  <c r="E108" i="34"/>
  <c r="F108" i="34"/>
  <c r="G108" i="34"/>
  <c r="H108" i="34"/>
  <c r="I108" i="34"/>
  <c r="C108" i="34"/>
  <c r="C106" i="34"/>
  <c r="D104" i="34"/>
  <c r="E104" i="34"/>
  <c r="F104" i="34"/>
  <c r="G104" i="34"/>
  <c r="H104" i="34"/>
  <c r="I104" i="34"/>
  <c r="J104" i="34"/>
  <c r="K104" i="34"/>
  <c r="D105" i="34"/>
  <c r="E105" i="34"/>
  <c r="F105" i="34"/>
  <c r="G105" i="34"/>
  <c r="H105" i="34"/>
  <c r="I105" i="34"/>
  <c r="J105" i="34"/>
  <c r="K105" i="34"/>
  <c r="C105" i="34"/>
  <c r="C104" i="34"/>
  <c r="D69" i="34"/>
  <c r="E69" i="34"/>
  <c r="F69" i="34"/>
  <c r="G69" i="34"/>
  <c r="H69" i="34"/>
  <c r="I69" i="34"/>
  <c r="C69" i="34"/>
  <c r="G11" i="34"/>
  <c r="E11" i="34"/>
  <c r="C11" i="34"/>
  <c r="K25" i="34"/>
  <c r="K23" i="34"/>
  <c r="K21" i="34"/>
  <c r="K19" i="34"/>
  <c r="K17" i="34"/>
  <c r="K10" i="34"/>
  <c r="K60" i="34"/>
  <c r="L60" i="34"/>
  <c r="G5" i="34"/>
  <c r="E5" i="34"/>
  <c r="C5" i="34"/>
  <c r="C11" i="33"/>
  <c r="E104" i="33"/>
  <c r="F104" i="33"/>
  <c r="G104" i="33"/>
  <c r="H104" i="33"/>
  <c r="I104" i="33"/>
  <c r="J104" i="33"/>
  <c r="D104" i="33"/>
  <c r="C33" i="33"/>
  <c r="E59" i="33"/>
  <c r="F59" i="33"/>
  <c r="G59" i="33"/>
  <c r="H59" i="33"/>
  <c r="I59" i="33"/>
  <c r="J59" i="33"/>
  <c r="K59" i="33"/>
  <c r="D59" i="33"/>
  <c r="G1" i="15"/>
  <c r="F6" i="15"/>
  <c r="F8" i="15"/>
  <c r="F7" i="15"/>
  <c r="F9" i="15"/>
  <c r="C6" i="15"/>
  <c r="F4" i="73"/>
  <c r="I1" i="73"/>
  <c r="B39" i="1"/>
  <c r="F11" i="15"/>
  <c r="C10" i="15"/>
  <c r="C5" i="15"/>
  <c r="C32" i="15"/>
  <c r="C14" i="15"/>
  <c r="C15" i="15"/>
  <c r="F16" i="15"/>
  <c r="C16" i="15"/>
  <c r="F43" i="15"/>
  <c r="C17" i="15"/>
  <c r="C18" i="15"/>
  <c r="C19" i="15"/>
  <c r="C20" i="15"/>
  <c r="D6" i="73"/>
  <c r="K1" i="73"/>
  <c r="D5" i="73"/>
  <c r="G1" i="73"/>
  <c r="B40" i="1"/>
  <c r="F24" i="15"/>
  <c r="C23" i="15"/>
  <c r="F26" i="15"/>
  <c r="C26" i="15"/>
  <c r="C24" i="15"/>
  <c r="C27" i="15"/>
  <c r="C29" i="15"/>
  <c r="C33" i="15"/>
  <c r="R9" i="1"/>
  <c r="R8" i="1"/>
  <c r="F35" i="15"/>
  <c r="C34" i="15"/>
  <c r="C31" i="15"/>
  <c r="F36" i="15"/>
  <c r="C36" i="15"/>
  <c r="F13" i="15"/>
  <c r="C13" i="15"/>
  <c r="F37" i="15"/>
  <c r="C37" i="15"/>
  <c r="F38" i="15"/>
  <c r="C38" i="15"/>
  <c r="C30" i="15"/>
  <c r="C39" i="15"/>
  <c r="F42" i="15"/>
  <c r="F40" i="15"/>
  <c r="AE9" i="1"/>
  <c r="M47" i="15"/>
  <c r="L48" i="15"/>
  <c r="J50" i="15"/>
  <c r="J51" i="15"/>
  <c r="J53" i="15"/>
  <c r="F1" i="15"/>
  <c r="AE8" i="1"/>
  <c r="F41" i="15"/>
  <c r="C40" i="15"/>
  <c r="M6" i="15"/>
  <c r="M8" i="15"/>
  <c r="M7" i="15"/>
  <c r="M9" i="15"/>
  <c r="J6" i="15"/>
  <c r="M11" i="15"/>
  <c r="J10" i="15"/>
  <c r="J5" i="15"/>
  <c r="J26" i="15"/>
  <c r="J29" i="15"/>
  <c r="J57" i="15"/>
  <c r="J55" i="15"/>
  <c r="J58" i="15"/>
  <c r="J59" i="15"/>
  <c r="J60" i="15"/>
  <c r="C76" i="15"/>
  <c r="L51" i="15"/>
  <c r="L57" i="15"/>
  <c r="L47" i="15"/>
  <c r="L58" i="15"/>
  <c r="M59" i="15"/>
  <c r="L59" i="15"/>
  <c r="L60" i="15"/>
  <c r="L46" i="15"/>
  <c r="B2" i="15"/>
  <c r="E8" i="12"/>
  <c r="B3" i="15"/>
  <c r="E6" i="12"/>
  <c r="D2" i="34"/>
  <c r="D3" i="34"/>
  <c r="F7" i="34"/>
  <c r="AA7" i="34"/>
  <c r="C64" i="34"/>
  <c r="F9" i="34"/>
  <c r="AA9" i="34"/>
  <c r="F10" i="34"/>
  <c r="AA10" i="34"/>
  <c r="D70" i="34"/>
  <c r="E70" i="34"/>
  <c r="F70" i="34"/>
  <c r="F11" i="34"/>
  <c r="AA11" i="34"/>
  <c r="F27" i="34"/>
  <c r="AA27"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D124" i="34"/>
  <c r="E124" i="34"/>
  <c r="F124" i="34"/>
  <c r="F43" i="34"/>
  <c r="AA43" i="34"/>
  <c r="D126" i="34"/>
  <c r="F44" i="34"/>
  <c r="AA44" i="34"/>
  <c r="B127" i="34"/>
  <c r="F45" i="34"/>
  <c r="AA45" i="34"/>
  <c r="B129" i="34"/>
  <c r="F46" i="34"/>
  <c r="AA46" i="34"/>
  <c r="B131" i="34"/>
  <c r="F47" i="34"/>
  <c r="AA47" i="34"/>
  <c r="R48" i="34"/>
  <c r="D88" i="34"/>
  <c r="E88" i="34"/>
  <c r="F88" i="34"/>
  <c r="F25" i="34"/>
  <c r="AA25" i="34"/>
  <c r="D86" i="34"/>
  <c r="E86" i="34"/>
  <c r="F86" i="34"/>
  <c r="F23" i="34"/>
  <c r="AA23" i="34"/>
  <c r="F21" i="34"/>
  <c r="AA21" i="34"/>
  <c r="D82" i="34"/>
  <c r="E82" i="34"/>
  <c r="F19" i="34"/>
  <c r="AA19" i="34"/>
  <c r="D78" i="34"/>
  <c r="E78" i="34"/>
  <c r="F78" i="34"/>
  <c r="F15" i="34"/>
  <c r="AA15" i="34"/>
  <c r="D80" i="34"/>
  <c r="E80" i="34"/>
  <c r="F17" i="34"/>
  <c r="AA17" i="34"/>
  <c r="R49" i="34"/>
  <c r="H37" i="34"/>
  <c r="AB37" i="34"/>
  <c r="H38" i="34"/>
  <c r="AB38" i="34"/>
  <c r="H39" i="34"/>
  <c r="AB39" i="34"/>
  <c r="H40" i="34"/>
  <c r="AB40" i="34"/>
  <c r="H41" i="34"/>
  <c r="AB41" i="34"/>
  <c r="H43" i="34"/>
  <c r="AB43" i="34"/>
  <c r="H44" i="34"/>
  <c r="AB44" i="34"/>
  <c r="H45" i="34"/>
  <c r="AB45" i="34"/>
  <c r="H46" i="34"/>
  <c r="AB46" i="34"/>
  <c r="H47" i="34"/>
  <c r="AB47" i="34"/>
  <c r="T48" i="34"/>
  <c r="G88" i="34"/>
  <c r="H25" i="34"/>
  <c r="AB25" i="34"/>
  <c r="H23" i="34"/>
  <c r="AB23" i="34"/>
  <c r="H21" i="34"/>
  <c r="AB21" i="34"/>
  <c r="H19" i="34"/>
  <c r="AB19" i="34"/>
  <c r="H15" i="34"/>
  <c r="AB15" i="34"/>
  <c r="H33" i="34"/>
  <c r="AB33" i="34"/>
  <c r="H35" i="34"/>
  <c r="AB35" i="34"/>
  <c r="H36" i="34"/>
  <c r="AB36" i="34"/>
  <c r="H7" i="34"/>
  <c r="AB7" i="34"/>
  <c r="H17" i="34"/>
  <c r="AB17" i="34"/>
  <c r="H11" i="34"/>
  <c r="AB11" i="34"/>
  <c r="T49" i="34"/>
  <c r="J37" i="34"/>
  <c r="AC37" i="34"/>
  <c r="J38" i="34"/>
  <c r="AC38" i="34"/>
  <c r="J39" i="34"/>
  <c r="AC39" i="34"/>
  <c r="J40" i="34"/>
  <c r="AC40" i="34"/>
  <c r="J41" i="34"/>
  <c r="AC41" i="34"/>
  <c r="J43" i="34"/>
  <c r="AC43" i="34"/>
  <c r="J44" i="34"/>
  <c r="AC44" i="34"/>
  <c r="J45" i="34"/>
  <c r="AC45" i="34"/>
  <c r="J46" i="34"/>
  <c r="AC46" i="34"/>
  <c r="J47" i="34"/>
  <c r="AC47" i="34"/>
  <c r="V48" i="34"/>
  <c r="J25" i="34"/>
  <c r="AC25" i="34"/>
  <c r="J23" i="34"/>
  <c r="AC23" i="34"/>
  <c r="J21" i="34"/>
  <c r="AC21" i="34"/>
  <c r="J19" i="34"/>
  <c r="AC19" i="34"/>
  <c r="J15" i="34"/>
  <c r="AC15" i="34"/>
  <c r="J33" i="34"/>
  <c r="AC33" i="34"/>
  <c r="J35" i="34"/>
  <c r="AC35" i="34"/>
  <c r="J36" i="34"/>
  <c r="AC36" i="34"/>
  <c r="J7" i="34"/>
  <c r="AC7" i="34"/>
  <c r="J17" i="34"/>
  <c r="AC17" i="34"/>
  <c r="J11" i="34"/>
  <c r="AC11" i="34"/>
  <c r="V49" i="34"/>
  <c r="R50" i="34"/>
  <c r="C50" i="34"/>
  <c r="B2" i="34"/>
  <c r="D8" i="12"/>
  <c r="B3" i="34"/>
  <c r="D6" i="12"/>
  <c r="D2" i="33"/>
  <c r="F7" i="33"/>
  <c r="AA7" i="33"/>
  <c r="F8" i="33"/>
  <c r="AA8" i="33"/>
  <c r="C63" i="33"/>
  <c r="F9" i="33"/>
  <c r="AA9" i="33"/>
  <c r="F10" i="33"/>
  <c r="AA10" i="33"/>
  <c r="D69" i="33"/>
  <c r="E69" i="33"/>
  <c r="F69" i="33"/>
  <c r="G69" i="33"/>
  <c r="F11" i="33"/>
  <c r="AA11" i="33"/>
  <c r="R47" i="33"/>
  <c r="D77" i="33"/>
  <c r="E77" i="33"/>
  <c r="F15" i="33"/>
  <c r="AA15" i="33"/>
  <c r="D79" i="33"/>
  <c r="E79" i="33"/>
  <c r="F17" i="33"/>
  <c r="AA17" i="33"/>
  <c r="D81" i="33"/>
  <c r="E81" i="33"/>
  <c r="F19" i="33"/>
  <c r="AA19" i="33"/>
  <c r="F21" i="33"/>
  <c r="AA21" i="33"/>
  <c r="D85" i="33"/>
  <c r="E85" i="33"/>
  <c r="F85" i="33"/>
  <c r="F23" i="33"/>
  <c r="AA23" i="33"/>
  <c r="D87" i="33"/>
  <c r="E87" i="33"/>
  <c r="F25" i="33"/>
  <c r="AA25" i="33"/>
  <c r="D91" i="33"/>
  <c r="E91" i="33"/>
  <c r="F91" i="33"/>
  <c r="G91" i="33"/>
  <c r="F27" i="33"/>
  <c r="AA27" i="33"/>
  <c r="D101" i="33"/>
  <c r="F32" i="33"/>
  <c r="AA32" i="33"/>
  <c r="F38" i="33"/>
  <c r="AA38" i="33"/>
  <c r="F39" i="33"/>
  <c r="AA39" i="33"/>
  <c r="D113" i="33"/>
  <c r="E113" i="33"/>
  <c r="F37" i="33"/>
  <c r="AA37" i="33"/>
  <c r="D111" i="33"/>
  <c r="E111" i="33"/>
  <c r="F111" i="33"/>
  <c r="G111" i="33"/>
  <c r="F36" i="33"/>
  <c r="AA36" i="33"/>
  <c r="F35" i="33"/>
  <c r="AA35" i="33"/>
  <c r="F34" i="33"/>
  <c r="AA34" i="33"/>
  <c r="F41" i="33"/>
  <c r="AA41" i="33"/>
  <c r="D123" i="33"/>
  <c r="E123" i="33"/>
  <c r="F123" i="33"/>
  <c r="F42" i="33"/>
  <c r="AA42" i="33"/>
  <c r="D125" i="33"/>
  <c r="F43" i="33"/>
  <c r="AA43" i="33"/>
  <c r="F28" i="33"/>
  <c r="AA28" i="33"/>
  <c r="F33" i="33"/>
  <c r="AA33" i="33"/>
  <c r="R48" i="33"/>
  <c r="H7" i="33"/>
  <c r="AB7" i="33"/>
  <c r="H25" i="33"/>
  <c r="AB25" i="33"/>
  <c r="H27" i="33"/>
  <c r="AB27" i="33"/>
  <c r="H28" i="33"/>
  <c r="AB28" i="33"/>
  <c r="H32" i="33"/>
  <c r="AB32" i="33"/>
  <c r="H33" i="33"/>
  <c r="AB33" i="33"/>
  <c r="H11" i="33"/>
  <c r="AB11" i="33"/>
  <c r="H15" i="33"/>
  <c r="AB15" i="33"/>
  <c r="H17" i="33"/>
  <c r="AB17" i="33"/>
  <c r="H19" i="33"/>
  <c r="AB19" i="33"/>
  <c r="H23" i="33"/>
  <c r="AB23" i="33"/>
  <c r="H37" i="33"/>
  <c r="AB37" i="33"/>
  <c r="H21" i="33"/>
  <c r="AB21" i="33"/>
  <c r="T48" i="33"/>
  <c r="J7" i="33"/>
  <c r="AC7" i="33"/>
  <c r="J11" i="33"/>
  <c r="AC11" i="33"/>
  <c r="J33" i="33"/>
  <c r="AC33" i="33"/>
  <c r="V47" i="33"/>
  <c r="J15" i="33"/>
  <c r="AC15" i="33"/>
  <c r="J19" i="33"/>
  <c r="AC19" i="33"/>
  <c r="J23" i="33"/>
  <c r="AC23" i="33"/>
  <c r="J27" i="33"/>
  <c r="AC27" i="33"/>
  <c r="J32" i="33"/>
  <c r="AC32" i="33"/>
  <c r="J37" i="33"/>
  <c r="AC37" i="33"/>
  <c r="J17" i="33"/>
  <c r="AC17" i="33"/>
  <c r="J21" i="33"/>
  <c r="AC21" i="33"/>
  <c r="J25" i="33"/>
  <c r="AC25" i="33"/>
  <c r="V48" i="33"/>
  <c r="R49" i="33"/>
  <c r="C49" i="33"/>
  <c r="D3" i="33"/>
  <c r="B2" i="33"/>
  <c r="C8" i="12"/>
  <c r="B3" i="33"/>
  <c r="C6" i="12"/>
  <c r="D91" i="39"/>
  <c r="E91" i="39"/>
  <c r="F17" i="39"/>
  <c r="AA17" i="39"/>
  <c r="D93" i="39"/>
  <c r="E93" i="39"/>
  <c r="F93" i="39"/>
  <c r="F19" i="39"/>
  <c r="AA19" i="39"/>
  <c r="D95" i="39"/>
  <c r="E95" i="39"/>
  <c r="F21" i="39"/>
  <c r="AA21" i="39"/>
  <c r="D101" i="39"/>
  <c r="E101" i="39"/>
  <c r="F27" i="39"/>
  <c r="AA27" i="39"/>
  <c r="D124" i="39"/>
  <c r="E124" i="39"/>
  <c r="F124" i="39"/>
  <c r="G124" i="39"/>
  <c r="F41" i="39"/>
  <c r="AA41" i="39"/>
  <c r="R47" i="39"/>
  <c r="H17" i="39"/>
  <c r="AB17" i="39"/>
  <c r="H19" i="39"/>
  <c r="AB19" i="39"/>
  <c r="H21" i="39"/>
  <c r="AB21" i="39"/>
  <c r="H27" i="39"/>
  <c r="AB27" i="39"/>
  <c r="H41" i="39"/>
  <c r="AB41" i="39"/>
  <c r="T47" i="39"/>
  <c r="J17" i="39"/>
  <c r="AC17" i="39"/>
  <c r="J19" i="39"/>
  <c r="AC19" i="39"/>
  <c r="J21" i="39"/>
  <c r="AC21" i="39"/>
  <c r="J27" i="39"/>
  <c r="AC27" i="39"/>
  <c r="J41" i="39"/>
  <c r="AC4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E71" i="39"/>
  <c r="F71" i="39"/>
  <c r="G71" i="39"/>
  <c r="H71" i="39"/>
  <c r="I71" i="39"/>
  <c r="J71" i="39"/>
  <c r="K71" i="39"/>
  <c r="L71" i="39"/>
  <c r="M71" i="39"/>
  <c r="D71" i="39"/>
  <c r="E118" i="39"/>
  <c r="F118" i="39"/>
  <c r="G118" i="39"/>
  <c r="H118" i="39"/>
  <c r="D118" i="39"/>
  <c r="C38" i="39"/>
  <c r="I7" i="39"/>
  <c r="G7" i="39"/>
  <c r="E7" i="39"/>
  <c r="I46" i="39"/>
  <c r="G46" i="39"/>
  <c r="E46" i="39"/>
  <c r="I38" i="39"/>
  <c r="G38" i="39"/>
  <c r="E38" i="39"/>
  <c r="I11" i="39"/>
  <c r="G11" i="39"/>
  <c r="E11" i="39"/>
  <c r="C11" i="39"/>
  <c r="I5" i="39"/>
  <c r="G5" i="39"/>
  <c r="E5" i="39"/>
  <c r="C5" i="39"/>
  <c r="B29" i="1"/>
  <c r="N14" i="1"/>
  <c r="N7" i="1"/>
  <c r="N8" i="1"/>
  <c r="L14" i="1"/>
  <c r="G21" i="6"/>
  <c r="F20" i="6"/>
  <c r="F19" i="6"/>
  <c r="G13" i="4"/>
  <c r="B7" i="4"/>
  <c r="D3" i="4"/>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5" i="3"/>
  <c r="K5" i="3"/>
  <c r="M5" i="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E83" i="21"/>
  <c r="S21" i="21"/>
  <c r="H1" i="69"/>
  <c r="AC25" i="40"/>
  <c r="W25" i="40"/>
  <c r="AB25" i="40"/>
  <c r="U25" i="40"/>
  <c r="AB29" i="39"/>
  <c r="U29" i="39"/>
  <c r="AC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G93"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H88" i="34"/>
  <c r="I88" i="34"/>
  <c r="J88" i="34"/>
  <c r="K88" i="34"/>
  <c r="L88" i="34"/>
  <c r="M88" i="34"/>
  <c r="G86"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J34" i="34"/>
  <c r="AC34" i="34"/>
  <c r="H34" i="34"/>
  <c r="AB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J8" i="34"/>
  <c r="AC8" i="34"/>
  <c r="H8" i="34"/>
  <c r="U8" i="34"/>
  <c r="F8" i="34"/>
  <c r="D121" i="33"/>
  <c r="E121" i="33"/>
  <c r="F109" i="33"/>
  <c r="E109" i="33"/>
  <c r="D109" i="33"/>
  <c r="C109" i="33"/>
  <c r="B88" i="33"/>
  <c r="J26"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J8" i="33"/>
  <c r="AC8" i="33"/>
  <c r="H8" i="33"/>
  <c r="AB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S25" i="34"/>
  <c r="U23" i="34"/>
  <c r="U17" i="34"/>
  <c r="S9" i="34"/>
  <c r="W8" i="34"/>
  <c r="J2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AA42" i="34"/>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H28" i="34"/>
  <c r="AB28" i="34"/>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S15" i="37"/>
  <c r="U13" i="37"/>
  <c r="U12" i="40"/>
  <c r="AA12" i="40"/>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H34" i="33"/>
  <c r="U34"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F28" i="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W34" i="34"/>
  <c r="U28" i="34"/>
  <c r="S17" i="34"/>
  <c r="AA29" i="34"/>
  <c r="U27" i="34"/>
  <c r="S23" i="34"/>
  <c r="U15" i="34"/>
  <c r="S10" i="34"/>
  <c r="S13" i="34"/>
  <c r="H67" i="34"/>
  <c r="H10" i="34"/>
  <c r="S11" i="34"/>
  <c r="W42"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S39" i="33"/>
  <c r="F101" i="33"/>
  <c r="G101" i="33"/>
  <c r="H101" i="33"/>
  <c r="I101" i="33"/>
  <c r="J101" i="33"/>
  <c r="K101" i="33"/>
  <c r="L101" i="33"/>
  <c r="M101" i="33"/>
  <c r="S46" i="33"/>
  <c r="W43" i="33"/>
  <c r="S43" i="33"/>
  <c r="F87" i="33"/>
  <c r="F81" i="33"/>
  <c r="S19" i="33"/>
  <c r="W19" i="33"/>
  <c r="F79" i="33"/>
  <c r="S15" i="33"/>
  <c r="W15" i="33"/>
  <c r="U9" i="33"/>
  <c r="I66" i="33"/>
  <c r="J10" i="33"/>
  <c r="H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A31" i="34"/>
  <c r="AA30" i="34"/>
  <c r="U25" i="34"/>
  <c r="W33" i="34"/>
  <c r="AC14" i="34"/>
  <c r="AC32" i="34"/>
  <c r="AC29" i="34"/>
  <c r="W29" i="34"/>
  <c r="W46" i="34"/>
  <c r="S32" i="34"/>
  <c r="AA32" i="34"/>
  <c r="U30" i="34"/>
  <c r="AB30" i="34"/>
  <c r="S37" i="34"/>
  <c r="U38" i="34"/>
  <c r="W40" i="34"/>
  <c r="S19" i="34"/>
  <c r="S36" i="34"/>
  <c r="AA8" i="34"/>
  <c r="S8" i="34"/>
  <c r="AB9" i="34"/>
  <c r="U9" i="34"/>
  <c r="S46" i="34"/>
  <c r="U32" i="34"/>
  <c r="AB32" i="34"/>
  <c r="U14" i="34"/>
  <c r="AB14" i="34"/>
  <c r="W43" i="34"/>
  <c r="W23" i="34"/>
  <c r="W35" i="34"/>
  <c r="U12" i="34"/>
  <c r="AB12" i="34"/>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J53" i="67"/>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W32" i="33"/>
  <c r="U27" i="33"/>
  <c r="H91" i="33"/>
  <c r="I91" i="33"/>
  <c r="J91" i="33"/>
  <c r="K91" i="33"/>
  <c r="L91" i="33"/>
  <c r="M91" i="33"/>
  <c r="U25" i="33"/>
  <c r="S25" i="33"/>
  <c r="G87" i="33"/>
  <c r="H87" i="33"/>
  <c r="I87" i="33"/>
  <c r="J87" i="33"/>
  <c r="K87" i="33"/>
  <c r="L87" i="33"/>
  <c r="M87" i="33"/>
  <c r="U23" i="33"/>
  <c r="G85" i="33"/>
  <c r="W23" i="33"/>
  <c r="G81" i="33"/>
  <c r="G79" i="33"/>
  <c r="W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W25" i="33"/>
  <c r="S23" i="33"/>
  <c r="U19" i="33"/>
  <c r="S17" i="33"/>
  <c r="U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C23" i="68"/>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C19" i="9"/>
  <c r="E2" i="68"/>
  <c r="D2" i="35"/>
  <c r="B20" i="31"/>
  <c r="B2" i="36"/>
  <c r="B3" i="36"/>
  <c r="B2" i="35"/>
  <c r="B3" i="35"/>
  <c r="B2" i="37"/>
  <c r="B3" i="37"/>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<sst xmlns="http://schemas.openxmlformats.org/spreadsheetml/2006/main" count="7790" uniqueCount="3287">
  <si>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</si>
  <si>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</si>
  <si>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</si>
  <si>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</si>
  <si>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</si>
  <si>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</si>
  <si>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</si>
  <si>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</si>
  <si>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</si>
  <si>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</si>
  <si>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</si>
  <si>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</si>
  <si>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</si>
  <si>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</si>
  <si>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</si>
  <si>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</si>
  <si>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</si>
  <si>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</si>
  <si>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</si>
  <si>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</si>
  <si>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</si>
  <si>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</si>
  <si>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</si>
  <si>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</si>
  <si>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</si>
  <si>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</si>
  <si>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</si>
  <si>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</si>
  <si>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</si>
  <si>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</si>
  <si>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</si>
  <si>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</si>
  <si>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</si>
  <si>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</si>
  <si>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</si>
  <si>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</si>
  <si>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</si>
  <si>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</si>
  <si>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</si>
  <si>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</si>
  <si>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</si>
  <si>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</si>
  <si>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</si>
  <si>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</si>
  <si>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</si>
  <si>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</si>
  <si>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</si>
  <si>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</si>
  <si>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</si>
  <si>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</si>
  <si>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</si>
  <si>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</si>
  <si>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</si>
  <si>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</si>
  <si>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</si>
  <si>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</si>
  <si>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</si>
  <si>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</si>
  <si>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</si>
  <si>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</si>
  <si>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</si>
  <si>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</si>
  <si>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</si>
  <si>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</si>
  <si>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</si>
  <si>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</si>
  <si>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</si>
  <si>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</si>
  <si>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</si>
  <si>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</si>
  <si>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</si>
  <si>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</si>
  <si>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</si>
  <si>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</si>
  <si>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</si>
  <si>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</si>
  <si>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</si>
  <si>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</si>
  <si>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</si>
  <si>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</si>
  <si>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</si>
  <si>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</si>
  <si>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</si>
  <si>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</si>
  <si>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</si>
  <si>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</si>
  <si>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</si>
  <si>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</si>
  <si>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</si>
  <si>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</si>
  <si>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</si>
  <si>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</si>
  <si>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</si>
  <si>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</si>
  <si>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</si>
  <si>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</si>
  <si>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</si>
  <si>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</si>
  <si>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</si>
  <si>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</si>
  <si>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</si>
  <si>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</si>
  <si>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</si>
  <si>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</si>
  <si>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</si>
  <si>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</si>
  <si>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</si>
  <si>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</si>
  <si>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</si>
  <si>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</si>
  <si>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</si>
  <si>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</si>
  <si>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</si>
  <si>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</si>
  <si>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</si>
  <si>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</si>
  <si>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</si>
  <si>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</si>
  <si>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</si>
  <si>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</si>
  <si>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</si>
  <si>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</si>
  <si>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</si>
  <si>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</si>
  <si>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</si>
  <si>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</si>
  <si>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</si>
  <si>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</si>
  <si>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</si>
  <si>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</si>
  <si>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</si>
  <si>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</si>
  <si>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</si>
  <si>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</si>
  <si>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</si>
  <si>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</si>
  <si>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</si>
  <si>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</si>
  <si>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</si>
  <si>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</si>
  <si>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</si>
  <si>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</si>
  <si>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</si>
  <si>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</si>
  <si>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</si>
  <si>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</si>
  <si>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</si>
  <si>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</si>
  <si>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</si>
  <si>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</si>
  <si>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</si>
  <si>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</si>
  <si>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</si>
  <si>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</si>
  <si>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</si>
  <si>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</si>
  <si>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</si>
  <si>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</si>
  <si>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</si>
  <si>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</si>
  <si>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</si>
  <si>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</si>
  <si>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</si>
  <si>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</si>
  <si>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</si>
  <si>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</si>
  <si>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</si>
  <si>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</si>
  <si>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</si>
  <si>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</si>
  <si>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</si>
  <si>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</si>
  <si>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</si>
  <si>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</si>
  <si>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</si>
  <si>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</si>
  <si>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</si>
  <si>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</si>
  <si>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</si>
  <si>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</si>
  <si>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</si>
  <si>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</si>
  <si>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</si>
  <si>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</si>
  <si>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</si>
  <si>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</si>
  <si>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</si>
  <si>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</si>
  <si>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</si>
  <si>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</si>
  <si>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</si>
  <si>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</si>
  <si>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</si>
  <si>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</si>
  <si>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</si>
  <si>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</si>
  <si>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</si>
  <si>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</si>
  <si>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</si>
  <si>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</si>
  <si>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</si>
  <si>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</si>
  <si>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</si>
  <si>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</si>
  <si>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</si>
  <si>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</si>
  <si>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</si>
  <si>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</si>
  <si>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</si>
  <si>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</si>
  <si>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</si>
  <si>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</si>
  <si>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</si>
  <si>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</si>
  <si>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</si>
  <si>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</si>
  <si>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</si>
  <si>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</si>
  <si>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</si>
  <si>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</si>
  <si>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</si>
  <si>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</si>
  <si>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</si>
  <si>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</si>
  <si>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</si>
  <si>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</si>
  <si>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</si>
  <si>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</si>
  <si>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</si>
  <si>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</si>
  <si>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</si>
  <si>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</si>
  <si>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</si>
  <si>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</si>
  <si>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</si>
  <si>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</si>
  <si>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</si>
  <si>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</si>
  <si>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</si>
  <si>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</si>
  <si>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</si>
  <si>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</si>
  <si>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</si>
  <si>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</si>
  <si>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</si>
  <si>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</si>
  <si>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</si>
  <si>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</si>
  <si>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</si>
  <si>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</si>
  <si>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</si>
  <si>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</si>
  <si>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</si>
  <si>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</si>
  <si>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</si>
  <si>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</si>
  <si>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</si>
  <si>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</si>
  <si>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</si>
  <si>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</si>
  <si>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</si>
  <si>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</si>
  <si>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</si>
  <si>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</si>
  <si>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</si>
  <si>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</si>
  <si>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</si>
  <si>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</si>
  <si>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</si>
  <si>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</si>
  <si>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</si>
  <si>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</si>
  <si>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</si>
  <si>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</si>
  <si>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</si>
  <si>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</si>
  <si>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</si>
  <si>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</si>
  <si>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</si>
  <si>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</si>
  <si>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</si>
  <si>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</si>
  <si>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</si>
  <si>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</si>
  <si>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</si>
  <si>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</si>
  <si>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</si>
  <si>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</si>
  <si>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</si>
  <si>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</si>
  <si>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</si>
  <si>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</si>
  <si>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</si>
  <si>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</si>
  <si>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</si>
  <si>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</si>
  <si>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</si>
  <si>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</si>
  <si>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</si>
  <si>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</si>
  <si>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</si>
  <si>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</si>
  <si>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</si>
  <si>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</si>
  <si>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</si>
  <si>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</si>
  <si>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</si>
  <si>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</si>
  <si>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</si>
  <si>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</si>
  <si>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</si>
  <si>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</si>
  <si>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</si>
  <si>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</si>
  <si>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</si>
  <si>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</si>
  <si>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</si>
  <si>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</si>
  <si>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</si>
  <si>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</si>
  <si>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</si>
  <si>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</si>
  <si>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</si>
  <si>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</si>
  <si>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</si>
  <si>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</si>
  <si>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</si>
  <si>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</si>
  <si>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</si>
  <si>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</si>
  <si>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</si>
  <si>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</si>
  <si>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</si>
  <si>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</si>
  <si>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</si>
  <si>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</si>
  <si>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</si>
  <si>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</si>
  <si>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</si>
  <si>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</si>
  <si>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</si>
  <si>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</si>
  <si>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</si>
  <si>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</si>
  <si>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</si>
  <si>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</si>
  <si>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</si>
  <si>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</si>
  <si>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</si>
  <si>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</si>
  <si>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</si>
  <si>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</si>
  <si>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</si>
  <si>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</si>
  <si>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</si>
  <si>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</si>
  <si>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</si>
  <si>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</si>
  <si>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</si>
  <si>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</si>
  <si>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</si>
  <si>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</si>
  <si>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</si>
  <si>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</si>
  <si>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</si>
  <si>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</si>
  <si>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</si>
  <si>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</si>
  <si>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</si>
  <si>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</si>
  <si>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</si>
  <si>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</si>
  <si>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</si>
  <si>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</si>
  <si>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</si>
  <si>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</si>
  <si>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</si>
  <si>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</si>
  <si>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</si>
  <si>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</si>
  <si>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</si>
  <si>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</si>
  <si>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</si>
  <si>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</si>
  <si>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</si>
  <si>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</si>
  <si>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</si>
  <si>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</si>
  <si>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</si>
  <si>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</si>
  <si>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</si>
  <si>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</si>
  <si>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</si>
  <si>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</si>
  <si>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</si>
  <si>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</si>
  <si>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</si>
  <si>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</si>
  <si>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</si>
  <si>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</si>
  <si>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</si>
  <si>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</si>
  <si>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</si>
  <si>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</si>
  <si>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</si>
  <si>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</si>
  <si>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</si>
  <si>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</si>
  <si>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</si>
  <si>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</si>
  <si>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</si>
  <si>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</si>
  <si>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</si>
  <si>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</si>
  <si>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</si>
  <si>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</si>
  <si>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</si>
  <si>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</si>
  <si>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</si>
  <si>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</si>
  <si>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</si>
  <si>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</si>
  <si>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</si>
  <si>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</si>
  <si>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</si>
  <si>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</si>
  <si>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</si>
  <si>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</si>
  <si>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</si>
  <si>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</si>
  <si>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</si>
  <si>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</si>
  <si>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</si>
  <si>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</si>
  <si>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</si>
  <si>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</si>
  <si>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</si>
  <si>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</si>
  <si>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</si>
  <si>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</si>
  <si>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</si>
  <si>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</si>
  <si>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</si>
  <si>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</si>
  <si>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</si>
  <si>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</si>
  <si>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</si>
  <si>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</si>
  <si>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</si>
  <si>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</si>
  <si>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</si>
  <si>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</si>
  <si>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</si>
  <si>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</si>
  <si>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</si>
  <si>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</si>
  <si>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</si>
  <si>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</si>
  <si>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</si>
  <si>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</si>
  <si>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</si>
  <si>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</si>
  <si>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</si>
  <si>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</si>
  <si>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</si>
  <si>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</si>
  <si>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</si>
  <si>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</si>
  <si>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</si>
  <si>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</si>
  <si>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</si>
  <si>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</si>
  <si>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</si>
  <si>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</si>
  <si>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</si>
  <si>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</si>
  <si>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</si>
  <si>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</si>
  <si>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</si>
  <si>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</si>
  <si>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</si>
  <si>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</si>
  <si>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</si>
  <si>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</si>
  <si>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</si>
  <si>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</si>
  <si>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</si>
  <si>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</si>
  <si>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</si>
  <si>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</si>
  <si>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</si>
  <si>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</si>
  <si>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</si>
  <si>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</si>
  <si>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</si>
  <si>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</si>
  <si>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</si>
  <si>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</si>
  <si>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</si>
  <si>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</si>
  <si>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</si>
  <si>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</si>
  <si>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</si>
  <si>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</si>
  <si>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</si>
  <si>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</si>
  <si>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</si>
  <si>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</si>
  <si>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</si>
  <si>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</si>
  <si>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</si>
  <si>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</si>
  <si>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</si>
  <si>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</si>
  <si>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</si>
  <si>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</si>
  <si>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</si>
  <si>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</si>
  <si>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</si>
  <si>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</si>
  <si>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</si>
  <si>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</si>
  <si>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</si>
  <si>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</si>
  <si>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</si>
  <si>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</si>
  <si>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</si>
  <si>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</si>
  <si>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</si>
  <si>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</si>
  <si>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</si>
  <si>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</si>
  <si>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</si>
  <si>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</si>
  <si>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</si>
  <si>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</si>
  <si>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</si>
  <si>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</si>
  <si>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</si>
  <si>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</si>
  <si>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</si>
  <si>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</si>
  <si>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</si>
  <si>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</si>
  <si>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</si>
  <si>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</si>
  <si>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</si>
  <si>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</si>
  <si>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</si>
  <si>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</si>
  <si>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</si>
  <si>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</si>
  <si>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</si>
  <si>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</si>
  <si>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</si>
  <si>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</si>
  <si>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</si>
  <si>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</si>
  <si>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</si>
  <si>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</si>
  <si>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</si>
  <si>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</si>
  <si>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</si>
  <si>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</si>
  <si>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</si>
  <si>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</si>
  <si>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</si>
  <si>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</si>
  <si>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</si>
  <si>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</si>
  <si>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</si>
  <si>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</si>
  <si>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</si>
  <si>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</si>
  <si>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</si>
  <si>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</si>
  <si>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</si>
  <si>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</si>
  <si>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</si>
  <si>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</si>
  <si>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</si>
  <si>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</si>
  <si>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</si>
  <si>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</si>
  <si>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</si>
  <si>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</si>
  <si>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</si>
  <si>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</si>
  <si>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</si>
  <si>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</si>
  <si>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</si>
  <si>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</si>
  <si>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</si>
  <si>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</si>
  <si>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</si>
  <si>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</si>
  <si>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</si>
  <si>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</si>
  <si>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</si>
  <si>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</si>
  <si>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</si>
  <si>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</si>
  <si>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</si>
  <si>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</si>
  <si>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</si>
  <si>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</si>
  <si>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</si>
  <si>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</si>
  <si>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</si>
  <si>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</si>
  <si>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</si>
  <si>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</si>
  <si>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</si>
  <si>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</si>
  <si>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</si>
  <si>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</si>
  <si>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</si>
  <si>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</si>
  <si>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</si>
  <si>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</si>
  <si>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</si>
  <si>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</si>
  <si>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</si>
  <si>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</si>
  <si>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</si>
  <si>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</si>
  <si>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</si>
  <si>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</si>
  <si>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</si>
  <si>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</si>
  <si>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</si>
  <si>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</si>
  <si>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</si>
  <si>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</si>
  <si>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</si>
  <si>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</si>
  <si>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</si>
  <si>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</si>
  <si>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</si>
  <si>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</si>
  <si>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</si>
  <si>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</si>
  <si>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</si>
  <si>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</si>
  <si>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</si>
  <si>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</si>
  <si>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</si>
  <si>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</si>
  <si>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</si>
  <si>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</si>
  <si>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</si>
  <si>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</si>
  <si>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</si>
  <si>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</si>
  <si>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</si>
  <si>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</si>
  <si>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</si>
  <si>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</si>
  <si>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</si>
  <si>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</si>
  <si>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</si>
  <si>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</si>
  <si>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</si>
  <si>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</si>
  <si>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</si>
  <si>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</si>
  <si>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</si>
  <si>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</si>
  <si>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</si>
  <si>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</si>
  <si>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</si>
  <si>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</si>
  <si>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</si>
  <si>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</si>
  <si>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</si>
  <si>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</si>
  <si>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</si>
  <si>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</si>
  <si>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</si>
  <si>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</si>
  <si>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</si>
  <si>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</si>
  <si>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</si>
  <si>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</si>
  <si>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</si>
  <si>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</si>
  <si>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</si>
  <si>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</si>
  <si>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</si>
  <si>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</si>
  <si>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</si>
  <si>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</si>
  <si>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</si>
  <si>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</si>
  <si>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</si>
  <si>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</si>
  <si>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</si>
  <si>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</si>
  <si>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</si>
  <si>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</si>
  <si>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</si>
  <si>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</si>
  <si>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</si>
  <si>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</si>
  <si>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</si>
  <si>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</si>
  <si>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</si>
  <si>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</si>
  <si>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</si>
  <si>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</si>
  <si>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</si>
  <si>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</si>
  <si>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</si>
  <si>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</si>
  <si>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</si>
  <si>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</si>
  <si>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</si>
  <si>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</si>
  <si>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</si>
  <si>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</si>
  <si>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</si>
  <si>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</si>
  <si>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</si>
  <si>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</si>
  <si>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</si>
  <si>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</si>
  <si>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</si>
  <si>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</si>
  <si>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</si>
  <si>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</si>
  <si>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</si>
  <si>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</si>
  <si>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</si>
  <si>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</si>
  <si>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</si>
  <si>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</si>
  <si>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</si>
  <si>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</si>
  <si>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</si>
  <si>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</si>
  <si>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</si>
  <si>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</si>
  <si>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</si>
  <si>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</si>
  <si>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</si>
  <si>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</si>
  <si>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</si>
  <si>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</si>
  <si>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</si>
  <si>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</si>
  <si>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</si>
  <si>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</si>
  <si>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</si>
  <si>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</si>
  <si>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</si>
  <si>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</si>
  <si>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</si>
  <si>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</si>
  <si>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</si>
  <si>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</si>
  <si>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</si>
  <si>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</si>
  <si>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</si>
  <si>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</si>
  <si>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</si>
  <si>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</si>
  <si>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</si>
  <si>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</si>
  <si>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</si>
  <si>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</si>
  <si>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</si>
  <si>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</si>
  <si>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</si>
  <si>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</si>
  <si>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</si>
  <si>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</si>
  <si>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</si>
  <si>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</si>
  <si>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</si>
  <si>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</si>
  <si>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</si>
  <si>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</si>
  <si>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</si>
  <si>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</si>
  <si>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</si>
  <si>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</si>
  <si>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</si>
  <si>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</si>
  <si>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</si>
  <si>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</si>
  <si>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</si>
  <si>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</si>
  <si>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</si>
  <si>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</si>
  <si>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</si>
  <si>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</si>
  <si>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</si>
  <si>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</si>
  <si>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</si>
  <si>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</si>
  <si>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</si>
  <si>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</si>
  <si>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</si>
  <si>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</si>
  <si>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</si>
  <si>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</si>
  <si>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</si>
  <si>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</si>
  <si>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</si>
  <si>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</si>
  <si>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</si>
  <si>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</si>
  <si>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</si>
  <si>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</si>
  <si>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</si>
  <si>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</si>
  <si>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</si>
  <si>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</si>
  <si>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</si>
  <si>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</si>
  <si>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</si>
  <si>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</si>
  <si>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</si>
  <si>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</si>
  <si>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</si>
  <si>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</si>
  <si>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</si>
  <si>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</si>
  <si>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</si>
  <si>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</si>
  <si>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</si>
  <si>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</si>
  <si>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</si>
  <si>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</si>
  <si>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</si>
  <si>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</si>
  <si>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</si>
  <si>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</si>
  <si>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</si>
  <si>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</si>
  <si>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</si>
  <si>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</si>
  <si>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</si>
  <si>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</si>
  <si>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</si>
  <si>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</si>
  <si>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</si>
  <si>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</si>
  <si>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</si>
  <si>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</si>
  <si>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</si>
  <si>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</si>
  <si>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</si>
  <si>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</si>
  <si>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</si>
  <si>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</si>
  <si>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</si>
  <si>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</si>
  <si>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</si>
  <si>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</si>
  <si>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</si>
  <si>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</si>
  <si>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</si>
  <si>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</si>
  <si>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</si>
  <si>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</si>
  <si>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</si>
  <si>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</si>
  <si>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</si>
  <si>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</si>
  <si>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</si>
  <si>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</si>
  <si>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</si>
  <si>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</si>
  <si>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</si>
  <si>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</si>
  <si>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</si>
  <si>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</si>
  <si>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</si>
  <si>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</si>
  <si>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</si>
  <si>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</si>
  <si>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</si>
  <si>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</si>
  <si>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</si>
  <si>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</si>
  <si>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</si>
  <si>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</si>
  <si>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</si>
  <si>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</si>
  <si>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</si>
  <si>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</si>
  <si>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</si>
  <si>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</si>
  <si>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</si>
  <si>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</si>
  <si>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</si>
  <si>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</si>
  <si>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</si>
  <si>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</si>
  <si>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</si>
  <si>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</si>
  <si>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</si>
  <si>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</si>
  <si>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</si>
  <si>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</si>
  <si>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</si>
  <si>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</si>
  <si>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</si>
  <si>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</si>
  <si>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</si>
  <si>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</si>
  <si>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</si>
  <si>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</si>
  <si>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</si>
  <si>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</si>
  <si>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</si>
  <si>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</si>
  <si>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</si>
  <si>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</si>
  <si>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</si>
  <si>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</si>
  <si>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</si>
  <si>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</si>
  <si>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</si>
  <si>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</si>
  <si>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</si>
  <si>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</si>
  <si>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</si>
  <si>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</si>
  <si>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</si>
  <si>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</si>
  <si>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</si>
  <si>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</si>
  <si>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</si>
  <si>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</si>
  <si>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</si>
  <si>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</si>
  <si>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</si>
  <si>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</si>
  <si>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</si>
  <si>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</si>
  <si>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</si>
  <si>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</si>
  <si>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</si>
  <si>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</si>
  <si>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</si>
  <si>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</si>
  <si>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</si>
  <si>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</si>
  <si>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</si>
  <si>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</si>
  <si>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</si>
  <si>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</si>
  <si>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</si>
  <si>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</si>
  <si>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</si>
  <si>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</si>
  <si>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</si>
  <si>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</si>
  <si>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</si>
  <si>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</si>
  <si>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</si>
  <si>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</si>
  <si>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</si>
  <si>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</si>
  <si>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</si>
  <si>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</si>
  <si>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</si>
  <si>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</si>
  <si>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</si>
  <si>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</si>
  <si>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</si>
  <si>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</si>
  <si>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</si>
  <si>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</si>
  <si>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</si>
  <si>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</si>
  <si>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</si>
  <si>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</si>
  <si>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</si>
  <si>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</si>
  <si>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</si>
  <si>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</si>
  <si>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</si>
  <si>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</si>
  <si>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</si>
  <si>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</si>
  <si>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</si>
  <si>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</si>
  <si>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</si>
  <si>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</si>
  <si>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</si>
  <si>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</si>
  <si>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</si>
  <si>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</si>
  <si>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</si>
  <si>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</si>
  <si>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</si>
  <si>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</si>
  <si>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</si>
  <si>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</si>
  <si>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</si>
  <si>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</si>
  <si>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</si>
  <si>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</si>
  <si>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</si>
  <si>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</si>
  <si>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</si>
  <si>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</si>
  <si>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</si>
  <si>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</si>
  <si>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</si>
  <si>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</si>
  <si>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</si>
  <si>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</si>
  <si>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</si>
  <si>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</si>
  <si>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</si>
  <si>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</si>
  <si>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</si>
  <si>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</si>
  <si>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</si>
  <si>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</si>
  <si>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</si>
  <si>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</si>
  <si>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</si>
  <si>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</si>
  <si>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</si>
  <si>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</si>
  <si>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</si>
  <si>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</si>
  <si>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</si>
  <si>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</si>
  <si>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</si>
  <si>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</si>
  <si>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</si>
  <si>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</si>
  <si>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</si>
  <si>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</si>
  <si>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</si>
  <si>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</si>
  <si>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</si>
  <si>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</si>
  <si>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</si>
  <si>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</si>
  <si>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</si>
  <si>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</si>
  <si>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</si>
  <si>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</si>
  <si>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</si>
  <si>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</si>
  <si>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</si>
  <si>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</si>
  <si>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</si>
  <si>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</si>
  <si>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</si>
  <si>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</si>
  <si>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</si>
  <si>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</si>
  <si>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</si>
  <si>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</si>
  <si>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</si>
  <si>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</si>
  <si>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</si>
  <si>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</si>
  <si>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</si>
  <si>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</si>
  <si>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</si>
  <si>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</si>
  <si>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</si>
  <si>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</si>
  <si>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</si>
  <si>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</si>
  <si>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</si>
  <si>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</si>
  <si>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</si>
  <si>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</si>
  <si>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</si>
  <si>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</si>
  <si>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</si>
  <si>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</si>
  <si>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</si>
  <si>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</si>
  <si>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</si>
  <si>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</si>
  <si>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</si>
  <si>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</si>
  <si>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</si>
  <si>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</si>
  <si>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</si>
  <si>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</si>
  <si>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</si>
  <si>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</si>
  <si>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</si>
  <si>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</si>
  <si>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</si>
  <si>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</si>
  <si>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</si>
  <si>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</si>
  <si>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</si>
  <si>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</si>
  <si>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</si>
  <si>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</si>
  <si>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</si>
  <si>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</si>
  <si>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</si>
  <si>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</si>
  <si>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</si>
  <si>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</si>
  <si>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</si>
  <si>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</si>
  <si>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</si>
  <si>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</si>
  <si>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</si>
  <si>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</si>
  <si>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</si>
  <si>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</si>
  <si>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</si>
  <si>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</si>
  <si>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</si>
  <si>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</si>
  <si>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</si>
  <si>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</si>
  <si>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</si>
  <si>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</si>
  <si>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</si>
  <si>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</si>
  <si>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</si>
  <si>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</si>
  <si>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</si>
  <si>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</si>
  <si>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</si>
  <si>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</si>
  <si>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</si>
  <si>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</si>
  <si>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</si>
  <si>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</si>
  <si>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</si>
  <si>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</si>
  <si>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</si>
  <si>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</si>
  <si>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</si>
  <si>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</si>
  <si>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</si>
  <si>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</si>
  <si>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</si>
  <si>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</si>
  <si>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</si>
  <si>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</si>
  <si>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</si>
  <si>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</si>
  <si>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</si>
  <si>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</si>
  <si>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</si>
  <si>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</si>
  <si>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</si>
  <si>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</si>
  <si>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</si>
  <si>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</si>
  <si>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</si>
  <si>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</si>
  <si>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</si>
  <si>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</si>
  <si>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</si>
  <si>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</si>
  <si>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</si>
  <si>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</si>
  <si>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</si>
  <si>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</si>
  <si>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</si>
  <si>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</si>
  <si>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</si>
  <si>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</si>
  <si>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</si>
  <si>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</si>
  <si>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</si>
  <si>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</si>
  <si>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</si>
  <si>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</si>
  <si>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</si>
  <si>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</si>
  <si>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</si>
  <si>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</si>
  <si>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</si>
  <si>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</si>
  <si>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</si>
  <si>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</si>
  <si>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</si>
  <si>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</si>
  <si>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</si>
  <si>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</si>
  <si>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</si>
  <si>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</si>
  <si>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</si>
  <si>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</si>
  <si>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</si>
  <si>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</si>
  <si>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</si>
  <si>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</si>
  <si>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</si>
  <si>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</si>
  <si>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</si>
  <si>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</si>
  <si>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</si>
  <si>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</si>
  <si>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</si>
  <si>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</si>
  <si>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</si>
  <si>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</si>
  <si>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</si>
  <si>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</si>
  <si>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</si>
  <si>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</si>
  <si>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</si>
  <si>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</si>
  <si>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</si>
  <si>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</si>
  <si>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</si>
  <si>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</si>
  <si>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</si>
  <si>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</si>
  <si>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</si>
  <si>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</si>
  <si>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</si>
  <si>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</si>
  <si>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</si>
  <si>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</si>
  <si>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</si>
  <si>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</si>
  <si>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</si>
  <si>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</si>
  <si>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</si>
  <si>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</si>
  <si>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</si>
  <si>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</si>
  <si>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</si>
  <si>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</si>
  <si>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</si>
  <si>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</si>
  <si>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</si>
  <si>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</si>
  <si>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</si>
  <si>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</si>
  <si>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</si>
  <si>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</si>
  <si>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</si>
  <si>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</si>
  <si>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</si>
  <si>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</si>
  <si>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</si>
  <si>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</si>
  <si>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</si>
  <si>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</si>
  <si>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</si>
  <si>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</si>
  <si>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</si>
  <si>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</si>
  <si>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</si>
  <si>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</si>
  <si>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</si>
  <si>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</si>
  <si>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</si>
  <si>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</si>
  <si>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</si>
  <si>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</si>
  <si>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</si>
  <si>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</si>
  <si>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</si>
  <si>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</si>
  <si>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</si>
  <si>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</si>
  <si>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</si>
  <si>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</si>
  <si>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</si>
  <si>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</si>
  <si>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</si>
  <si>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</si>
  <si>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</si>
  <si>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</si>
  <si>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</si>
  <si>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</si>
  <si>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</si>
  <si>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</si>
  <si>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</si>
  <si>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</si>
  <si>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</si>
  <si>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</si>
  <si>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</si>
  <si>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</si>
  <si>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</si>
  <si>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</si>
  <si>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</si>
  <si>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</si>
  <si>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</si>
  <si>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</si>
  <si>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</si>
  <si>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</si>
  <si>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</si>
  <si>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</si>
  <si>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</si>
  <si>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</si>
  <si>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</si>
  <si>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</si>
  <si>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</si>
  <si>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</si>
  <si>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</si>
  <si>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</si>
  <si>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</si>
  <si>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</si>
  <si>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</si>
  <si>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</si>
  <si>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</si>
  <si>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</si>
  <si>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</si>
  <si>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</si>
  <si>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</si>
  <si>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</si>
  <si>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</si>
  <si>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</si>
  <si>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</si>
  <si>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</si>
  <si>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</si>
  <si>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</si>
  <si>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</si>
  <si>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</si>
  <si>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</si>
  <si>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</si>
  <si>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</si>
  <si>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</si>
  <si>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</si>
  <si>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</si>
  <si>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</si>
  <si>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</si>
  <si>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</si>
  <si>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</si>
  <si>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</si>
  <si>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</si>
  <si>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</si>
  <si>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</si>
  <si>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</si>
  <si>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</si>
  <si>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</si>
  <si>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</si>
  <si>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</si>
  <si>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</si>
  <si>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</si>
  <si>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</si>
  <si>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</si>
  <si>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</si>
  <si>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</si>
  <si>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</si>
  <si>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</si>
  <si>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</si>
  <si>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</si>
  <si>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</si>
  <si>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</si>
  <si>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</si>
  <si>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</si>
  <si>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</si>
  <si>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</si>
  <si>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</si>
  <si>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</si>
  <si>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</si>
  <si>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</si>
  <si>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</si>
  <si>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</si>
  <si>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</si>
  <si>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</si>
  <si>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</si>
  <si>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</si>
  <si>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</si>
  <si>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</si>
  <si>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</si>
  <si>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</si>
  <si>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</si>
  <si>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</si>
  <si>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</si>
  <si>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</si>
  <si>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</si>
  <si>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</si>
  <si>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</si>
  <si>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</si>
  <si>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</si>
  <si>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</si>
  <si>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</si>
  <si>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</si>
  <si>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</si>
  <si>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</si>
  <si>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</si>
  <si>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</si>
  <si>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</si>
  <si>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</si>
  <si>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</si>
  <si>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</si>
  <si>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</si>
  <si>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</si>
  <si>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</si>
  <si>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</si>
  <si>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</si>
  <si>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</si>
  <si>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</si>
  <si>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</si>
  <si>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</si>
  <si>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</si>
  <si>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</si>
  <si>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</si>
  <si>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</si>
  <si>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</si>
  <si>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</si>
  <si>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</si>
  <si>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</si>
  <si>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</si>
  <si>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</si>
  <si>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</si>
  <si>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</si>
  <si>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</si>
  <si>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</si>
  <si>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</si>
  <si>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</si>
  <si>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</si>
  <si>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</si>
  <si>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</si>
  <si>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</si>
  <si>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</si>
  <si>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</si>
  <si>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</si>
  <si>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</si>
  <si>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</si>
  <si>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</si>
  <si>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</si>
  <si>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</si>
  <si>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</si>
  <si>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</si>
  <si>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</si>
  <si>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</si>
  <si>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</si>
  <si>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</si>
  <si>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</si>
  <si>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</si>
  <si>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</si>
  <si>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</si>
  <si>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</si>
  <si>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</si>
  <si>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</si>
  <si>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</si>
  <si>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</si>
  <si>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</si>
  <si>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</si>
  <si>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</si>
  <si>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</si>
  <si>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</si>
  <si>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</si>
  <si>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</si>
  <si>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</si>
  <si>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</si>
  <si>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</si>
  <si>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</si>
  <si>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</si>
  <si>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</si>
  <si>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</si>
  <si>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</si>
  <si>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</si>
  <si>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</si>
  <si>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</si>
  <si>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</si>
  <si>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</si>
  <si>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</si>
  <si>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</si>
  <si>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</si>
  <si>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</si>
  <si>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</si>
  <si>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</si>
  <si>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</si>
  <si>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</si>
  <si>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</si>
  <si>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</si>
  <si>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</si>
  <si>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</si>
  <si>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</si>
  <si>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</si>
  <si>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</si>
  <si>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</si>
  <si>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</si>
  <si>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</si>
  <si>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</si>
  <si>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</si>
  <si>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</si>
  <si>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</si>
  <si>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</si>
  <si>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</si>
  <si>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</si>
  <si>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</si>
  <si>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</si>
  <si>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</si>
  <si>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</si>
  <si>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</si>
  <si>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</si>
  <si>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</si>
  <si>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</si>
  <si>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</si>
  <si>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</si>
  <si>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</si>
  <si>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</si>
  <si>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</si>
  <si>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</si>
  <si>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</si>
  <si>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</si>
  <si>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</si>
  <si>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</si>
  <si>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</si>
  <si>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</si>
  <si>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</si>
  <si>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</si>
  <si>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</si>
  <si>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</si>
  <si>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</si>
  <si>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</si>
  <si>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</si>
  <si>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</si>
  <si>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</si>
  <si>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</si>
  <si>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</si>
  <si>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</si>
  <si>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</si>
  <si>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</si>
  <si>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</si>
  <si>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</si>
  <si>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</si>
  <si>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</si>
  <si>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</si>
  <si>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</si>
  <si>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</si>
  <si>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</si>
  <si>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</si>
  <si>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</si>
  <si>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</si>
  <si>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</si>
  <si>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</si>
  <si>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</si>
  <si>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</si>
  <si>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</si>
  <si>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</si>
  <si>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</si>
  <si>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</si>
  <si>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</si>
  <si>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</si>
  <si>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</si>
  <si>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</si>
  <si>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</si>
  <si>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</si>
  <si>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</si>
  <si>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</si>
  <si>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</si>
  <si>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</si>
  <si>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</si>
  <si>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</si>
  <si>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</si>
  <si>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</si>
  <si>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</si>
  <si>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</si>
  <si>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</si>
  <si>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</si>
  <si>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</si>
  <si>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</si>
  <si>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</si>
  <si>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</si>
  <si>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</si>
  <si>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</si>
  <si>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</si>
  <si>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</si>
  <si>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</si>
  <si>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</si>
  <si>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</si>
  <si>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</si>
  <si>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</si>
  <si>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</si>
  <si>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</si>
  <si>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</si>
  <si>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</si>
  <si>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</si>
  <si>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</si>
  <si>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</si>
  <si>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</si>
  <si>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</si>
  <si>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</si>
  <si>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</si>
  <si>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</si>
  <si>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</si>
  <si>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</si>
  <si>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</si>
  <si>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</si>
  <si>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</si>
  <si>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</si>
  <si>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</si>
  <si>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</si>
  <si>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</si>
  <si>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</si>
  <si>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</si>
  <si>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</si>
  <si>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</si>
  <si>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</si>
  <si>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</si>
  <si>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</si>
  <si>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</si>
  <si>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</si>
  <si>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</si>
  <si>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</si>
  <si>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</si>
  <si>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</si>
  <si>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</si>
  <si>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</si>
  <si>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</si>
  <si>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</si>
  <si>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</si>
  <si>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</si>
  <si>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</si>
  <si>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</si>
  <si>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</si>
  <si>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</si>
  <si>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</si>
  <si>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</si>
  <si>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</si>
  <si>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</si>
  <si>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</si>
  <si>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</si>
  <si>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</si>
  <si>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</si>
  <si>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</si>
  <si>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</si>
  <si>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</si>
  <si>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</si>
  <si>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</si>
  <si>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</si>
  <si>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</si>
  <si>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</si>
  <si>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</si>
  <si>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</si>
  <si>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</si>
  <si>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</si>
  <si>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</si>
  <si>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</si>
  <si>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</si>
  <si>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</si>
  <si>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</si>
  <si>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</si>
  <si>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</si>
  <si>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</si>
  <si>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</si>
  <si>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</si>
  <si>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</si>
  <si>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</si>
  <si>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</si>
  <si>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</si>
  <si>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</si>
  <si>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</si>
  <si>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</si>
  <si>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</si>
  <si>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</si>
  <si>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</si>
  <si>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</si>
  <si>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</si>
  <si>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</si>
  <si>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</si>
  <si>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</si>
  <si>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</si>
  <si>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</si>
  <si>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</si>
  <si>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</si>
  <si>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</si>
  <si>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</si>
  <si>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</si>
  <si>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</si>
  <si>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</si>
  <si>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</si>
  <si>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</si>
  <si>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</si>
  <si>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</si>
  <si>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</si>
  <si>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</si>
  <si>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</si>
  <si>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</si>
  <si>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</si>
  <si>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</si>
  <si>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</si>
  <si>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</si>
  <si>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</si>
  <si>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</si>
  <si>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</si>
  <si>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</si>
  <si>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</si>
  <si>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</si>
  <si>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</si>
  <si>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</si>
  <si>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</si>
  <si>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</si>
  <si>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</si>
  <si>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</si>
  <si>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</si>
  <si>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</si>
  <si>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</si>
  <si>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</si>
  <si>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</si>
  <si>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</si>
  <si>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</si>
  <si>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</si>
  <si>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</si>
  <si>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</si>
  <si>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</si>
  <si>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</si>
  <si>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</si>
  <si>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</si>
  <si>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</si>
  <si>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</si>
  <si>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</si>
  <si>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</si>
  <si>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</si>
  <si>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</si>
  <si>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</si>
  <si>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</si>
  <si>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</si>
  <si>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</si>
  <si>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</si>
  <si>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</si>
  <si>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</si>
  <si>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</si>
  <si>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</si>
  <si>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</si>
  <si>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</si>
  <si>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</si>
  <si>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</si>
  <si>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</si>
  <si>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</si>
  <si>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</si>
  <si>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</si>
  <si>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</si>
  <si>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</si>
  <si>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</si>
  <si>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</si>
  <si>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</si>
  <si>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</si>
  <si>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</si>
  <si>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</si>
  <si>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</si>
  <si>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</si>
  <si>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</si>
  <si>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</si>
  <si>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</si>
  <si>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</si>
  <si>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</si>
  <si>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</si>
  <si>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</si>
  <si>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</si>
  <si>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</si>
  <si>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</si>
  <si>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</si>
  <si>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</si>
  <si>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</si>
  <si>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</si>
  <si>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</si>
  <si>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</si>
  <si>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</si>
  <si>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</si>
  <si>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</si>
  <si>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</si>
  <si>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</si>
  <si>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</si>
  <si>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</si>
  <si>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</si>
  <si>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</si>
  <si>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</si>
  <si>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</si>
  <si>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</si>
  <si>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</si>
  <si>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</si>
  <si>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</si>
  <si>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</si>
  <si>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</si>
  <si>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</si>
  <si>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</si>
  <si>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</si>
  <si>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</si>
  <si>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</si>
  <si>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</si>
  <si>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</si>
  <si>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</si>
  <si>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</si>
  <si>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</si>
  <si>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</si>
  <si>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</si>
  <si>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</si>
  <si>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</si>
  <si>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</si>
  <si>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</si>
  <si>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</si>
  <si>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</si>
  <si>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</si>
  <si>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</si>
  <si>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</si>
  <si>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</si>
  <si>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</si>
  <si>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</si>
  <si>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</si>
  <si>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</si>
  <si>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</si>
  <si>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</si>
  <si>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</si>
  <si>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</si>
  <si>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</si>
  <si>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</si>
  <si>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</si>
  <si>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</si>
  <si>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</si>
  <si>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</si>
  <si>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</si>
  <si>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</si>
  <si>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</si>
  <si>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</si>
  <si>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</si>
  <si>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</si>
  <si>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</si>
  <si>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</si>
  <si>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</si>
  <si>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</si>
  <si>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</si>
  <si>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</si>
  <si>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</si>
  <si>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</si>
  <si>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</si>
  <si>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</si>
  <si>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</si>
  <si>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</si>
  <si>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</si>
  <si>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</si>
  <si>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</si>
  <si>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</si>
  <si>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</si>
  <si>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</si>
  <si>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</si>
  <si>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</si>
  <si>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</si>
  <si>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</si>
  <si>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</si>
  <si>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</si>
  <si>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</si>
  <si>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</si>
  <si>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</si>
  <si>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</si>
  <si>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</si>
  <si>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</si>
  <si>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</si>
  <si>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</si>
  <si>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</si>
  <si>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</si>
  <si>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</si>
  <si>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</si>
  <si>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</si>
  <si>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</si>
  <si>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</si>
  <si>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</si>
  <si>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</si>
  <si>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</si>
  <si>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</si>
  <si>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</si>
  <si>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</si>
  <si>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</si>
  <si>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</si>
  <si>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</si>
  <si>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</si>
  <si>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</si>
  <si>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</si>
  <si>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</si>
  <si>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</si>
  <si>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</si>
  <si>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</si>
  <si>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</si>
  <si>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</si>
  <si>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</si>
  <si>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</si>
  <si>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</si>
  <si>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</si>
  <si>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</si>
  <si>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</si>
  <si>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</si>
  <si>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</si>
  <si>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</si>
  <si>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</si>
  <si>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</si>
  <si>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</si>
  <si>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</si>
  <si>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</si>
  <si>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</si>
  <si>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</si>
  <si>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</si>
  <si>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</si>
  <si>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</si>
  <si>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</si>
  <si>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</si>
  <si>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</si>
  <si>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</si>
  <si>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</si>
  <si>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</si>
  <si>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</si>
  <si>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</si>
  <si>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</si>
  <si>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</si>
  <si>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</si>
  <si>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</si>
  <si>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</si>
  <si>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</si>
  <si>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</si>
  <si>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</si>
  <si>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</si>
  <si>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</si>
  <si>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</si>
  <si>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</si>
  <si>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</si>
  <si>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</si>
  <si>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</si>
  <si>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</si>
  <si>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</si>
  <si>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</si>
  <si>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</si>
  <si>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</si>
  <si>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</si>
  <si>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</si>
  <si>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</si>
  <si>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</si>
  <si>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</si>
  <si>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</si>
  <si>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</si>
  <si>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</si>
  <si>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</si>
  <si>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</si>
  <si>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</si>
  <si>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</si>
  <si>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</si>
  <si>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</si>
  <si>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</si>
  <si>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</si>
  <si>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</si>
  <si>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</si>
  <si>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</si>
  <si>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</si>
  <si>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</si>
  <si>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</si>
  <si>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</si>
  <si>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</si>
  <si>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</si>
  <si>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</si>
  <si>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</si>
  <si>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</si>
  <si>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</si>
  <si>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</si>
  <si>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</si>
  <si>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</si>
  <si>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</si>
  <si>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</si>
  <si>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</si>
  <si>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</si>
  <si>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</si>
  <si>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</si>
  <si>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</si>
  <si>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</si>
  <si>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</si>
  <si>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</si>
  <si>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</si>
  <si>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</si>
  <si>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</si>
  <si>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</si>
  <si>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</si>
  <si>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</si>
  <si>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</si>
  <si>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</si>
  <si>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</si>
  <si>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</si>
  <si>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</si>
  <si>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</si>
  <si>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</si>
  <si>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</si>
  <si>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</si>
  <si>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</si>
  <si>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</si>
  <si>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</si>
  <si>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</si>
  <si>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</si>
  <si>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</si>
  <si>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</si>
  <si>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</si>
  <si>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</si>
  <si>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</si>
  <si>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</si>
  <si>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</si>
  <si>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</si>
  <si>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</si>
  <si>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</si>
  <si>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</si>
  <si>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</si>
  <si>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</si>
  <si>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</si>
  <si>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</si>
  <si>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</si>
  <si>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</si>
  <si>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</si>
  <si>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</si>
  <si>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</si>
  <si>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</si>
  <si>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</si>
  <si>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</si>
  <si>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</si>
  <si>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</si>
  <si>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</si>
  <si>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</si>
  <si>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</si>
  <si>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</si>
  <si>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</si>
  <si>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</si>
  <si>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</si>
  <si>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</si>
  <si>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</si>
  <si>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</si>
  <si>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</si>
  <si>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</si>
  <si>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</si>
  <si>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</si>
  <si>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</si>
  <si>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</si>
  <si>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</si>
  <si>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</si>
  <si>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</si>
  <si>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</si>
  <si>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</si>
  <si>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</si>
  <si>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</si>
  <si>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</si>
  <si>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</si>
  <si>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</si>
  <si>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</si>
  <si>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</si>
  <si>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</si>
  <si>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</si>
  <si>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</si>
  <si>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</si>
  <si>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</si>
  <si>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</si>
  <si>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</si>
  <si>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</si>
  <si>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</si>
  <si>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</si>
  <si>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</si>
  <si>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</si>
  <si>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</si>
  <si>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</si>
  <si>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</si>
  <si>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</si>
  <si>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</si>
  <si>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</si>
  <si>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</si>
  <si>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</si>
  <si>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</si>
  <si>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</si>
  <si>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</si>
  <si>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</si>
  <si>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</si>
  <si>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</si>
  <si>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</si>
  <si>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</si>
  <si>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</si>
  <si>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</si>
  <si>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</si>
  <si>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</si>
  <si>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</si>
  <si>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</si>
  <si>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</si>
  <si>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</si>
  <si>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</si>
  <si>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</si>
  <si>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</si>
  <si>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</si>
  <si>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</si>
  <si>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</si>
  <si>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</si>
  <si>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</si>
  <si>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</si>
  <si>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</si>
  <si>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</si>
  <si>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</si>
  <si>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</si>
  <si>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</si>
  <si>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</si>
  <si>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</si>
  <si>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</si>
  <si>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</si>
  <si>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</si>
  <si>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</si>
  <si>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</si>
  <si>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</si>
  <si>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</si>
  <si>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</si>
  <si>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</si>
  <si>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</si>
  <si>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</si>
  <si>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</si>
  <si>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</si>
  <si>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</si>
  <si>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</si>
  <si>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</si>
  <si>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</si>
  <si>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</si>
  <si>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</si>
  <si>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</si>
  <si>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</si>
  <si>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</si>
  <si>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</si>
  <si>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</si>
  <si>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</si>
  <si>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</si>
  <si>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</si>
  <si>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</si>
  <si>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</si>
  <si>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</si>
  <si>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</si>
  <si>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</si>
  <si>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</si>
  <si>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</si>
  <si>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</si>
  <si>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</si>
  <si>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</si>
  <si>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</si>
  <si>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</si>
  <si>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</si>
  <si>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</si>
  <si>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</si>
  <si>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</si>
  <si>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</si>
  <si>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</si>
  <si>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</si>
  <si>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</si>
  <si>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</si>
  <si>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</si>
  <si>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</si>
  <si>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</si>
  <si>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</si>
  <si>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</si>
  <si>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</si>
  <si>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</si>
  <si>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</si>
  <si>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</si>
  <si>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</si>
  <si>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</si>
  <si>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</si>
  <si>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</si>
  <si>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</si>
  <si>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</si>
  <si>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</si>
  <si>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</si>
  <si>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</si>
  <si>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</si>
  <si>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</si>
  <si>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</si>
  <si>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</si>
  <si>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</si>
  <si>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</si>
  <si>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</si>
  <si>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</si>
  <si>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</si>
  <si>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</si>
  <si>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</si>
  <si>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</si>
  <si>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</si>
  <si>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</si>
  <si>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</si>
  <si>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</si>
  <si>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</si>
  <si>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</si>
  <si>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</si>
  <si>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</si>
  <si>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</si>
  <si>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</si>
  <si>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</si>
  <si>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</si>
  <si>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</si>
  <si>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</si>
  <si>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</si>
  <si>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</si>
  <si>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</si>
  <si>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</si>
  <si>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</si>
  <si>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</si>
  <si>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</si>
  <si>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</si>
  <si>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</si>
  <si>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</si>
  <si>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</si>
  <si>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</si>
  <si>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</si>
  <si>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</si>
  <si>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</si>
  <si>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</si>
  <si>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</si>
  <si>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</si>
  <si>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</si>
  <si>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</si>
  <si>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</si>
  <si>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</si>
  <si>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</si>
  <si>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</si>
  <si>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</si>
  <si>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</si>
  <si>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</si>
  <si>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</si>
  <si>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</si>
  <si>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</si>
  <si>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</si>
  <si>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</si>
  <si>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</si>
  <si>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</si>
  <si>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</si>
  <si>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</si>
  <si>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</si>
  <si>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</si>
  <si>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</si>
  <si>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</si>
  <si>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</si>
  <si>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</si>
  <si>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</si>
  <si>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</si>
  <si>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</si>
  <si>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</si>
  <si>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</si>
  <si>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</si>
  <si>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</si>
  <si>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</si>
  <si>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</si>
  <si>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</si>
  <si>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</si>
  <si>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</si>
  <si>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</si>
  <si>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</si>
  <si>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</si>
  <si>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</si>
  <si>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</si>
  <si>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</si>
  <si>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</si>
  <si>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</si>
  <si>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</si>
  <si>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</si>
  <si>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</si>
  <si>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</si>
  <si>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</si>
  <si>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</si>
  <si>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</si>
  <si>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</si>
  <si>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</si>
  <si>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</si>
  <si>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</si>
  <si>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</si>
  <si>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</si>
  <si>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</si>
  <si>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</si>
  <si>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</si>
  <si>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</si>
  <si>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</si>
  <si>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</si>
  <si>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</si>
  <si>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</si>
  <si>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</si>
  <si>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</si>
  <si>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</si>
  <si>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</si>
  <si>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</si>
  <si>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</si>
  <si>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</si>
  <si>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</si>
  <si>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</si>
  <si>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</si>
  <si>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</si>
  <si>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</si>
  <si>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</si>
  <si>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</si>
  <si>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</si>
  <si>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</si>
  <si>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</si>
  <si>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</si>
  <si>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</si>
  <si>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</si>
  <si>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</si>
  <si>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</si>
  <si>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</si>
  <si>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</si>
  <si>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</si>
  <si>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</si>
  <si>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</si>
  <si>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</si>
  <si>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</si>
  <si>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</si>
  <si>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</si>
  <si>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</si>
  <si>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</si>
  <si>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</si>
  <si>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</si>
  <si>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</si>
  <si>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</si>
  <si>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</si>
  <si>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</si>
  <si>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</si>
  <si>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</si>
  <si>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</si>
  <si>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</si>
  <si>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</si>
  <si>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</si>
  <si>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</si>
  <si>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</si>
  <si>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</si>
  <si>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</si>
  <si>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</si>
  <si>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</si>
  <si>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</si>
  <si>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</si>
  <si>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</si>
  <si>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</si>
  <si>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</si>
  <si>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</si>
  <si>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</si>
  <si>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</si>
  <si>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</si>
  <si>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</si>
  <si>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</si>
  <si>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</si>
  <si>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</si>
  <si>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</si>
  <si>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</si>
  <si>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</si>
  <si>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</si>
  <si>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</si>
  <si>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</si>
  <si>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</si>
  <si>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</si>
  <si>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</si>
  <si>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</si>
  <si>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</si>
  <si>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</si>
  <si>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</si>
  <si>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</si>
  <si>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</si>
  <si>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</si>
  <si>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</si>
  <si>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</si>
  <si>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</si>
  <si>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</si>
  <si>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</si>
  <si>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</si>
  <si>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</si>
  <si>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</si>
  <si>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</si>
  <si>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</si>
  <si>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</si>
  <si>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</si>
  <si>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</si>
  <si>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</si>
  <si>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</si>
  <si>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</si>
  <si>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</si>
  <si>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</si>
  <si>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</si>
  <si>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</si>
  <si>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</si>
  <si>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</si>
  <si>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</si>
  <si>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</si>
  <si>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</si>
  <si>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</si>
  <si>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</si>
  <si>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</si>
  <si>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</si>
  <si>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</si>
  <si>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</si>
  <si>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</si>
  <si>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</si>
  <si>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</si>
  <si>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</si>
  <si>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</si>
  <si>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</si>
  <si>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</si>
  <si>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</si>
  <si>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</si>
  <si>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</si>
  <si>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</si>
  <si>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</si>
  <si>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</si>
  <si>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</si>
  <si>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</si>
  <si>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</si>
  <si>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</si>
  <si>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</si>
  <si>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</si>
  <si>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</si>
  <si>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</si>
  <si>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</si>
  <si>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</si>
  <si>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</si>
  <si>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</si>
  <si>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</si>
  <si>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</si>
  <si>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</si>
  <si>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</si>
  <si>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</si>
  <si>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</si>
  <si>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</si>
  <si>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</si>
  <si>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</si>
  <si>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</si>
  <si>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</si>
  <si>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</si>
  <si>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</si>
  <si>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</si>
  <si>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</si>
  <si>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</si>
  <si>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</si>
  <si>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</si>
  <si>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</si>
  <si>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</si>
  <si>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</si>
  <si>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</si>
  <si>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</si>
  <si>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</si>
  <si>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</si>
  <si>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</si>
  <si>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</si>
  <si>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</si>
  <si>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</si>
  <si>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</si>
  <si>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</si>
  <si>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</si>
  <si>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</si>
  <si>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</si>
  <si>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</si>
  <si>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</si>
  <si>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</si>
  <si>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</si>
  <si>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</si>
  <si>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</si>
  <si>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</si>
  <si>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</si>
  <si>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</si>
  <si>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</si>
  <si>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</si>
  <si>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</si>
  <si>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</si>
  <si>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</si>
  <si>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</si>
  <si>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</si>
  <si>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</si>
  <si>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</si>
  <si>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</si>
  <si>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</si>
  <si>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</si>
  <si>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</si>
  <si>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</si>
  <si>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</si>
  <si>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</si>
  <si>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</si>
  <si>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</si>
  <si>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</si>
  <si>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</si>
  <si>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</si>
  <si>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</si>
  <si>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</si>
  <si>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</si>
  <si>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</si>
  <si>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</si>
  <si>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</si>
  <si>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</si>
  <si>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</si>
  <si>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</si>
  <si>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</si>
  <si>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</si>
  <si>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</si>
  <si>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</si>
  <si>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</si>
  <si>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</si>
  <si>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</si>
  <si>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</si>
  <si>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</si>
  <si>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</si>
  <si>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</si>
  <si>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</si>
  <si>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</si>
  <si>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</si>
  <si>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</si>
  <si>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</si>
  <si>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</si>
  <si>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</si>
  <si>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</si>
  <si>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</si>
  <si>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</si>
  <si>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</si>
  <si>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</si>
  <si>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</si>
  <si>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</si>
  <si>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</si>
  <si>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</si>
  <si>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</si>
  <si>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</si>
  <si>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</si>
  <si>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</si>
  <si>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</si>
  <si>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</si>
  <si>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</si>
  <si>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</si>
  <si>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</si>
  <si>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</si>
  <si>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</si>
  <si>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</si>
  <si>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</si>
  <si>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</si>
  <si>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</si>
  <si>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</si>
  <si>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</si>
  <si>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</si>
  <si>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</si>
  <si>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</si>
  <si>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</si>
  <si>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</si>
  <si>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</si>
  <si>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</si>
  <si>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</si>
  <si>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</si>
  <si>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</si>
  <si>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</si>
  <si>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</si>
  <si>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</si>
  <si>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</si>
  <si>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</si>
  <si>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</si>
  <si>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</si>
  <si>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</si>
  <si>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</si>
  <si>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</si>
  <si>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</si>
  <si>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</si>
  <si>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</si>
  <si>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</si>
  <si>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</si>
  <si>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</si>
  <si>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</si>
  <si>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</si>
  <si>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</si>
  <si>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</si>
  <si>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</si>
  <si>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</si>
  <si>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</si>
  <si>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</si>
  <si>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</si>
  <si>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</si>
  <si>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</si>
  <si>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</si>
  <si>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</si>
  <si>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</si>
  <si>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</si>
  <si>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</si>
  <si>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</si>
  <si>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</si>
  <si>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</si>
  <si>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</si>
  <si>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</si>
  <si>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</si>
  <si>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</si>
  <si>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</si>
  <si>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</si>
  <si>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</si>
  <si>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</si>
  <si>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</si>
  <si>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</si>
  <si>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</si>
  <si>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</si>
  <si>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</si>
  <si>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</si>
  <si>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</si>
  <si>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</si>
  <si>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</si>
  <si>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</si>
  <si>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</si>
  <si>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</si>
  <si>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</si>
  <si>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</si>
  <si>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</si>
  <si>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</si>
  <si>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</si>
  <si>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</si>
  <si>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</si>
  <si>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</si>
  <si>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</si>
  <si>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</si>
  <si>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</si>
  <si>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</si>
  <si>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</si>
  <si>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</si>
  <si>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</si>
  <si>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</si>
  <si>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</si>
  <si>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</si>
  <si>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</si>
  <si>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</si>
  <si>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</si>
  <si>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</si>
  <si>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</si>
  <si>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</si>
  <si>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</si>
  <si>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</si>
  <si>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</si>
  <si>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</si>
  <si>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</si>
  <si>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</si>
  <si>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</si>
  <si>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</si>
  <si>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</si>
  <si>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</si>
  <si>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</si>
  <si>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</si>
  <si>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</si>
  <si>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</si>
  <si>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</si>
  <si>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</si>
  <si>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</si>
  <si>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</si>
  <si>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</si>
  <si>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</si>
  <si>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</si>
  <si>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</si>
  <si>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</si>
  <si>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</si>
  <si>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</si>
  <si>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</si>
  <si>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</si>
  <si>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</si>
  <si>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</si>
  <si>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</si>
  <si>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</si>
  <si>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</si>
  <si>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</si>
  <si>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</si>
  <si>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</si>
  <si>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</si>
  <si>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</si>
  <si>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</si>
  <si>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</si>
  <si>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</si>
  <si>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</si>
  <si>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</si>
  <si>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</si>
  <si>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</si>
  <si>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</si>
  <si>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</si>
  <si>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</si>
  <si>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</si>
  <si>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</si>
  <si>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</si>
  <si>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</si>
  <si>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</si>
  <si>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</si>
  <si>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</si>
  <si>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</si>
  <si>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</si>
  <si>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</si>
  <si>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</si>
  <si>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</si>
  <si>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</si>
  <si>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</si>
  <si>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</si>
  <si>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</si>
  <si>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</si>
  <si>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</si>
  <si>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</si>
  <si>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</si>
  <si>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</si>
  <si>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</si>
  <si>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</si>
  <si>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</si>
  <si>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</si>
  <si>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</si>
  <si>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</si>
  <si>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</si>
  <si>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</si>
  <si>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</si>
  <si>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</si>
  <si>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</si>
  <si>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</si>
  <si>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</si>
  <si>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</si>
  <si>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</si>
  <si>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</si>
  <si>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</si>
  <si>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</si>
  <si>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</si>
  <si>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</si>
  <si>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</si>
  <si>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</si>
  <si>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</si>
  <si>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</si>
  <si>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</si>
  <si>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</si>
  <si>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</si>
  <si>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</si>
  <si>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</si>
  <si>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</si>
  <si>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</si>
  <si>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</si>
  <si>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</si>
  <si>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</si>
  <si>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</si>
  <si>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</si>
  <si>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</si>
  <si>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</si>
  <si>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</si>
  <si>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</si>
  <si>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</si>
  <si>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</si>
  <si>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</si>
  <si>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</si>
  <si>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</si>
  <si>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</si>
  <si>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</si>
  <si>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</si>
  <si>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</si>
  <si>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</si>
  <si>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</si>
  <si>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</si>
  <si>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</si>
  <si>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</si>
  <si>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</si>
  <si>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</si>
  <si>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</si>
  <si>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</si>
  <si>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</si>
  <si>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</si>
  <si>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</si>
  <si>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</si>
  <si>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</si>
  <si>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</si>
  <si>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</si>
  <si>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</si>
  <si>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</si>
  <si>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</si>
  <si>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</si>
  <si>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</si>
  <si>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</si>
  <si>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</si>
  <si>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</si>
  <si>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</si>
  <si>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</si>
  <si>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</si>
  <si>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</si>
  <si>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</si>
  <si>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</si>
  <si>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</si>
  <si>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</si>
  <si>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</si>
  <si>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</si>
  <si>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</si>
  <si>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</si>
  <si>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</si>
  <si>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</si>
  <si>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</si>
  <si>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</si>
  <si>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</si>
  <si>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</si>
  <si>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</si>
  <si>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</si>
  <si>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</si>
  <si>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</si>
  <si>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</si>
  <si>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</si>
  <si>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</si>
  <si>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</si>
  <si>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</si>
  <si>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</si>
  <si>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</si>
  <si>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</si>
  <si>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</si>
  <si>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</si>
  <si>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</si>
  <si>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</si>
  <si>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</si>
  <si>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</si>
  <si>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</si>
  <si>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</si>
  <si>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</si>
  <si>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</si>
  <si>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</si>
  <si>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</si>
  <si>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</si>
  <si>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</si>
  <si>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</si>
  <si>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</si>
  <si>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</si>
  <si>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</si>
  <si>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</si>
  <si>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</si>
  <si>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</si>
  <si>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</si>
  <si>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</si>
  <si>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</si>
  <si>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</si>
  <si>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</si>
  <si>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</si>
  <si>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</si>
  <si>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</si>
  <si>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</si>
  <si>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</si>
  <si>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</si>
  <si>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</si>
  <si>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</si>
  <si>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</si>
  <si>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</si>
  <si>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</si>
  <si>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</si>
  <si>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</si>
  <si>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</si>
  <si>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</si>
  <si>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</si>
  <si>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</si>
  <si>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</si>
  <si>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</si>
  <si>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</si>
  <si>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</si>
  <si>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</si>
  <si>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</si>
  <si>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</si>
  <si>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</si>
  <si>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</si>
  <si>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</si>
  <si>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</si>
  <si>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</si>
  <si>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</si>
  <si>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</si>
  <si>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</si>
  <si>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</si>
  <si>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</si>
  <si>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</si>
  <si>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</si>
  <si>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</si>
  <si>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</si>
  <si>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</si>
  <si>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</si>
  <si>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</si>
  <si>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</si>
  <si>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</si>
  <si>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</si>
  <si>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</si>
  <si>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</si>
  <si>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</si>
  <si>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</si>
  <si>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</si>
  <si>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</si>
  <si>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</si>
  <si>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</si>
  <si>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</si>
  <si>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</si>
  <si>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</si>
  <si>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</si>
  <si>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</si>
  <si>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</si>
  <si>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</si>
  <si>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</si>
  <si>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</si>
  <si>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</si>
  <si>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</si>
  <si>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</si>
  <si>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</si>
  <si>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</si>
  <si>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</si>
  <si>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</si>
  <si>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</si>
  <si>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</si>
  <si>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</si>
  <si>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</si>
  <si>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</si>
  <si>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</si>
  <si>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</si>
  <si>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</si>
  <si>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</si>
  <si>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</si>
  <si>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</si>
  <si>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</si>
  <si>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</si>
  <si>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</si>
  <si>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</si>
  <si>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</si>
  <si>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</si>
  <si>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</si>
  <si>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</si>
  <si>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</si>
  <si>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</si>
  <si>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</si>
  <si>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</si>
  <si>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</si>
  <si>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</si>
  <si>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</si>
  <si>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</si>
  <si>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</si>
  <si>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</si>
  <si>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</si>
  <si>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</si>
  <si>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</si>
  <si>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</si>
  <si>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</si>
  <si>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</si>
  <si>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</si>
  <si>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</si>
  <si>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</si>
  <si>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</si>
  <si>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</si>
  <si>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</si>
  <si>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</si>
  <si>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</si>
  <si>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</si>
  <si>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</si>
  <si>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</si>
  <si>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</si>
  <si>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</si>
  <si>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</si>
  <si>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</si>
  <si>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</si>
  <si>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</si>
  <si>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</si>
  <si>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</si>
  <si>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</si>
  <si>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</si>
  <si>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</si>
  <si>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</si>
  <si>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</si>
  <si>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</si>
  <si>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</si>
  <si>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</si>
  <si>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</si>
  <si>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</si>
  <si>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</si>
  <si>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</si>
  <si>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</si>
  <si>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</si>
  <si>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</si>
  <si>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</si>
  <si>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</si>
  <si>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</si>
  <si>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</si>
  <si>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</si>
  <si>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</si>
  <si>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</si>
  <si>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</si>
  <si>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</si>
  <si>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</si>
  <si>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</si>
  <si>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</si>
  <si>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</si>
  <si>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</si>
  <si>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</si>
  <si>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</si>
  <si>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</si>
  <si>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</si>
  <si>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</si>
  <si>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</si>
  <si>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</si>
  <si>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</si>
  <si>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</si>
  <si>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</si>
  <si>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</si>
  <si>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</si>
  <si>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</si>
  <si>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</si>
  <si>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</si>
  <si>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</si>
  <si>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</si>
  <si>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</si>
  <si>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</si>
  <si>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</si>
  <si>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</si>
  <si>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</si>
  <si>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</si>
  <si>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</si>
  <si>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</si>
  <si>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</si>
  <si>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</si>
  <si>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</si>
  <si>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</si>
  <si>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</si>
  <si>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</si>
  <si>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</si>
  <si>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</si>
  <si>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</si>
  <si>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</si>
  <si>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</si>
  <si>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</si>
  <si>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</si>
  <si>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</si>
  <si>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</si>
  <si>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</si>
  <si>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</si>
  <si>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</si>
  <si>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</si>
  <si>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</si>
  <si>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</si>
  <si>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</si>
  <si>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</si>
  <si>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</si>
  <si>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</si>
  <si>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</si>
  <si>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</si>
  <si>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</si>
  <si>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</si>
  <si>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</si>
  <si>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</si>
  <si>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</si>
  <si>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</si>
  <si>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</si>
  <si>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</si>
  <si>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</si>
  <si>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</si>
  <si>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</si>
  <si>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</si>
  <si>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</si>
  <si>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</si>
  <si>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</si>
  <si>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</si>
  <si>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</si>
  <si>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</si>
  <si>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</si>
  <si>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</si>
  <si>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</si>
  <si>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</si>
  <si>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</si>
  <si>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</si>
  <si>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</si>
  <si>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</si>
  <si>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北京绿地京瑞房地产开发有限公司</t>
    <phoneticPr fontId="6" type="noConversion"/>
  </si>
  <si>
    <t>中国建设银行股份有限公司北京城建支行</t>
    <phoneticPr fontId="6" type="noConversion"/>
  </si>
  <si>
    <t>抵押</t>
  </si>
  <si>
    <t>房地产抵押价值</t>
  </si>
  <si>
    <t>北京市</t>
  </si>
  <si>
    <r>
      <rPr>
        <sz val="12"/>
        <color theme="9" tint="-0.249977111117893"/>
        <rFont val="宋体"/>
        <family val="3"/>
        <charset val="134"/>
      </rPr>
      <t>大兴区北臧村生物医药基地</t>
    </r>
    <r>
      <rPr>
        <sz val="12"/>
        <color theme="9" tint="-0.249977111117893"/>
        <rFont val="Arial"/>
        <family val="2"/>
      </rPr>
      <t>DX00-0502-0013</t>
    </r>
    <r>
      <rPr>
        <sz val="12"/>
        <color theme="9" tint="-0.249977111117893"/>
        <rFont val="宋体"/>
        <family val="3"/>
        <charset val="134"/>
      </rPr>
      <t>地块</t>
    </r>
    <phoneticPr fontId="6" type="noConversion"/>
  </si>
  <si>
    <t>企业</t>
  </si>
  <si>
    <t>出让</t>
  </si>
  <si>
    <t>商业、办公、地下车库</t>
    <phoneticPr fontId="6" type="noConversion"/>
  </si>
  <si>
    <t>《建设工程规划许可证》[2017规（大）建字0019号]及附件</t>
    <phoneticPr fontId="6" type="noConversion"/>
  </si>
  <si>
    <t>《不动产权证书》[京（2017）大不动产权第0000079号]、《分摊测绘》</t>
    <phoneticPr fontId="6" type="noConversion"/>
  </si>
  <si>
    <t>是</t>
  </si>
  <si>
    <t>《不动产权证书》</t>
  </si>
  <si>
    <t>复印件</t>
  </si>
  <si>
    <t>办公项目</t>
  </si>
  <si>
    <t>无</t>
  </si>
  <si>
    <t>否</t>
  </si>
  <si>
    <t>在建</t>
  </si>
  <si>
    <t>通路</t>
  </si>
  <si>
    <t>通电</t>
  </si>
  <si>
    <t>通讯</t>
  </si>
  <si>
    <t>通上水</t>
  </si>
  <si>
    <t>通下水</t>
  </si>
  <si>
    <t>Ⅸ-兴1</t>
  </si>
  <si>
    <t>1#商业楼</t>
  </si>
  <si>
    <t>2#商业办公楼</t>
  </si>
  <si>
    <t>3#商业办公楼</t>
  </si>
  <si>
    <t>4#商业办公楼</t>
  </si>
  <si>
    <t>5#商业楼</t>
  </si>
  <si>
    <t>6#商业办公楼</t>
  </si>
  <si>
    <t>7#商业办公楼</t>
  </si>
  <si>
    <t>8#商业办公楼</t>
  </si>
  <si>
    <t>地上</t>
  </si>
  <si>
    <t>独立商业</t>
  </si>
  <si>
    <t>底商</t>
  </si>
  <si>
    <t>办公楼</t>
  </si>
  <si>
    <t>地下</t>
  </si>
  <si>
    <t>车库—办公</t>
  </si>
  <si>
    <t>车库</t>
  </si>
  <si>
    <t>商业</t>
    <phoneticPr fontId="3" type="noConversion"/>
  </si>
  <si>
    <t>办公</t>
    <phoneticPr fontId="3" type="noConversion"/>
  </si>
  <si>
    <t>地下车库</t>
    <phoneticPr fontId="3" type="noConversion"/>
  </si>
  <si>
    <t>收益法</t>
  </si>
  <si>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</si>
  <si>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</si>
  <si>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估价对象周边仅有829、兴52路公交线路，综合评价交通便捷度一般</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</si>
  <si>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</si>
  <si>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</si>
  <si>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</si>
  <si>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城市次干道——春林大街</t>
    <phoneticPr fontId="3" type="noConversion"/>
  </si>
  <si>
    <t>多面临街</t>
  </si>
  <si>
    <t>较好</t>
  </si>
  <si>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</si>
  <si>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</si>
  <si>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</si>
  <si>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</si>
  <si>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</si>
  <si>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</si>
  <si>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</si>
  <si>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</si>
  <si>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</si>
  <si>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</si>
  <si>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</si>
  <si>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</si>
  <si>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</si>
  <si>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</si>
  <si>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</si>
  <si>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</si>
  <si>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</si>
  <si>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</si>
  <si>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</si>
  <si>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</si>
  <si>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</si>
  <si>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</si>
  <si>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</si>
  <si>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</si>
  <si>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</si>
  <si>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</si>
  <si>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</si>
  <si>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</si>
  <si>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</si>
  <si>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</si>
  <si>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</si>
  <si>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</si>
  <si>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</si>
  <si>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</si>
  <si>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</si>
  <si>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</si>
  <si>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</si>
  <si>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</si>
  <si>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</si>
  <si>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</si>
  <si>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</si>
  <si>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大兴开发区北区</t>
    </r>
    <r>
      <rPr>
        <sz val="11"/>
        <color theme="1"/>
        <rFont val="宋体"/>
        <family val="3"/>
        <charset val="134"/>
        <scheme val="minor"/>
      </rPr>
      <t>1</t>
    </r>
    <r>
      <rPr>
        <sz val="10"/>
        <rFont val="宋体"/>
        <family val="3"/>
        <charset val="134"/>
      </rPr>
      <t>号地</t>
    </r>
    <r>
      <rPr>
        <sz val="11"/>
        <color theme="1"/>
        <rFont val="宋体"/>
        <family val="3"/>
        <charset val="134"/>
        <scheme val="minor"/>
      </rPr>
      <t>DX00-0301-0145</t>
    </r>
    <r>
      <rPr>
        <sz val="10"/>
        <rFont val="宋体"/>
        <family val="3"/>
        <charset val="134"/>
      </rPr>
      <t>地块</t>
    </r>
    <phoneticPr fontId="3" type="noConversion"/>
  </si>
  <si>
    <t>商业/办公用地</t>
  </si>
  <si>
    <t>大兴区</t>
  </si>
  <si>
    <t>大兴区黄村镇</t>
  </si>
  <si>
    <t>挂牌</t>
  </si>
  <si>
    <t>京土整储挂(兴)[2017]013号</t>
  </si>
  <si>
    <t>F3其他类多功能用地</t>
  </si>
  <si>
    <t>2017-03-02</t>
  </si>
  <si>
    <t>2017-03-22</t>
  </si>
  <si>
    <t>2017-04-06</t>
  </si>
  <si>
    <t>已成交</t>
  </si>
  <si>
    <t>北京亚通房地产开发有限责任公司</t>
  </si>
  <si>
    <t>商业40年、办公50年</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</si>
  <si>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</si>
  <si>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t>
  </si>
  <si>
    <t>房山区长阳镇</t>
  </si>
  <si>
    <t>京土整储挂(房)[2016]023号</t>
  </si>
  <si>
    <t>B4综合性商业金融服务业、S32公交场站设施用地</t>
  </si>
  <si>
    <t>2016-10-25</t>
  </si>
  <si>
    <t>2016-11-14</t>
  </si>
  <si>
    <t>2016-11-28</t>
  </si>
  <si>
    <t>北京龙湖天行置业有限公司、北京首都开发股份有限公司</t>
  </si>
  <si>
    <r>
      <rPr>
        <sz val="10"/>
        <rFont val="宋体"/>
        <family val="3"/>
        <charset val="134"/>
      </rPr>
      <t>大兴区黄村镇兴华大街</t>
    </r>
    <r>
      <rPr>
        <sz val="11"/>
        <color theme="1"/>
        <rFont val="宋体"/>
        <family val="3"/>
        <charset val="134"/>
        <scheme val="minor"/>
      </rPr>
      <t>DX00-0202-0307</t>
    </r>
    <r>
      <rPr>
        <sz val="10"/>
        <rFont val="宋体"/>
        <family val="3"/>
        <charset val="134"/>
      </rPr>
      <t>地块</t>
    </r>
    <phoneticPr fontId="3" type="noConversion"/>
  </si>
  <si>
    <t>大兴新城东片区0202街区</t>
  </si>
  <si>
    <t>京土整储挂(兴)[2016]006号</t>
  </si>
  <si>
    <t>B4综合性商业金融服务业用地</t>
  </si>
  <si>
    <t>2016-03-31</t>
  </si>
  <si>
    <t>2016-04-20</t>
  </si>
  <si>
    <t>2016-05-05</t>
  </si>
  <si>
    <t>北京中瑞凯华投资管理有限公司</t>
  </si>
  <si>
    <t>商业、办公</t>
  </si>
  <si>
    <t>商业、办公</t>
    <phoneticPr fontId="31" type="noConversion"/>
  </si>
  <si>
    <r>
      <t>37.8</t>
    </r>
    <r>
      <rPr>
        <sz val="11"/>
        <color indexed="8"/>
        <rFont val="宋体"/>
        <family val="3"/>
        <charset val="134"/>
      </rPr>
      <t>、</t>
    </r>
    <r>
      <rPr>
        <sz val="11"/>
        <color indexed="8"/>
        <rFont val="Arial"/>
        <family val="2"/>
      </rPr>
      <t>47.8</t>
    </r>
    <phoneticPr fontId="31" type="noConversion"/>
  </si>
  <si>
    <r>
      <t>40</t>
    </r>
    <r>
      <rPr>
        <sz val="11"/>
        <color indexed="8"/>
        <rFont val="宋体"/>
        <family val="3"/>
        <charset val="134"/>
      </rPr>
      <t>、</t>
    </r>
    <r>
      <rPr>
        <sz val="11"/>
        <color indexed="8"/>
        <rFont val="Arial"/>
        <family val="2"/>
      </rPr>
      <t>50</t>
    </r>
    <phoneticPr fontId="31" type="noConversion"/>
  </si>
  <si>
    <t>综合</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</si>
  <si>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</si>
  <si>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</si>
  <si>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</si>
  <si>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</si>
  <si>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</si>
  <si>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</si>
  <si>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</si>
  <si>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</si>
  <si>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</si>
  <si>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</si>
  <si>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</si>
  <si>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</si>
  <si>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</si>
  <si>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</si>
  <si>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</si>
  <si>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</si>
  <si>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一般</t>
  </si>
  <si>
    <t>较差</t>
  </si>
  <si>
    <t>有地铁</t>
    <phoneticPr fontId="3" type="noConversion"/>
  </si>
  <si>
    <t>七通</t>
  </si>
  <si>
    <t>支路</t>
  </si>
  <si>
    <t>较适宜</t>
  </si>
  <si>
    <t>三通</t>
  </si>
  <si>
    <t>清源路</t>
    <phoneticPr fontId="3" type="noConversion"/>
  </si>
  <si>
    <t>次干道</t>
  </si>
  <si>
    <t>一般</t>
    <phoneticPr fontId="31" type="noConversion"/>
  </si>
  <si>
    <t>较差</t>
    <phoneticPr fontId="31" type="noConversion"/>
  </si>
  <si>
    <t>较好</t>
    <phoneticPr fontId="31" type="noConversion"/>
  </si>
  <si>
    <t>较差</t>
    <phoneticPr fontId="31" type="noConversion"/>
  </si>
  <si>
    <t>七通</t>
    <phoneticPr fontId="31" type="noConversion"/>
  </si>
  <si>
    <t>春林大街</t>
    <phoneticPr fontId="3" type="noConversion"/>
  </si>
  <si>
    <t>较规则</t>
  </si>
  <si>
    <t>六通</t>
  </si>
  <si>
    <t>未包含在土地购买价格中</t>
  </si>
  <si>
    <t>已包含在土地取得成本中</t>
  </si>
  <si>
    <t>在建（套用方法）</t>
  </si>
  <si>
    <t>押一</t>
  </si>
  <si>
    <t>钢混</t>
  </si>
  <si>
    <t>非生产用房</t>
  </si>
  <si>
    <t>绿地智汇健康城</t>
    <phoneticPr fontId="3" type="noConversion"/>
  </si>
  <si>
    <t>绿地大兴启航国际</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</si>
  <si>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</si>
  <si>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</si>
  <si>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</si>
  <si>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</si>
  <si>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</si>
  <si>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</si>
  <si>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</si>
  <si>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</si>
  <si>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</si>
  <si>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</si>
  <si>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</si>
  <si>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</si>
  <si>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</si>
  <si>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</si>
  <si>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3" type="noConversion"/>
  </si>
  <si>
    <t>办公配套商业</t>
    <phoneticPr fontId="3" type="noConversion"/>
  </si>
  <si>
    <t>住宅配套商业</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</si>
  <si>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</si>
  <si>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</si>
  <si>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</si>
  <si>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</si>
  <si>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</si>
  <si>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</si>
  <si>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</si>
  <si>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标准</t>
    <phoneticPr fontId="3" type="noConversion"/>
  </si>
  <si>
    <t>超高</t>
    <phoneticPr fontId="3" type="noConversion"/>
  </si>
  <si>
    <t>单面临街</t>
  </si>
  <si>
    <t>较好</t>
    <phoneticPr fontId="31" type="noConversion"/>
  </si>
  <si>
    <t>办公配套商业</t>
  </si>
  <si>
    <t>精装</t>
  </si>
  <si>
    <t>可餐饮</t>
  </si>
  <si>
    <t>标准</t>
  </si>
  <si>
    <t>毛坯</t>
  </si>
  <si>
    <t>首创悦都汇</t>
    <phoneticPr fontId="3" type="noConversion"/>
  </si>
  <si>
    <t>售价</t>
  </si>
  <si>
    <t>金科天辰荟</t>
    <phoneticPr fontId="3" type="noConversion"/>
  </si>
  <si>
    <t>商场类商铺</t>
  </si>
  <si>
    <t>商场类商铺</t>
    <phoneticPr fontId="3" type="noConversion"/>
  </si>
  <si>
    <t>较小</t>
  </si>
  <si>
    <t>有地铁</t>
    <phoneticPr fontId="31" type="noConversion"/>
  </si>
  <si>
    <t>富兴国际中心</t>
    <phoneticPr fontId="3" type="noConversion"/>
  </si>
  <si>
    <t>办公</t>
    <phoneticPr fontId="32" type="noConversion"/>
  </si>
  <si>
    <t>40-50（含）</t>
  </si>
  <si>
    <t>春林大街</t>
    <phoneticPr fontId="3" type="noConversion"/>
  </si>
  <si>
    <t>高区</t>
    <phoneticPr fontId="32" type="noConversion"/>
  </si>
  <si>
    <t>中区</t>
    <phoneticPr fontId="32" type="noConversion"/>
  </si>
  <si>
    <t>低区</t>
    <phoneticPr fontId="32" type="noConversion"/>
  </si>
  <si>
    <t>标准写字楼</t>
    <phoneticPr fontId="3" type="noConversion"/>
  </si>
  <si>
    <t>甲级</t>
    <phoneticPr fontId="3" type="noConversion"/>
  </si>
  <si>
    <t>乙级</t>
    <phoneticPr fontId="3" type="noConversion"/>
  </si>
  <si>
    <t>专业</t>
    <phoneticPr fontId="3" type="noConversion"/>
  </si>
  <si>
    <t>标准、超高</t>
    <phoneticPr fontId="3" type="noConversion"/>
  </si>
  <si>
    <t>标准写字楼</t>
  </si>
  <si>
    <t>甲级</t>
  </si>
  <si>
    <t>专业</t>
  </si>
  <si>
    <t>荣华中路</t>
    <phoneticPr fontId="32" type="noConversion"/>
  </si>
  <si>
    <t>盛通街</t>
    <phoneticPr fontId="32" type="noConversion"/>
  </si>
  <si>
    <t>天河西路</t>
    <phoneticPr fontId="32" type="noConversion"/>
  </si>
  <si>
    <t>五通</t>
  </si>
  <si>
    <t>成本法</t>
  </si>
  <si>
    <t>假设开发法</t>
  </si>
  <si>
    <t>项目全部</t>
  </si>
  <si>
    <r>
      <t>2017</t>
    </r>
    <r>
      <rPr>
        <sz val="10"/>
        <color indexed="8"/>
        <rFont val="宋体"/>
        <family val="3"/>
        <charset val="134"/>
      </rPr>
      <t>年底</t>
    </r>
    <phoneticPr fontId="8" type="noConversion"/>
  </si>
  <si>
    <t>成本比率</t>
  </si>
  <si>
    <t>规划建筑面积</t>
  </si>
  <si>
    <t>分摊土地面积</t>
  </si>
  <si>
    <t>楼号</t>
  </si>
  <si>
    <t>经营性用房</t>
  </si>
  <si>
    <t>非经营性用房</t>
  </si>
  <si>
    <t>设备及其他用房</t>
  </si>
  <si>
    <r>
      <t>1#</t>
    </r>
    <r>
      <rPr>
        <sz val="9"/>
        <color theme="1"/>
        <rFont val="华文细黑"/>
        <family val="3"/>
        <charset val="134"/>
      </rPr>
      <t>商业楼</t>
    </r>
  </si>
  <si>
    <r>
      <t>2#</t>
    </r>
    <r>
      <rPr>
        <sz val="9"/>
        <color theme="1"/>
        <rFont val="华文细黑"/>
        <family val="3"/>
        <charset val="134"/>
      </rPr>
      <t>商业办公楼</t>
    </r>
  </si>
  <si>
    <r>
      <t>3#</t>
    </r>
    <r>
      <rPr>
        <sz val="9"/>
        <color theme="1"/>
        <rFont val="华文细黑"/>
        <family val="3"/>
        <charset val="134"/>
      </rPr>
      <t>商业办公楼</t>
    </r>
  </si>
  <si>
    <r>
      <t>4#</t>
    </r>
    <r>
      <rPr>
        <sz val="9"/>
        <color theme="1"/>
        <rFont val="华文细黑"/>
        <family val="3"/>
        <charset val="134"/>
      </rPr>
      <t>商业办公楼</t>
    </r>
  </si>
  <si>
    <r>
      <t>5#</t>
    </r>
    <r>
      <rPr>
        <sz val="9"/>
        <color theme="1"/>
        <rFont val="华文细黑"/>
        <family val="3"/>
        <charset val="134"/>
      </rPr>
      <t>商业楼</t>
    </r>
  </si>
  <si>
    <r>
      <t>6#</t>
    </r>
    <r>
      <rPr>
        <sz val="9"/>
        <color theme="1"/>
        <rFont val="华文细黑"/>
        <family val="3"/>
        <charset val="134"/>
      </rPr>
      <t>商业办公楼</t>
    </r>
  </si>
  <si>
    <r>
      <t>7#</t>
    </r>
    <r>
      <rPr>
        <sz val="9"/>
        <color theme="1"/>
        <rFont val="华文细黑"/>
        <family val="3"/>
        <charset val="134"/>
      </rPr>
      <t>商业办公楼</t>
    </r>
  </si>
  <si>
    <r>
      <t>8#</t>
    </r>
    <r>
      <rPr>
        <sz val="9"/>
        <color theme="1"/>
        <rFont val="华文细黑"/>
        <family val="3"/>
        <charset val="134"/>
      </rPr>
      <t>商业办公楼</t>
    </r>
  </si>
  <si>
    <t>封顶</t>
    <phoneticPr fontId="143" type="noConversion"/>
  </si>
  <si>
    <t>9-14</t>
    <phoneticPr fontId="143" type="noConversion"/>
  </si>
  <si>
    <t>12-13</t>
    <phoneticPr fontId="143" type="noConversion"/>
  </si>
  <si>
    <t>9-13</t>
    <phoneticPr fontId="143" type="noConversion"/>
  </si>
  <si>
    <t>9-14</t>
    <phoneticPr fontId="143" type="noConversion"/>
  </si>
  <si>
    <t>地下车库</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</si>
</sst>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
      <sz val="9"/>
      <color rgb="FF000000"/>
      <name val="Arial"/>
      <family val="2"/>
    </font>
    <font>
      <sz val="9"/>
      <color theme="1"/>
      <name val="华文细黑"/>
      <family val="3"/>
      <charset val="134"/>
    </font>
    <font>
      <sz val="9"/>
      <color theme="1"/>
      <name val="Arial"/>
      <family val="2"/>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49" fontId="224" fillId="0" borderId="4"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xf numFmtId="0" fontId="56" fillId="5" borderId="0" xfId="10" applyFont="1" applyFill="1" applyAlignment="1"/>
    <xf numFmtId="0" fontId="99" fillId="5" borderId="0" xfId="10" applyFill="1" applyAlignment="1"/>
    <xf numFmtId="0" fontId="99" fillId="0" borderId="0" xfId="10">
      <alignment vertical="center"/>
    </xf>
    <xf numFmtId="182" fontId="257" fillId="0" borderId="156" xfId="10" applyNumberFormat="1" applyFont="1" applyBorder="1" applyAlignment="1">
      <alignment horizontal="justify" vertical="center" wrapText="1"/>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49" fontId="17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61" fillId="11" borderId="11" xfId="0" applyNumberFormat="1" applyFont="1" applyFill="1" applyBorder="1" applyAlignment="1" applyProtection="1">
      <alignment horizontal="center" vertical="center" wrapText="1"/>
      <protection locked="0"/>
    </xf>
    <xf numFmtId="0" fontId="50" fillId="11" borderId="0" xfId="0" applyFont="1" applyFill="1" applyProtection="1">
      <alignment vertical="center"/>
      <protection locked="0"/>
    </xf>
    <xf numFmtId="0" fontId="49" fillId="11" borderId="0" xfId="0" applyFont="1" applyFill="1" applyAlignment="1" applyProtection="1">
      <alignment vertical="center"/>
      <protection locked="0"/>
    </xf>
    <xf numFmtId="0" fontId="50" fillId="11" borderId="0" xfId="0" applyFont="1" applyFill="1" applyAlignment="1" applyProtection="1">
      <alignment vertical="center"/>
      <protection locked="0"/>
    </xf>
    <xf numFmtId="0" fontId="54" fillId="11" borderId="0" xfId="0" applyFont="1" applyFill="1" applyAlignment="1" applyProtection="1">
      <alignment horizontal="center" vertical="center"/>
      <protection locked="0"/>
    </xf>
    <xf numFmtId="0" fontId="258" fillId="0" borderId="65" xfId="0" applyFont="1" applyBorder="1">
      <alignment vertical="center"/>
    </xf>
    <xf numFmtId="0" fontId="258" fillId="0" borderId="43" xfId="0" applyFont="1" applyBorder="1">
      <alignment vertical="center"/>
    </xf>
    <xf numFmtId="0" fontId="259" fillId="0" borderId="81" xfId="0" applyFont="1" applyBorder="1">
      <alignment vertical="center"/>
    </xf>
    <xf numFmtId="0" fontId="259" fillId="0" borderId="43" xfId="0" applyFont="1" applyBorder="1">
      <alignment vertical="center"/>
    </xf>
    <xf numFmtId="0" fontId="258" fillId="0" borderId="81" xfId="0" applyFont="1" applyBorder="1">
      <alignment vertical="center"/>
    </xf>
    <xf numFmtId="0" fontId="258" fillId="0" borderId="27" xfId="0" applyFont="1" applyBorder="1">
      <alignment vertical="center"/>
    </xf>
    <xf numFmtId="0" fontId="258" fillId="0" borderId="81" xfId="0" applyFont="1" applyBorder="1">
      <alignment vertical="center"/>
    </xf>
    <xf numFmtId="0" fontId="258" fillId="0" borderId="64" xfId="0" applyFont="1" applyBorder="1">
      <alignment vertical="center"/>
    </xf>
    <xf numFmtId="0" fontId="258" fillId="0" borderId="63" xfId="0" applyFont="1" applyBorder="1">
      <alignment vertical="center"/>
    </xf>
    <xf numFmtId="0" fontId="258" fillId="0" borderId="65" xfId="0" applyFont="1" applyBorder="1">
      <alignment vertical="center"/>
    </xf>
    <xf numFmtId="49" fontId="99" fillId="0" borderId="0" xfId="10" applyNumberFormat="1">
      <alignment vertical="center"/>
    </xf>
    <xf numFmtId="49" fontId="260" fillId="0" borderId="157" xfId="10" applyNumberFormat="1" applyFont="1" applyBorder="1" applyAlignment="1">
      <alignment horizontal="justify" vertical="center" wrapText="1"/>
    </xf>
    <xf numFmtId="9" fontId="99" fillId="0" borderId="0" xfId="1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513298</xdr:colOff>
      <xdr:row>40</xdr:row>
      <xdr:rowOff>65892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85825"/>
          <a:ext cx="84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14</xdr:col>
      <xdr:colOff>198801</xdr:colOff>
      <xdr:row>36</xdr:row>
      <xdr:rowOff>85674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48350"/>
          <a:ext cx="9800001" cy="409524"/>
        </a:xfrm>
        <a:prstGeom prst="rect">
          <a:avLst/>
        </a:prstGeom>
      </xdr:spPr>
    </xdr:pic>
    <xdr:clientData/>
  </xdr:twoCellAnchor>
  <xdr:twoCellAnchor editAs="oneCell">
    <xdr:from>
      <xdr:col>0</xdr:col>
      <xdr:colOff>0</xdr:colOff>
      <xdr:row>0</xdr:row>
      <xdr:rowOff>0</xdr:rowOff>
    </xdr:from>
    <xdr:to>
      <xdr:col>11</xdr:col>
      <xdr:colOff>418105</xdr:colOff>
      <xdr:row>10</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61905" cy="1723810"/>
        </a:xfrm>
        <a:prstGeom prst="rect">
          <a:avLst/>
        </a:prstGeom>
      </xdr:spPr>
    </xdr:pic>
    <xdr:clientData/>
  </xdr:twoCellAnchor>
  <xdr:twoCellAnchor editAs="oneCell">
    <xdr:from>
      <xdr:col>0</xdr:col>
      <xdr:colOff>0</xdr:colOff>
      <xdr:row>9</xdr:row>
      <xdr:rowOff>123825</xdr:rowOff>
    </xdr:from>
    <xdr:to>
      <xdr:col>7</xdr:col>
      <xdr:colOff>454269</xdr:colOff>
      <xdr:row>32</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6875"/>
          <a:ext cx="5254869" cy="3876675"/>
        </a:xfrm>
        <a:prstGeom prst="rect">
          <a:avLst/>
        </a:prstGeom>
      </xdr:spPr>
    </xdr:pic>
    <xdr:clientData/>
  </xdr:twoCellAnchor>
  <xdr:twoCellAnchor editAs="oneCell">
    <xdr:from>
      <xdr:col>7</xdr:col>
      <xdr:colOff>475718</xdr:colOff>
      <xdr:row>9</xdr:row>
      <xdr:rowOff>104775</xdr:rowOff>
    </xdr:from>
    <xdr:to>
      <xdr:col>16</xdr:col>
      <xdr:colOff>408624</xdr:colOff>
      <xdr:row>33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5276318" y="1647825"/>
          <a:ext cx="6105106" cy="4171950"/>
        </a:xfrm>
        <a:prstGeom prst="rect">
          <a:avLst/>
        </a:prstGeom>
      </xdr:spPr>
    </xdr:pic>
    <xdr:clientData/>
  </xdr:twoCellAnchor>
  <xdr:twoCellAnchor editAs="oneCell">
    <xdr:from>
      <xdr:col>0</xdr:col>
      <xdr:colOff>38100</xdr:colOff>
      <xdr:row>36</xdr:row>
      <xdr:rowOff>95250</xdr:rowOff>
    </xdr:from>
    <xdr:to>
      <xdr:col>14</xdr:col>
      <xdr:colOff>236901</xdr:colOff>
      <xdr:row>38</xdr:row>
      <xdr:rowOff>152350</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 y="6267450"/>
          <a:ext cx="9800001" cy="400000"/>
        </a:xfrm>
        <a:prstGeom prst="rect">
          <a:avLst/>
        </a:prstGeom>
      </xdr:spPr>
    </xdr:pic>
    <xdr:clientData/>
  </xdr:twoCellAnchor>
  <xdr:twoCellAnchor editAs="oneCell">
    <xdr:from>
      <xdr:col>0</xdr:col>
      <xdr:colOff>0</xdr:colOff>
      <xdr:row>49</xdr:row>
      <xdr:rowOff>38100</xdr:rowOff>
    </xdr:from>
    <xdr:to>
      <xdr:col>14</xdr:col>
      <xdr:colOff>274991</xdr:colOff>
      <xdr:row>53</xdr:row>
      <xdr:rowOff>114205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439150"/>
          <a:ext cx="9876191" cy="761905"/>
        </a:xfrm>
        <a:prstGeom prst="rect">
          <a:avLst/>
        </a:prstGeom>
      </xdr:spPr>
    </xdr:pic>
    <xdr:clientData/>
  </xdr:twoCellAnchor>
  <xdr:twoCellAnchor editAs="oneCell">
    <xdr:from>
      <xdr:col>0</xdr:col>
      <xdr:colOff>0</xdr:colOff>
      <xdr:row>38</xdr:row>
      <xdr:rowOff>0</xdr:rowOff>
    </xdr:from>
    <xdr:to>
      <xdr:col>11</xdr:col>
      <xdr:colOff>627629</xdr:colOff>
      <xdr:row>49</xdr:row>
      <xdr:rowOff>114050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8171429" cy="2000000"/>
        </a:xfrm>
        <a:prstGeom prst="rect">
          <a:avLst/>
        </a:prstGeom>
      </xdr:spPr>
    </xdr:pic>
    <xdr:clientData/>
  </xdr:twoCellAnchor>
  <xdr:twoCellAnchor editAs="oneCell">
    <xdr:from>
      <xdr:col>0</xdr:col>
      <xdr:colOff>1</xdr:colOff>
      <xdr:row>54</xdr:row>
      <xdr:rowOff>0</xdr:rowOff>
    </xdr:from>
    <xdr:to>
      <xdr:col>7</xdr:col>
      <xdr:colOff>666751</xdr:colOff>
      <xdr:row>76</xdr:row>
      <xdr:rowOff>134517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9258300"/>
          <a:ext cx="5467350" cy="3906417"/>
        </a:xfrm>
        <a:prstGeom prst="rect">
          <a:avLst/>
        </a:prstGeom>
      </xdr:spPr>
    </xdr:pic>
    <xdr:clientData/>
  </xdr:twoCellAnchor>
  <xdr:twoCellAnchor editAs="oneCell">
    <xdr:from>
      <xdr:col>7</xdr:col>
      <xdr:colOff>657225</xdr:colOff>
      <xdr:row>53</xdr:row>
      <xdr:rowOff>47626</xdr:rowOff>
    </xdr:from>
    <xdr:to>
      <xdr:col>14</xdr:col>
      <xdr:colOff>637416</xdr:colOff>
      <xdr:row>77</xdr:row>
      <xdr:rowOff>76678</xdr:rowOff>
    </xdr:to>
    <xdr:pic>
      <xdr:nvPicPr>
        <xdr:cNvPr id="10" name="图片 9"/>
        <xdr:cNvPicPr>
          <a:picLocks noChangeAspect="1"/>
        </xdr:cNvPicPr>
      </xdr:nvPicPr>
      <xdr:blipFill>
        <a:blip xmlns:r="http://schemas.openxmlformats.org/officeDocument/2006/relationships" r:embed="rId9"/>
        <a:stretch>
          <a:fillRect/>
        </a:stretch>
      </xdr:blipFill>
      <xdr:spPr>
        <a:xfrm>
          <a:off x="5457825" y="9134476"/>
          <a:ext cx="4780791" cy="4143852"/>
        </a:xfrm>
        <a:prstGeom prst="rect">
          <a:avLst/>
        </a:prstGeom>
      </xdr:spPr>
    </xdr:pic>
    <xdr:clientData/>
  </xdr:twoCellAnchor>
  <xdr:twoCellAnchor editAs="oneCell">
    <xdr:from>
      <xdr:col>1</xdr:col>
      <xdr:colOff>0</xdr:colOff>
      <xdr:row>78</xdr:row>
      <xdr:rowOff>0</xdr:rowOff>
    </xdr:from>
    <xdr:to>
      <xdr:col>12</xdr:col>
      <xdr:colOff>484772</xdr:colOff>
      <xdr:row>89</xdr:row>
      <xdr:rowOff>28336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373100"/>
          <a:ext cx="8028572" cy="1914286"/>
        </a:xfrm>
        <a:prstGeom prst="rect">
          <a:avLst/>
        </a:prstGeom>
      </xdr:spPr>
    </xdr:pic>
    <xdr:clientData/>
  </xdr:twoCellAnchor>
  <xdr:twoCellAnchor editAs="oneCell">
    <xdr:from>
      <xdr:col>1</xdr:col>
      <xdr:colOff>0</xdr:colOff>
      <xdr:row>90</xdr:row>
      <xdr:rowOff>0</xdr:rowOff>
    </xdr:from>
    <xdr:to>
      <xdr:col>15</xdr:col>
      <xdr:colOff>65467</xdr:colOff>
      <xdr:row>93</xdr:row>
      <xdr:rowOff>161841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9666667" cy="676191"/>
        </a:xfrm>
        <a:prstGeom prst="rect">
          <a:avLst/>
        </a:prstGeom>
      </xdr:spPr>
    </xdr:pic>
    <xdr:clientData/>
  </xdr:twoCellAnchor>
  <xdr:twoCellAnchor editAs="oneCell">
    <xdr:from>
      <xdr:col>1</xdr:col>
      <xdr:colOff>0</xdr:colOff>
      <xdr:row>94</xdr:row>
      <xdr:rowOff>0</xdr:rowOff>
    </xdr:from>
    <xdr:to>
      <xdr:col>12</xdr:col>
      <xdr:colOff>246677</xdr:colOff>
      <xdr:row>103</xdr:row>
      <xdr:rowOff>95045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116300"/>
          <a:ext cx="7790477" cy="1638095"/>
        </a:xfrm>
        <a:prstGeom prst="rect">
          <a:avLst/>
        </a:prstGeom>
      </xdr:spPr>
    </xdr:pic>
    <xdr:clientData/>
  </xdr:twoCellAnchor>
  <xdr:twoCellAnchor editAs="oneCell">
    <xdr:from>
      <xdr:col>1</xdr:col>
      <xdr:colOff>0</xdr:colOff>
      <xdr:row>104</xdr:row>
      <xdr:rowOff>0</xdr:rowOff>
    </xdr:from>
    <xdr:to>
      <xdr:col>15</xdr:col>
      <xdr:colOff>17848</xdr:colOff>
      <xdr:row>108</xdr:row>
      <xdr:rowOff>104676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7830800"/>
          <a:ext cx="9619048" cy="790476"/>
        </a:xfrm>
        <a:prstGeom prst="rect">
          <a:avLst/>
        </a:prstGeom>
      </xdr:spPr>
    </xdr:pic>
    <xdr:clientData/>
  </xdr:twoCellAnchor>
  <xdr:twoCellAnchor editAs="oneCell">
    <xdr:from>
      <xdr:col>1</xdr:col>
      <xdr:colOff>0</xdr:colOff>
      <xdr:row>109</xdr:row>
      <xdr:rowOff>0</xdr:rowOff>
    </xdr:from>
    <xdr:to>
      <xdr:col>12</xdr:col>
      <xdr:colOff>627629</xdr:colOff>
      <xdr:row>134</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8171429" cy="4400000"/>
        </a:xfrm>
        <a:prstGeom prst="rect">
          <a:avLst/>
        </a:prstGeom>
      </xdr:spPr>
    </xdr:pic>
    <xdr:clientData/>
  </xdr:twoCellAnchor>
  <xdr:twoCellAnchor editAs="oneCell">
    <xdr:from>
      <xdr:col>1</xdr:col>
      <xdr:colOff>0</xdr:colOff>
      <xdr:row>135</xdr:row>
      <xdr:rowOff>0</xdr:rowOff>
    </xdr:from>
    <xdr:to>
      <xdr:col>11</xdr:col>
      <xdr:colOff>484858</xdr:colOff>
      <xdr:row>167</xdr:row>
      <xdr:rowOff>46934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145750"/>
          <a:ext cx="7342858" cy="5533334"/>
        </a:xfrm>
        <a:prstGeom prst="rect">
          <a:avLst/>
        </a:prstGeom>
      </xdr:spPr>
    </xdr:pic>
    <xdr:clientData/>
  </xdr:twoCellAnchor>
  <xdr:twoCellAnchor editAs="oneCell">
    <xdr:from>
      <xdr:col>0</xdr:col>
      <xdr:colOff>0</xdr:colOff>
      <xdr:row>168</xdr:row>
      <xdr:rowOff>0</xdr:rowOff>
    </xdr:from>
    <xdr:to>
      <xdr:col>11</xdr:col>
      <xdr:colOff>170486</xdr:colOff>
      <xdr:row>191</xdr:row>
      <xdr:rowOff>28079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8803600"/>
          <a:ext cx="7714286" cy="3971429"/>
        </a:xfrm>
        <a:prstGeom prst="rect">
          <a:avLst/>
        </a:prstGeom>
      </xdr:spPr>
    </xdr:pic>
    <xdr:clientData/>
  </xdr:twoCellAnchor>
  <xdr:twoCellAnchor editAs="oneCell">
    <xdr:from>
      <xdr:col>0</xdr:col>
      <xdr:colOff>0</xdr:colOff>
      <xdr:row>192</xdr:row>
      <xdr:rowOff>0</xdr:rowOff>
    </xdr:from>
    <xdr:to>
      <xdr:col>11</xdr:col>
      <xdr:colOff>599058</xdr:colOff>
      <xdr:row>200</xdr:row>
      <xdr:rowOff>123638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918400"/>
          <a:ext cx="8142858" cy="1495238"/>
        </a:xfrm>
        <a:prstGeom prst="rect">
          <a:avLst/>
        </a:prstGeom>
      </xdr:spPr>
    </xdr:pic>
    <xdr:clientData/>
  </xdr:twoCellAnchor>
  <xdr:twoCellAnchor editAs="oneCell">
    <xdr:from>
      <xdr:col>0</xdr:col>
      <xdr:colOff>0</xdr:colOff>
      <xdr:row>201</xdr:row>
      <xdr:rowOff>0</xdr:rowOff>
    </xdr:from>
    <xdr:to>
      <xdr:col>10</xdr:col>
      <xdr:colOff>122953</xdr:colOff>
      <xdr:row>233</xdr:row>
      <xdr:rowOff>65981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4461450"/>
          <a:ext cx="6980953" cy="5552381"/>
        </a:xfrm>
        <a:prstGeom prst="rect">
          <a:avLst/>
        </a:prstGeom>
      </xdr:spPr>
    </xdr:pic>
    <xdr:clientData/>
  </xdr:twoCellAnchor>
  <xdr:twoCellAnchor editAs="oneCell">
    <xdr:from>
      <xdr:col>0</xdr:col>
      <xdr:colOff>0</xdr:colOff>
      <xdr:row>236</xdr:row>
      <xdr:rowOff>0</xdr:rowOff>
    </xdr:from>
    <xdr:to>
      <xdr:col>14</xdr:col>
      <xdr:colOff>608325</xdr:colOff>
      <xdr:row>277</xdr:row>
      <xdr:rowOff>27693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0462200"/>
          <a:ext cx="10209525" cy="7057143"/>
        </a:xfrm>
        <a:prstGeom prst="rect">
          <a:avLst/>
        </a:prstGeom>
      </xdr:spPr>
    </xdr:pic>
    <xdr:clientData/>
  </xdr:twoCellAnchor>
  <xdr:twoCellAnchor editAs="oneCell">
    <xdr:from>
      <xdr:col>0</xdr:col>
      <xdr:colOff>0</xdr:colOff>
      <xdr:row>278</xdr:row>
      <xdr:rowOff>0</xdr:rowOff>
    </xdr:from>
    <xdr:to>
      <xdr:col>12</xdr:col>
      <xdr:colOff>8496</xdr:colOff>
      <xdr:row>313</xdr:row>
      <xdr:rowOff>151631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7663100"/>
          <a:ext cx="8238096"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9044;&#35780;&#24402;&#26723;/2018-1-0122&#28023;&#29632;&#20113;&#32737;/P07DYGJ1-&#24314;&#34892;/&#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3">
          <cell r="A73" t="str">
            <v>交易情况</v>
          </cell>
          <cell r="C73" t="str">
            <v>正常</v>
          </cell>
        </row>
        <row r="75">
          <cell r="B75" t="str">
            <v>用途</v>
          </cell>
          <cell r="C75" t="str">
            <v>办公商业</v>
          </cell>
          <cell r="D75" t="str">
            <v>F1住宅混合公建用地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一般</v>
          </cell>
          <cell r="F119" t="str">
            <v>较差</v>
          </cell>
          <cell r="G119" t="str">
            <v>差</v>
          </cell>
        </row>
        <row r="121">
          <cell r="B121" t="str">
            <v>临街宽度及深度</v>
          </cell>
          <cell r="C121" t="str">
            <v>适宜</v>
          </cell>
          <cell r="D121" t="str">
            <v>较适宜</v>
          </cell>
          <cell r="E121" t="str">
            <v>一般</v>
          </cell>
          <cell r="F121" t="str">
            <v>较差</v>
          </cell>
          <cell r="G121" t="str">
            <v>差</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row>
        <row r="116">
          <cell r="B116" t="str">
            <v>市政基础设施</v>
          </cell>
          <cell r="C116" t="str">
            <v>七通</v>
          </cell>
        </row>
        <row r="118">
          <cell r="B118" t="str">
            <v>房型</v>
          </cell>
        </row>
        <row r="122">
          <cell r="B122" t="str">
            <v>内部装修</v>
          </cell>
          <cell r="C122" t="str">
            <v>精装修</v>
          </cell>
          <cell r="D122" t="str">
            <v>普通装修</v>
          </cell>
          <cell r="E122" t="str">
            <v>非毛坯</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row>
        <row r="95">
          <cell r="B95" t="str">
            <v>是否直接入户</v>
          </cell>
          <cell r="C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北京市大兴区北臧村生物医药基地DX00-0502-0013地块出让国有建设用地使用权及在建建筑物房地产抵押价值预评估</v>
      </c>
    </row>
    <row r="3" spans="1:2" s="1590" customFormat="1">
      <c r="A3" s="1588" t="s">
        <v>1221</v>
      </c>
      <c r="B3" s="1589" t="str">
        <f>'预评函-封皮'!B40</f>
        <v>北京绿地京瑞房地产开发有限公司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受贵公司委托，我公司对北京市大兴区北臧村生物医药基地DX00-0502-0013地块出让国有建设用地使用权及在建建筑物房地产抵押价值进行了预评估。</v>
      </c>
    </row>
    <row r="7" spans="1:2" s="1590" customFormat="1">
      <c r="A7" s="1588" t="s">
        <v>1264</v>
      </c>
      <c r="B7" s="1589" t="str">
        <f>'预评函-1'!A7</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为估价委托人在向中国建设银行股份有限公司北京城建支行办理贷款手续过程中，确定房地产抵押贷款额度提供参考依据而评估房地产抵押价值。</v>
      </c>
    </row>
    <row r="12" spans="1:2" s="1590" customFormat="1">
      <c r="A12" s="1588" t="s">
        <v>1226</v>
      </c>
      <c r="B12" s="1589" t="str">
        <f>'预评函-1'!A15</f>
        <v>2018年5月17日（评估专业人员实地查勘之日）</v>
      </c>
    </row>
    <row r="13" spans="1:2" s="1590" customFormat="1">
      <c r="A13" s="1588" t="s">
        <v>1227</v>
      </c>
      <c r="B13" s="1589" t="str">
        <f>'预评函-1'!A18</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280892</v>
      </c>
    </row>
    <row r="21" spans="1:2" s="1590" customFormat="1">
      <c r="A21" s="1588" t="s">
        <v>1235</v>
      </c>
      <c r="B21" s="1589">
        <f ca="1">'预评函-2'!D7</f>
        <v>15315</v>
      </c>
    </row>
    <row r="22" spans="1:2" s="1590" customFormat="1">
      <c r="A22" s="1588" t="s">
        <v>1236</v>
      </c>
      <c r="B22" s="1589" t="str">
        <f ca="1">'预评函-2'!D6</f>
        <v>贰拾捌亿零捌佰玖拾贰万元整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280892</v>
      </c>
    </row>
    <row r="31" spans="1:2" s="1590" customFormat="1">
      <c r="A31" s="1588" t="s">
        <v>1274</v>
      </c>
      <c r="B31" s="1589">
        <f ca="1">'预评函-2'!D15</f>
        <v>15315</v>
      </c>
    </row>
    <row r="32" spans="1:2" s="1590" customFormat="1">
      <c r="A32" s="1588" t="s">
        <v>1241</v>
      </c>
      <c r="B32" s="1589" t="str">
        <f ca="1">'预评函-2'!D14</f>
        <v>贰拾捌亿零捌佰玖拾贰万元整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北京市大兴区北臧村生物医药基地DX00-0502-0013地块出让国有建设用地使用权及在建建筑物房地产</v>
      </c>
    </row>
    <row r="42" spans="1:2" s="1590" customFormat="1">
      <c r="A42" s="1588" t="s">
        <v>1288</v>
      </c>
      <c r="B42" s="1589" t="str">
        <f>'预评函-3'!B2</f>
        <v>建筑面积</v>
      </c>
    </row>
    <row r="43" spans="1:2" s="1590" customFormat="1">
      <c r="A43" s="1588" t="s">
        <v>1289</v>
      </c>
      <c r="B43" s="1589">
        <f>'预评函-3'!B4</f>
        <v>183405</v>
      </c>
    </row>
    <row r="44" spans="1:2" s="1590" customFormat="1">
      <c r="A44" s="1588" t="s">
        <v>1273</v>
      </c>
      <c r="B44" s="1589" t="str">
        <f>'预评函-3'!C2</f>
        <v>(分摊)土地面积</v>
      </c>
    </row>
    <row r="45" spans="1:2" s="1590" customFormat="1">
      <c r="A45" s="1588" t="s">
        <v>1245</v>
      </c>
      <c r="B45" s="1589">
        <f>'预评函-3'!C4</f>
        <v>43974.38</v>
      </c>
    </row>
    <row r="46" spans="1:2" s="1590" customFormat="1">
      <c r="A46" s="1588" t="s">
        <v>1271</v>
      </c>
      <c r="B46" s="1589" t="str">
        <f>'预评函-3'!D2</f>
        <v>出让国有建设用地使用权价值</v>
      </c>
    </row>
    <row r="47" spans="1:2" s="1590" customFormat="1">
      <c r="A47" s="1588" t="s">
        <v>1246</v>
      </c>
      <c r="B47" s="1589">
        <f ca="1">'预评函-3'!D4</f>
        <v>257297</v>
      </c>
    </row>
    <row r="48" spans="1:2" s="1590" customFormat="1">
      <c r="A48" s="1588" t="s">
        <v>1247</v>
      </c>
      <c r="B48" s="1589">
        <f ca="1">'预评函-3'!E4</f>
        <v>14029</v>
      </c>
    </row>
    <row r="49" spans="1:2" s="1590" customFormat="1">
      <c r="A49" s="1588" t="s">
        <v>1248</v>
      </c>
      <c r="B49" s="1589" t="str">
        <f ca="1">'预评函-3'!D5</f>
        <v>贰拾伍亿柒仟贰佰玖拾柒万元整</v>
      </c>
    </row>
    <row r="50" spans="1:2" s="1590" customFormat="1">
      <c r="A50" s="1588" t="s">
        <v>1272</v>
      </c>
      <c r="B50" s="1589" t="str">
        <f>'预评函-3'!F2</f>
        <v>在建建筑物价值</v>
      </c>
    </row>
    <row r="51" spans="1:2" s="1590" customFormat="1">
      <c r="A51" s="1588" t="s">
        <v>1249</v>
      </c>
      <c r="B51" s="1589">
        <f ca="1">'预评函-3'!F4</f>
        <v>23595</v>
      </c>
    </row>
    <row r="52" spans="1:2" s="1590" customFormat="1">
      <c r="A52" s="1588" t="s">
        <v>1250</v>
      </c>
      <c r="B52" s="1589">
        <f ca="1">'预评函-3'!G4</f>
        <v>1286</v>
      </c>
    </row>
    <row r="53" spans="1:2" s="1590" customFormat="1">
      <c r="A53" s="1588" t="s">
        <v>1278</v>
      </c>
      <c r="B53" s="1589" t="str">
        <f ca="1">'预评函-3'!F5</f>
        <v>贰亿叁仟伍佰玖拾伍万元整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6" sqref="Z3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757</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瑞房地产开发有限公司拟使用北京市大兴区北臧村生物医药基地DX00-0502-0013地块出让国有建设用地使用权及在建建筑物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298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2981"/>
      <c r="B54" s="2019" t="s">
        <v>864</v>
      </c>
      <c r="C54" s="2016" t="s">
        <v>1281</v>
      </c>
    </row>
    <row r="55" spans="1:4">
      <c r="A55" s="2981"/>
      <c r="B55" s="2019" t="s">
        <v>865</v>
      </c>
      <c r="C55" s="2016" t="s">
        <v>1282</v>
      </c>
    </row>
    <row r="56" spans="1:4">
      <c r="A56" s="2981"/>
      <c r="B56" s="2019" t="s">
        <v>866</v>
      </c>
      <c r="C56" s="2016" t="s">
        <v>1286</v>
      </c>
    </row>
    <row r="57" spans="1:4">
      <c r="A57" s="298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1" sqref="H31"/>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1776</v>
      </c>
      <c r="B1" s="2990" t="str">
        <f>IF(B10="北京市","北京市",C10)&amp;F10&amp;IF(结果表!G1="在建","出让国有建设用地使用权及在建建筑物",IF(结果表!G1="土地","出让国有建设用地使用权",))&amp;B9&amp;"预评估"</f>
        <v>北京市大兴区北臧村生物医药基地DX00-0502-0013地块出让国有建设用地使用权及在建建筑物房地产抵押价值预评估</v>
      </c>
      <c r="C1" s="2991"/>
      <c r="D1" s="2991"/>
      <c r="E1" s="2991"/>
      <c r="F1" s="2991"/>
      <c r="G1" s="2991"/>
      <c r="H1" s="2991"/>
      <c r="I1" s="299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北京市大兴区北臧村生物医药基地DX00-0502-0013地块出让国有建设用地使用权及在建建筑物房地产抵押价值</v>
      </c>
    </row>
    <row r="2" spans="1:19" ht="18" customHeight="1">
      <c r="A2" s="2023" t="s">
        <v>1777</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北京市大兴区北臧村生物医药基地DX00-0502-0013地块出让国有建设用地使用权及在建建筑物房地产</v>
      </c>
    </row>
    <row r="3" spans="1:19" ht="18" customHeight="1">
      <c r="A3" s="2032" t="s">
        <v>1778</v>
      </c>
      <c r="B3" s="2033">
        <v>43237</v>
      </c>
      <c r="C3" s="2034" t="s">
        <v>1779</v>
      </c>
      <c r="D3" s="2033">
        <f>B3</f>
        <v>43237</v>
      </c>
      <c r="E3" s="2023"/>
      <c r="F3" s="2023"/>
      <c r="G3" s="2023"/>
      <c r="H3" s="2023"/>
      <c r="I3" s="2023"/>
      <c r="J3" s="2023"/>
      <c r="K3" s="2024"/>
      <c r="L3" s="2025"/>
      <c r="M3" s="2025"/>
      <c r="N3" s="2026"/>
      <c r="O3" s="2027"/>
      <c r="P3" s="2026"/>
      <c r="Q3" s="2026"/>
      <c r="R3" s="2026"/>
      <c r="S3" s="2028"/>
    </row>
    <row r="4" spans="1:19" ht="18" customHeight="1" thickBot="1">
      <c r="A4" s="2035" t="s">
        <v>1780</v>
      </c>
      <c r="B4" s="2036" t="s">
        <v>3032</v>
      </c>
      <c r="C4" s="1034">
        <f ca="1">SUMIF(注册房地产估价师,B4,估价师及机构信息!B3:B24)</f>
        <v>1120000080</v>
      </c>
      <c r="D4" s="2036" t="s">
        <v>3033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1781</v>
      </c>
      <c r="B5" s="3260" t="s">
        <v>3034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1782</v>
      </c>
      <c r="B6" s="3261" t="s">
        <v>3035</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1783</v>
      </c>
      <c r="B7" s="2048" t="str">
        <f>B5</f>
        <v>北京绿地京瑞房地产开发有限公司</v>
      </c>
      <c r="C7" s="2045"/>
      <c r="D7" s="2046"/>
      <c r="E7" s="2031"/>
      <c r="F7" s="2039"/>
      <c r="G7" s="2039"/>
      <c r="H7" s="2039"/>
      <c r="I7" s="2039"/>
      <c r="J7" s="2039"/>
      <c r="K7" s="2049"/>
      <c r="L7" s="2025"/>
      <c r="M7" s="2025"/>
      <c r="N7" s="2026"/>
      <c r="O7" s="2027"/>
      <c r="P7" s="2026"/>
      <c r="Q7" s="2026"/>
      <c r="R7" s="2026"/>
    </row>
    <row r="8" spans="1:19" ht="18" customHeight="1">
      <c r="A8" s="2044" t="s">
        <v>1784</v>
      </c>
      <c r="B8" s="2050" t="s">
        <v>3036</v>
      </c>
      <c r="C8" s="2051"/>
      <c r="D8" s="2993" t="s">
        <v>1785</v>
      </c>
      <c r="E8" s="2052" t="s">
        <v>3037</v>
      </c>
      <c r="F8" s="2053"/>
      <c r="G8" s="2023"/>
      <c r="H8" s="2023"/>
      <c r="I8" s="2023"/>
      <c r="J8" s="2039"/>
      <c r="K8" s="2040"/>
      <c r="L8" s="2025"/>
      <c r="M8" s="2025"/>
      <c r="N8" s="2026"/>
      <c r="O8" s="2027"/>
      <c r="P8" s="2026"/>
      <c r="Q8" s="2026"/>
      <c r="R8" s="2026"/>
    </row>
    <row r="9" spans="1:19" ht="18" customHeight="1" thickBot="1">
      <c r="A9" s="2037" t="s">
        <v>1786</v>
      </c>
      <c r="B9" s="2054" t="s">
        <v>3037</v>
      </c>
      <c r="C9" s="2055"/>
      <c r="D9" s="2994"/>
      <c r="E9" s="2054"/>
      <c r="F9" s="2056"/>
      <c r="G9" s="2057"/>
      <c r="H9" s="2057"/>
      <c r="I9" s="2057"/>
      <c r="J9" s="2039"/>
      <c r="K9" s="2049"/>
      <c r="L9" s="2025"/>
      <c r="M9" s="2025"/>
      <c r="N9" s="2026"/>
      <c r="O9" s="2027"/>
      <c r="P9" s="2026"/>
      <c r="Q9" s="2026"/>
      <c r="R9" s="2026"/>
    </row>
    <row r="10" spans="1:19" ht="18" customHeight="1" thickTop="1">
      <c r="A10" s="2058" t="s">
        <v>1787</v>
      </c>
      <c r="B10" s="2059" t="s">
        <v>3038</v>
      </c>
      <c r="C10" s="2060"/>
      <c r="D10" s="2043"/>
      <c r="E10" s="2061" t="s">
        <v>1788</v>
      </c>
      <c r="F10" s="2062" t="s">
        <v>3039</v>
      </c>
      <c r="G10" s="2063"/>
      <c r="H10" s="2064"/>
      <c r="I10" s="2043"/>
      <c r="J10" s="2039"/>
      <c r="K10" s="2049"/>
      <c r="L10" s="2025"/>
      <c r="M10" s="2025"/>
      <c r="N10" s="2026"/>
      <c r="O10" s="2027"/>
      <c r="P10" s="2026"/>
      <c r="Q10" s="2026"/>
      <c r="R10" s="2026"/>
    </row>
    <row r="11" spans="1:19" ht="18" customHeight="1">
      <c r="A11" s="2065" t="s">
        <v>1789</v>
      </c>
      <c r="B11" s="2066" t="s">
        <v>3040</v>
      </c>
      <c r="C11" s="2067"/>
      <c r="D11" s="2068"/>
      <c r="E11" s="2039"/>
      <c r="F11" s="2039"/>
      <c r="G11" s="2039"/>
      <c r="H11" s="2039"/>
      <c r="I11" s="2039"/>
      <c r="J11" s="2039"/>
      <c r="K11" s="2049"/>
      <c r="L11" s="2025"/>
      <c r="M11" s="2025"/>
      <c r="N11" s="2026"/>
      <c r="O11" s="2027"/>
      <c r="P11" s="2026"/>
      <c r="Q11" s="2026"/>
      <c r="R11" s="2026"/>
    </row>
    <row r="12" spans="1:19" ht="18" customHeight="1">
      <c r="A12" s="2069" t="s">
        <v>1790</v>
      </c>
      <c r="B12" s="2066" t="s">
        <v>3041</v>
      </c>
      <c r="C12" s="2070" t="s">
        <v>1791</v>
      </c>
      <c r="D12" s="2071" t="s">
        <v>1792</v>
      </c>
      <c r="E12" s="2071" t="s">
        <v>1793</v>
      </c>
      <c r="F12" s="2071" t="s">
        <v>1794</v>
      </c>
      <c r="G12" s="2071" t="s">
        <v>1795</v>
      </c>
      <c r="H12" s="2071" t="s">
        <v>1796</v>
      </c>
      <c r="I12" s="2071" t="s">
        <v>1797</v>
      </c>
      <c r="J12" s="2039"/>
      <c r="K12" s="2049"/>
      <c r="L12" s="2025"/>
      <c r="M12" s="2025"/>
      <c r="N12" s="2026"/>
      <c r="O12" s="2027"/>
      <c r="P12" s="2026"/>
      <c r="Q12" s="2026"/>
      <c r="R12" s="2026"/>
    </row>
    <row r="13" spans="1:19" ht="18" customHeight="1">
      <c r="A13" s="2072"/>
      <c r="B13" s="2073"/>
      <c r="C13" s="2074" t="s">
        <v>1798</v>
      </c>
      <c r="D13" s="2075"/>
      <c r="E13" s="3262">
        <v>57066</v>
      </c>
      <c r="F13" s="3262">
        <v>60718</v>
      </c>
      <c r="G13" s="3262">
        <f>F13</f>
        <v>60718</v>
      </c>
      <c r="H13" s="2075"/>
      <c r="I13" s="1044"/>
      <c r="J13" s="2039"/>
      <c r="K13" s="2049"/>
      <c r="L13" s="2025"/>
      <c r="M13" s="2025"/>
      <c r="N13" s="2026"/>
      <c r="O13" s="2027"/>
      <c r="P13" s="2026"/>
      <c r="Q13" s="2026"/>
      <c r="R13" s="2026"/>
    </row>
    <row r="14" spans="1:19" ht="18" customHeight="1">
      <c r="A14" s="2072"/>
      <c r="B14" s="2073"/>
      <c r="C14" s="2074" t="s">
        <v>1799</v>
      </c>
      <c r="D14" s="1047"/>
      <c r="E14" s="1047">
        <v>40</v>
      </c>
      <c r="F14" s="1047">
        <v>50</v>
      </c>
      <c r="G14" s="1047">
        <v>50</v>
      </c>
      <c r="H14" s="1047"/>
      <c r="I14" s="1047"/>
      <c r="J14" s="2039"/>
      <c r="K14" s="2076"/>
      <c r="L14" s="2025"/>
      <c r="M14" s="2025"/>
      <c r="N14" s="2026"/>
      <c r="O14" s="2027"/>
      <c r="P14" s="2026"/>
      <c r="Q14" s="2026"/>
      <c r="R14" s="2026"/>
    </row>
    <row r="15" spans="1:19" ht="18" customHeight="1">
      <c r="A15" s="2058"/>
      <c r="B15" s="2077"/>
      <c r="C15" s="2074" t="s">
        <v>1800</v>
      </c>
      <c r="D15" s="1046" t="str">
        <f>IF(B12="出让",IF(D13="","",ROUNDDOWN(MIN((D13-$D$3)/365,D14),2)),D14)</f>
        <v/>
      </c>
      <c r="E15" s="1046">
        <f>IF(B12="出让",IF(E13="","",ROUNDDOWN(MIN((E13-$D$3)/365,E14),2)),E14)</f>
        <v>37.880000000000003</v>
      </c>
      <c r="F15" s="1046">
        <f>IF(B12="出让",IF(F13="","",ROUNDDOWN(MIN((F13-$D$3)/365,F14),2)),F14)</f>
        <v>47.89</v>
      </c>
      <c r="G15" s="1046">
        <f>IF(B12="出让",IF(G13="","",ROUNDDOWN(MIN((G13-$D$3)/365,G14),2)),G14)</f>
        <v>47.89</v>
      </c>
      <c r="H15" s="1046" t="str">
        <f>IF(B12="出让",IF(H13="","",ROUNDDOWN(MIN((H13-$D$3)/365,H14),2)),H14)</f>
        <v/>
      </c>
      <c r="I15" s="1046" t="str">
        <f>IF(B12="出让",IF(I13="","",ROUNDDOWN(MIN((I13-$D$3)/365,I14),2)),I14)</f>
        <v/>
      </c>
      <c r="J15" s="2039"/>
      <c r="K15" s="2078"/>
      <c r="L15" s="2079"/>
      <c r="M15" s="2079"/>
      <c r="N15" s="2080"/>
      <c r="O15" s="2079"/>
      <c r="P15" s="2080"/>
      <c r="Q15" s="2026"/>
      <c r="R15" s="2026"/>
    </row>
    <row r="16" spans="1:19" ht="30.75" customHeight="1">
      <c r="A16" s="2061" t="s">
        <v>1801</v>
      </c>
      <c r="B16" s="3263" t="s">
        <v>3042</v>
      </c>
      <c r="C16" s="3000"/>
      <c r="D16" s="3001"/>
      <c r="E16" s="2081" t="s">
        <v>1802</v>
      </c>
      <c r="F16" s="3002"/>
      <c r="G16" s="3003"/>
      <c r="H16" s="3003"/>
      <c r="I16" s="3004"/>
      <c r="J16" s="2026"/>
      <c r="K16" s="2078"/>
      <c r="L16" s="2079"/>
      <c r="M16" s="2079"/>
      <c r="N16" s="2080"/>
      <c r="O16" s="2079"/>
      <c r="P16" s="2080"/>
      <c r="Q16" s="2026"/>
      <c r="R16" s="2026"/>
    </row>
    <row r="17" spans="1:22" ht="18" customHeight="1">
      <c r="A17" s="2082" t="s">
        <v>1803</v>
      </c>
      <c r="B17" s="2032" t="s">
        <v>1804</v>
      </c>
      <c r="C17" s="1051">
        <f>'数据-汇总表'!E3</f>
        <v>183405</v>
      </c>
      <c r="D17" s="2083" t="s">
        <v>1805</v>
      </c>
      <c r="E17" s="3264" t="s">
        <v>3043</v>
      </c>
      <c r="F17" s="3005"/>
      <c r="G17" s="3005"/>
      <c r="H17" s="3005"/>
      <c r="I17" s="3006"/>
      <c r="J17" s="2026"/>
      <c r="K17" s="2084"/>
      <c r="L17" s="2079"/>
      <c r="M17" s="2079"/>
      <c r="N17" s="2080"/>
      <c r="O17" s="2079"/>
      <c r="P17" s="2080"/>
      <c r="Q17" s="2026"/>
      <c r="R17" s="2026"/>
      <c r="S17" s="2026"/>
      <c r="T17" s="2026"/>
      <c r="U17" s="2026"/>
      <c r="V17" s="2026"/>
    </row>
    <row r="18" spans="1:22" ht="36" customHeight="1" thickBot="1">
      <c r="A18" s="2085" t="s">
        <v>70</v>
      </c>
      <c r="B18" s="2035" t="s">
        <v>1806</v>
      </c>
      <c r="C18" s="1441">
        <f>'数据-汇总表'!D3</f>
        <v>43974.38</v>
      </c>
      <c r="D18" s="2086" t="s">
        <v>1805</v>
      </c>
      <c r="E18" s="3265" t="s">
        <v>3044</v>
      </c>
      <c r="F18" s="3007"/>
      <c r="G18" s="3007"/>
      <c r="H18" s="3007"/>
      <c r="I18" s="3008"/>
      <c r="J18" s="2026"/>
      <c r="K18" s="2084"/>
      <c r="L18" s="2079"/>
      <c r="M18" s="2079"/>
      <c r="N18" s="2080"/>
      <c r="O18" s="2079"/>
      <c r="P18" s="2080"/>
      <c r="Q18" s="2026"/>
      <c r="R18" s="2026"/>
      <c r="S18" s="2026"/>
      <c r="T18" s="2026"/>
      <c r="U18" s="2026"/>
      <c r="V18" s="2026"/>
    </row>
    <row r="19" spans="1:22" ht="37.5" customHeight="1" thickTop="1" thickBot="1">
      <c r="A19" s="369" t="s">
        <v>1807</v>
      </c>
      <c r="B19" s="348" t="s">
        <v>1808</v>
      </c>
      <c r="C19" s="2087" t="s">
        <v>3045</v>
      </c>
      <c r="D19" s="2088" t="s">
        <v>1809</v>
      </c>
      <c r="E19" s="2089" t="s">
        <v>70</v>
      </c>
      <c r="F19" s="2090" t="str">
        <f>IF(AND(C19="是",E19="否"),"是否提供他项权证或相关说明","")</f>
        <v/>
      </c>
      <c r="G19" s="2091" t="s">
        <v>70</v>
      </c>
      <c r="H19" s="2039"/>
      <c r="I19" s="2039"/>
      <c r="J19" s="2039"/>
      <c r="K19" s="2049"/>
      <c r="L19" s="2025"/>
      <c r="M19" s="2025"/>
      <c r="N19" s="2080"/>
      <c r="O19" s="2079"/>
      <c r="P19" s="2080"/>
      <c r="Q19" s="2026"/>
      <c r="R19" s="2026"/>
      <c r="S19" s="2026"/>
      <c r="T19" s="2026"/>
      <c r="U19" s="2026"/>
      <c r="V19" s="2026"/>
    </row>
    <row r="20" spans="1:22" ht="18" customHeight="1">
      <c r="A20" s="2092" t="s">
        <v>1810</v>
      </c>
      <c r="B20" s="2996" t="s">
        <v>1811</v>
      </c>
      <c r="C20" s="2997"/>
      <c r="D20" s="2998" t="s">
        <v>1812</v>
      </c>
      <c r="E20" s="2999"/>
      <c r="F20" s="2093" t="s">
        <v>1813</v>
      </c>
      <c r="G20" s="2039"/>
      <c r="H20" s="2039"/>
      <c r="I20" s="2039"/>
      <c r="J20" s="2039"/>
      <c r="K20" s="2995" t="s">
        <v>1814</v>
      </c>
      <c r="L20" s="74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5"/>
      <c r="N20" s="2080"/>
      <c r="O20" s="2079"/>
      <c r="P20" s="2080"/>
      <c r="Q20" s="2026"/>
      <c r="R20" s="2026"/>
      <c r="S20" s="2026"/>
      <c r="T20" s="2026"/>
      <c r="U20" s="2026"/>
      <c r="V20" s="2026"/>
    </row>
    <row r="21" spans="1:22" ht="24.75" customHeight="1">
      <c r="A21" s="2092"/>
      <c r="B21" s="2094" t="s">
        <v>3046</v>
      </c>
      <c r="C21" s="2095" t="s">
        <v>3047</v>
      </c>
      <c r="D21" s="2096"/>
      <c r="E21" s="2097"/>
      <c r="F21" s="2098"/>
      <c r="G21" s="2039"/>
      <c r="H21" s="2039"/>
      <c r="I21" s="2039"/>
      <c r="J21" s="2039"/>
      <c r="K21" s="2995"/>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c r="C22" s="2095"/>
      <c r="D22" s="2023"/>
      <c r="E22" s="2023"/>
      <c r="F22" s="2100"/>
      <c r="G22" s="2039"/>
      <c r="H22" s="2039"/>
      <c r="I22" s="2039"/>
      <c r="J22" s="2039"/>
      <c r="K22" s="2995"/>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1815</v>
      </c>
      <c r="B23" s="179" t="s">
        <v>1816</v>
      </c>
      <c r="C23" s="2102"/>
      <c r="D23" s="2103" t="s">
        <v>1816</v>
      </c>
      <c r="E23" s="2104"/>
      <c r="F23" s="2100"/>
      <c r="G23" s="2039"/>
      <c r="H23" s="2039"/>
      <c r="I23" s="2039"/>
      <c r="J23" s="2039"/>
      <c r="K23" s="2105"/>
      <c r="L23" s="742"/>
      <c r="M23" s="2025"/>
      <c r="N23" s="2080"/>
      <c r="O23" s="2079"/>
      <c r="P23" s="2080"/>
      <c r="Q23" s="2026"/>
      <c r="R23" s="2026"/>
      <c r="S23" s="2026"/>
      <c r="T23" s="2026"/>
      <c r="U23" s="2026"/>
      <c r="V23" s="2026"/>
    </row>
    <row r="24" spans="1:22" ht="18" customHeight="1">
      <c r="A24" s="2106"/>
      <c r="B24" s="179" t="s">
        <v>1817</v>
      </c>
      <c r="C24" s="2107"/>
      <c r="D24" s="2101" t="s">
        <v>1817</v>
      </c>
      <c r="E24" s="2108"/>
      <c r="F24" s="2100"/>
      <c r="G24" s="2039"/>
      <c r="H24" s="2039"/>
      <c r="I24" s="2039"/>
      <c r="J24" s="2039"/>
      <c r="K24" s="2105"/>
      <c r="L24" s="742"/>
      <c r="M24" s="2025"/>
      <c r="N24" s="2080"/>
      <c r="O24" s="2079"/>
      <c r="P24" s="2080"/>
      <c r="Q24" s="2026"/>
      <c r="R24" s="2026"/>
      <c r="S24" s="2026"/>
      <c r="T24" s="2026"/>
      <c r="U24" s="2026"/>
      <c r="V24" s="2026"/>
    </row>
    <row r="25" spans="1:22" ht="18" customHeight="1">
      <c r="A25" s="2106"/>
      <c r="B25" s="179" t="s">
        <v>1818</v>
      </c>
      <c r="C25" s="2107"/>
      <c r="D25" s="2101" t="s">
        <v>1818</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1819</v>
      </c>
      <c r="C26" s="2111"/>
      <c r="D26" s="2112" t="s">
        <v>1820</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2983" t="s">
        <v>1821</v>
      </c>
      <c r="B27" s="2058" t="s">
        <v>1822</v>
      </c>
      <c r="C27" s="2115" t="s">
        <v>3048</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2983"/>
      <c r="B28" s="2032" t="s">
        <v>1823</v>
      </c>
      <c r="C28" s="2117" t="s">
        <v>3049</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2983"/>
      <c r="B29" s="2032" t="s">
        <v>1824</v>
      </c>
      <c r="C29" s="2120" t="s">
        <v>3050</v>
      </c>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2984"/>
      <c r="B30" s="2032" t="s">
        <v>1825</v>
      </c>
      <c r="C30" s="2985"/>
      <c r="D30" s="2986"/>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2987" t="s">
        <v>1826</v>
      </c>
      <c r="B31" s="2122" t="s">
        <v>3051</v>
      </c>
      <c r="C31" s="2123" t="str">
        <f>IF(B31="现房","成新及维护状况正常否",IF(B31="在建","工程状态是否正常",IF(B31="土地","是否闲置","-")))</f>
        <v>工程状态是否正常</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2988"/>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2988"/>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9" t="s">
        <v>3052</v>
      </c>
      <c r="C34" s="2129" t="s">
        <v>3053</v>
      </c>
      <c r="D34" s="2129" t="s">
        <v>3054</v>
      </c>
      <c r="E34" s="2129" t="s">
        <v>3055</v>
      </c>
      <c r="F34" s="2129" t="s">
        <v>3056</v>
      </c>
      <c r="G34" s="2129"/>
      <c r="H34" s="2129"/>
      <c r="I34" s="2039"/>
      <c r="J34" s="2039"/>
      <c r="K34" s="1792">
        <f>COUNTIF(B34:H34,"——")</f>
        <v>0</v>
      </c>
      <c r="L34" s="2070" t="s">
        <v>1828</v>
      </c>
      <c r="M34" s="2070" t="s">
        <v>1829</v>
      </c>
      <c r="N34" s="2070" t="s">
        <v>1830</v>
      </c>
      <c r="O34" s="2070" t="s">
        <v>1831</v>
      </c>
      <c r="P34" s="2070" t="s">
        <v>1832</v>
      </c>
      <c r="Q34" s="2070" t="s">
        <v>1833</v>
      </c>
      <c r="R34" s="2070" t="s">
        <v>1834</v>
      </c>
      <c r="S34" s="2982" t="s">
        <v>1835</v>
      </c>
      <c r="T34" s="2130" t="str">
        <f>NUMBERSTRING(7-K34,1)&amp;"通"</f>
        <v>七通</v>
      </c>
      <c r="U34" s="2026"/>
      <c r="V34" s="2026"/>
    </row>
    <row r="35" spans="1:22" ht="18" customHeight="1">
      <c r="A35" s="2131"/>
      <c r="B35" s="2989" t="s">
        <v>1836</v>
      </c>
      <c r="C35" s="2989"/>
      <c r="D35" s="2989"/>
      <c r="E35" s="2989"/>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82"/>
      <c r="T35" s="48" t="str">
        <f>IF(T34="一通",L35,IF(T34="二通",M35,IF(T34="三通",N35,IF(T34="四通",O35,IF(T34="五通",P35,IF(T34="六通",Q35,R35))))))</f>
        <v>通路、通电、通讯、通上水、通下水、、</v>
      </c>
      <c r="U35" s="2026"/>
      <c r="V35" s="2026"/>
    </row>
    <row r="36" spans="1:22" ht="18" customHeight="1">
      <c r="A36" s="2133"/>
      <c r="B36" s="2132" t="s">
        <v>1837</v>
      </c>
      <c r="C36" s="2132" t="s">
        <v>1838</v>
      </c>
      <c r="D36" s="2132" t="s">
        <v>1839</v>
      </c>
      <c r="E36" s="2132" t="s">
        <v>1840</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1841</v>
      </c>
      <c r="B37" s="2136" t="s">
        <v>530</v>
      </c>
      <c r="C37" s="2136" t="s">
        <v>530</v>
      </c>
      <c r="D37" s="2136"/>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1842</v>
      </c>
      <c r="B38" s="2138" t="s">
        <v>3057</v>
      </c>
      <c r="C38" s="2138" t="s">
        <v>3057</v>
      </c>
      <c r="D38" s="2138"/>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2"/>
      <c r="L40" s="2079"/>
      <c r="M40" s="2079"/>
      <c r="N40" s="2080"/>
      <c r="O40" s="2079"/>
      <c r="P40" s="2026"/>
      <c r="Q40" s="2026"/>
      <c r="R40" s="2026"/>
      <c r="S40" s="2026"/>
      <c r="T40" s="2026"/>
      <c r="U40" s="2026"/>
      <c r="V40" s="2026"/>
    </row>
    <row r="41" spans="1:22" ht="18" customHeight="1">
      <c r="A41" s="8" t="s">
        <v>1844</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1845</v>
      </c>
      <c r="B42" s="1792" t="s">
        <v>1846</v>
      </c>
      <c r="C42" s="1792" t="s">
        <v>1847</v>
      </c>
      <c r="D42" s="1792" t="s">
        <v>1848</v>
      </c>
      <c r="E42" s="1792" t="s">
        <v>1849</v>
      </c>
      <c r="F42" s="1792" t="s">
        <v>1850</v>
      </c>
      <c r="G42" s="1792" t="s">
        <v>1851</v>
      </c>
      <c r="H42" s="1792" t="s">
        <v>1852</v>
      </c>
      <c r="I42" s="1792" t="s">
        <v>1853</v>
      </c>
      <c r="J42" s="2148" t="s">
        <v>1854</v>
      </c>
      <c r="K42" s="2071" t="s">
        <v>1855</v>
      </c>
      <c r="L42" s="2071" t="s">
        <v>1856</v>
      </c>
      <c r="M42" s="2071" t="s">
        <v>1857</v>
      </c>
      <c r="N42" s="1792" t="s">
        <v>1858</v>
      </c>
      <c r="O42" s="1792" t="s">
        <v>1859</v>
      </c>
      <c r="P42" s="1792" t="s">
        <v>1860</v>
      </c>
      <c r="Q42" s="2070" t="s">
        <v>1861</v>
      </c>
      <c r="R42" s="2070" t="s">
        <v>1862</v>
      </c>
      <c r="S42" s="2026"/>
      <c r="T42" s="2026"/>
      <c r="U42" s="2026"/>
      <c r="V42" s="2026"/>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1868</v>
      </c>
      <c r="AZ2" s="1267"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47919.256000000001</v>
      </c>
      <c r="B3" s="14">
        <f>IF(C3="否",G5-AT5,G5)</f>
        <v>199858</v>
      </c>
      <c r="C3" s="2164" t="s">
        <v>3045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0"/>
      <c r="C5" s="1800"/>
      <c r="D5" s="1803"/>
      <c r="E5" s="16" t="s">
        <v>1</v>
      </c>
      <c r="F5" s="16">
        <f>SUM(F13:F587)</f>
        <v>0</v>
      </c>
      <c r="G5" s="16">
        <f>SUM(G13:G587)</f>
        <v>199858</v>
      </c>
      <c r="H5" s="16">
        <f t="shared" ref="H5:AT5" si="0">SUM(H13:H656)</f>
        <v>178636</v>
      </c>
      <c r="I5" s="16">
        <f t="shared" si="0"/>
        <v>2174.23</v>
      </c>
      <c r="J5" s="16">
        <f t="shared" si="0"/>
        <v>0</v>
      </c>
      <c r="K5" s="16">
        <f t="shared" si="0"/>
        <v>8788.74</v>
      </c>
      <c r="L5" s="16">
        <f t="shared" si="0"/>
        <v>0</v>
      </c>
      <c r="M5" s="16">
        <f t="shared" si="0"/>
        <v>132544.03000000003</v>
      </c>
      <c r="N5" s="16">
        <f t="shared" si="0"/>
        <v>0</v>
      </c>
      <c r="O5" s="16">
        <f t="shared" si="0"/>
        <v>35129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4669</v>
      </c>
      <c r="AO5" s="16">
        <f t="shared" si="0"/>
        <v>0</v>
      </c>
      <c r="AP5" s="16">
        <f t="shared" si="0"/>
        <v>0</v>
      </c>
      <c r="AQ5" s="16">
        <f t="shared" si="0"/>
        <v>0</v>
      </c>
      <c r="AR5" s="16">
        <f t="shared" si="0"/>
        <v>0</v>
      </c>
      <c r="AS5" s="16">
        <f t="shared" si="0"/>
        <v>0</v>
      </c>
      <c r="AT5" s="16">
        <f t="shared" si="0"/>
        <v>16453</v>
      </c>
      <c r="AU5" s="1799"/>
      <c r="AV5" s="15" t="s">
        <v>1871</v>
      </c>
      <c r="AW5" s="1800"/>
      <c r="AX5" s="1800"/>
      <c r="AY5" s="17" t="s">
        <v>3</v>
      </c>
      <c r="AZ5" s="18">
        <f t="shared" ref="AZ5:BT5" si="1">SUM(AZ13:AZ656)</f>
        <v>183405</v>
      </c>
      <c r="BA5" s="18">
        <f t="shared" si="1"/>
        <v>178636</v>
      </c>
      <c r="BB5" s="18">
        <f t="shared" si="1"/>
        <v>2174.23</v>
      </c>
      <c r="BC5" s="18">
        <f t="shared" si="1"/>
        <v>8788.74</v>
      </c>
      <c r="BD5" s="18">
        <f t="shared" si="1"/>
        <v>132544.03000000003</v>
      </c>
      <c r="BE5" s="18">
        <f t="shared" si="1"/>
        <v>35129</v>
      </c>
      <c r="BF5" s="18">
        <f t="shared" si="1"/>
        <v>0</v>
      </c>
      <c r="BG5" s="18">
        <f t="shared" si="1"/>
        <v>0</v>
      </c>
      <c r="BH5" s="18">
        <f t="shared" si="1"/>
        <v>0</v>
      </c>
      <c r="BI5" s="18">
        <f t="shared" si="1"/>
        <v>0</v>
      </c>
      <c r="BJ5" s="18">
        <f t="shared" si="1"/>
        <v>0</v>
      </c>
      <c r="BK5" s="18">
        <f t="shared" si="1"/>
        <v>0</v>
      </c>
      <c r="BL5" s="18">
        <f t="shared" si="1"/>
        <v>4769</v>
      </c>
      <c r="BM5" s="18">
        <f t="shared" si="1"/>
        <v>0</v>
      </c>
      <c r="BN5" s="18">
        <f t="shared" si="1"/>
        <v>0</v>
      </c>
      <c r="BO5" s="18">
        <f t="shared" si="1"/>
        <v>0</v>
      </c>
      <c r="BP5" s="18">
        <f t="shared" si="1"/>
        <v>0</v>
      </c>
      <c r="BQ5" s="18">
        <f t="shared" si="1"/>
        <v>100</v>
      </c>
      <c r="BR5" s="18">
        <f t="shared" si="1"/>
        <v>4669</v>
      </c>
      <c r="BS5" s="18">
        <f t="shared" si="1"/>
        <v>0</v>
      </c>
      <c r="BT5" s="19">
        <f t="shared" si="1"/>
        <v>0</v>
      </c>
    </row>
    <row r="6" spans="1:72" s="2173" customFormat="1" ht="12.75">
      <c r="A6" s="15" t="s">
        <v>1872</v>
      </c>
      <c r="B6" s="2170"/>
      <c r="C6" s="2170"/>
      <c r="D6" s="2171"/>
      <c r="E6" s="16">
        <f>H6+AC6+AT6</f>
        <v>47919.27</v>
      </c>
      <c r="F6" s="16" t="s">
        <v>1</v>
      </c>
      <c r="G6" s="16" t="s">
        <v>2</v>
      </c>
      <c r="H6" s="20">
        <f>SUMIF(I$12:AB$12,"总值",I6:AB6)</f>
        <v>42830.94</v>
      </c>
      <c r="I6" s="16">
        <f t="shared" ref="I6:AB6" si="2">ROUND($A$3*I5/$B$3,2)</f>
        <v>521.30999999999995</v>
      </c>
      <c r="J6" s="16">
        <f t="shared" si="2"/>
        <v>0</v>
      </c>
      <c r="K6" s="16">
        <f t="shared" si="2"/>
        <v>2107.25</v>
      </c>
      <c r="L6" s="16">
        <f t="shared" si="2"/>
        <v>0</v>
      </c>
      <c r="M6" s="16">
        <f t="shared" si="2"/>
        <v>31779.62</v>
      </c>
      <c r="N6" s="16">
        <f t="shared" si="2"/>
        <v>0</v>
      </c>
      <c r="O6" s="16">
        <f t="shared" si="2"/>
        <v>8422.76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1143.45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23.98</v>
      </c>
      <c r="AM6" s="16">
        <f t="shared" si="3"/>
        <v>0</v>
      </c>
      <c r="AN6" s="16">
        <f t="shared" si="3"/>
        <v>1119.47</v>
      </c>
      <c r="AO6" s="16">
        <f t="shared" si="3"/>
        <v>0</v>
      </c>
      <c r="AP6" s="16">
        <f t="shared" si="3"/>
        <v>0</v>
      </c>
      <c r="AQ6" s="16">
        <f t="shared" si="3"/>
        <v>0</v>
      </c>
      <c r="AR6" s="16">
        <f t="shared" si="3"/>
        <v>0</v>
      </c>
      <c r="AS6" s="16">
        <f t="shared" si="3"/>
        <v>0</v>
      </c>
      <c r="AT6" s="20">
        <f>IF(C3="是",ROUND($A$3*AT5/$B$3,2),0)</f>
        <v>3944.88</v>
      </c>
      <c r="AU6" s="2172"/>
      <c r="AV6" s="15" t="s">
        <v>1872</v>
      </c>
      <c r="AW6" s="2170"/>
      <c r="AX6" s="2170"/>
      <c r="AY6" s="21">
        <f>IF(AY3&gt;0,AY3,ROUND($A$3*AZ5/$B$3,2))</f>
        <v>43974.38</v>
      </c>
      <c r="AZ6" s="16" t="s">
        <v>3</v>
      </c>
      <c r="BA6" s="16">
        <f>ROUND($AY$6*BA5/$AZ$5,2)</f>
        <v>42830.93</v>
      </c>
      <c r="BB6" s="16">
        <f>ROUND($AY$6*BB5/$AZ$5,2)</f>
        <v>521.30999999999995</v>
      </c>
      <c r="BC6" s="16">
        <f t="shared" ref="BC6:BH6" si="4">ROUND($AY$6*BC5/$AZ$5,2)</f>
        <v>2107.25</v>
      </c>
      <c r="BD6" s="16">
        <f t="shared" si="4"/>
        <v>31779.62</v>
      </c>
      <c r="BE6" s="16">
        <f t="shared" si="4"/>
        <v>8422.76</v>
      </c>
      <c r="BF6" s="16">
        <f t="shared" si="4"/>
        <v>0</v>
      </c>
      <c r="BG6" s="16">
        <f t="shared" si="4"/>
        <v>0</v>
      </c>
      <c r="BH6" s="16">
        <f t="shared" si="4"/>
        <v>0</v>
      </c>
      <c r="BI6" s="16">
        <f t="shared" ref="BI6:BT6" si="5">ROUND($AY$6*BI5/$AZ$5,2)</f>
        <v>0</v>
      </c>
      <c r="BJ6" s="16">
        <f t="shared" si="5"/>
        <v>0</v>
      </c>
      <c r="BK6" s="16">
        <f t="shared" si="5"/>
        <v>0</v>
      </c>
      <c r="BL6" s="16">
        <f t="shared" si="5"/>
        <v>1143.45</v>
      </c>
      <c r="BM6" s="16">
        <f t="shared" si="5"/>
        <v>0</v>
      </c>
      <c r="BN6" s="16">
        <f t="shared" si="5"/>
        <v>0</v>
      </c>
      <c r="BO6" s="16">
        <f t="shared" si="5"/>
        <v>0</v>
      </c>
      <c r="BP6" s="16">
        <f t="shared" si="5"/>
        <v>0</v>
      </c>
      <c r="BQ6" s="16">
        <f t="shared" si="5"/>
        <v>23.98</v>
      </c>
      <c r="BR6" s="16">
        <f t="shared" si="5"/>
        <v>1119.47</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1880</v>
      </c>
      <c r="AV7" s="23" t="s">
        <v>1881</v>
      </c>
      <c r="AW7" s="2162" t="s">
        <v>1882</v>
      </c>
      <c r="AX7" s="23" t="s">
        <v>1875</v>
      </c>
      <c r="AY7" s="1800"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5"/>
      <c r="K8" s="1815"/>
      <c r="L8" s="1815"/>
      <c r="M8" s="1815"/>
      <c r="N8" s="1815"/>
      <c r="O8" s="1815"/>
      <c r="P8" s="1815"/>
      <c r="Q8" s="1815"/>
      <c r="R8" s="1815"/>
      <c r="S8" s="1815"/>
      <c r="T8" s="1815"/>
      <c r="U8" s="1815"/>
      <c r="V8" s="2182"/>
      <c r="W8" s="1815"/>
      <c r="X8" s="1815"/>
      <c r="Y8" s="1815"/>
      <c r="Z8" s="1815"/>
      <c r="AA8" s="2182"/>
      <c r="AB8" s="2183"/>
      <c r="AC8" s="978" t="s">
        <v>1886</v>
      </c>
      <c r="AD8" s="2184"/>
      <c r="AE8" s="2176"/>
      <c r="AF8" s="1815"/>
      <c r="AG8" s="1815"/>
      <c r="AH8" s="1815"/>
      <c r="AI8" s="1815"/>
      <c r="AJ8" s="1815"/>
      <c r="AK8" s="1815"/>
      <c r="AL8" s="1815"/>
      <c r="AM8" s="1815"/>
      <c r="AN8" s="1815"/>
      <c r="AO8" s="1815"/>
      <c r="AP8" s="1815"/>
      <c r="AQ8" s="1815"/>
      <c r="AR8" s="1815"/>
      <c r="AS8" s="1815"/>
      <c r="AT8" s="1289" t="s">
        <v>1887</v>
      </c>
      <c r="AU8" s="2178" t="s">
        <v>1888</v>
      </c>
      <c r="AV8" s="1289"/>
      <c r="AW8" s="2161"/>
      <c r="AX8" s="1289"/>
      <c r="AY8" s="2162"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89"/>
      <c r="H9" s="2186" t="s">
        <v>1891</v>
      </c>
      <c r="I9" s="2187" t="s">
        <v>3066</v>
      </c>
      <c r="J9" s="978"/>
      <c r="K9" s="3266" t="s">
        <v>3066</v>
      </c>
      <c r="L9" s="978"/>
      <c r="M9" s="3266" t="s">
        <v>3066</v>
      </c>
      <c r="N9" s="978"/>
      <c r="O9" s="2187" t="s">
        <v>3070</v>
      </c>
      <c r="P9" s="978"/>
      <c r="Q9" s="2187"/>
      <c r="R9" s="978"/>
      <c r="S9" s="2187"/>
      <c r="T9" s="978"/>
      <c r="U9" s="2187"/>
      <c r="V9" s="978"/>
      <c r="W9" s="2187"/>
      <c r="X9" s="2188"/>
      <c r="Y9" s="2187"/>
      <c r="Z9" s="978"/>
      <c r="AA9" s="2187"/>
      <c r="AB9" s="978"/>
      <c r="AC9" s="2179"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9"/>
      <c r="AT9" s="2178"/>
      <c r="AU9" s="2178" t="s">
        <v>1894</v>
      </c>
      <c r="AV9" s="1289"/>
      <c r="AW9" s="2161"/>
      <c r="AX9" s="1289"/>
      <c r="AY9" s="28"/>
      <c r="AZ9" s="28" t="s">
        <v>1884</v>
      </c>
      <c r="BA9" s="2190" t="s">
        <v>1895</v>
      </c>
      <c r="BB9" s="2191"/>
      <c r="BC9" s="1335"/>
      <c r="BD9" s="1335"/>
      <c r="BE9" s="1335"/>
      <c r="BF9" s="1335"/>
      <c r="BG9" s="1335"/>
      <c r="BH9" s="1335"/>
      <c r="BI9" s="1335"/>
      <c r="BJ9" s="1335"/>
      <c r="BK9" s="2192"/>
      <c r="BL9" s="15" t="s">
        <v>1896</v>
      </c>
      <c r="BM9" s="1815"/>
      <c r="BN9" s="2181"/>
      <c r="BO9" s="1815"/>
      <c r="BP9" s="1815"/>
      <c r="BQ9" s="1815"/>
      <c r="BR9" s="1815"/>
      <c r="BS9" s="1815"/>
      <c r="BT9" s="26"/>
    </row>
    <row r="10" spans="1:72" s="2185" customFormat="1" ht="12.75">
      <c r="A10" s="2178"/>
      <c r="B10" s="2178"/>
      <c r="C10" s="2178"/>
      <c r="D10" s="2178"/>
      <c r="E10" s="2178"/>
      <c r="F10" s="2178"/>
      <c r="G10" s="1289"/>
      <c r="H10" s="28"/>
      <c r="I10" s="2187" t="s">
        <v>1377</v>
      </c>
      <c r="J10" s="978"/>
      <c r="K10" s="3267" t="s">
        <v>1377</v>
      </c>
      <c r="L10" s="978"/>
      <c r="M10" s="3267" t="s">
        <v>27</v>
      </c>
      <c r="N10" s="978"/>
      <c r="O10" s="2193" t="s">
        <v>3071</v>
      </c>
      <c r="P10" s="978"/>
      <c r="Q10" s="2193"/>
      <c r="R10" s="978"/>
      <c r="S10" s="2193"/>
      <c r="T10" s="978"/>
      <c r="U10" s="2193"/>
      <c r="V10" s="978"/>
      <c r="W10" s="2193"/>
      <c r="X10" s="978"/>
      <c r="Y10" s="2193"/>
      <c r="Z10" s="978"/>
      <c r="AA10" s="2193"/>
      <c r="AB10" s="978"/>
      <c r="AC10" s="1289"/>
      <c r="AD10" s="15" t="s">
        <v>1897</v>
      </c>
      <c r="AE10" s="2194"/>
      <c r="AF10" s="15" t="s">
        <v>1897</v>
      </c>
      <c r="AG10" s="2194"/>
      <c r="AH10" s="15" t="s">
        <v>1898</v>
      </c>
      <c r="AI10" s="2194"/>
      <c r="AJ10" s="15" t="s">
        <v>1898</v>
      </c>
      <c r="AK10" s="2194"/>
      <c r="AL10" s="15" t="s">
        <v>1899</v>
      </c>
      <c r="AM10" s="1295"/>
      <c r="AN10" s="15" t="s">
        <v>1899</v>
      </c>
      <c r="AO10" s="1295"/>
      <c r="AP10" s="15" t="s">
        <v>1900</v>
      </c>
      <c r="AQ10" s="1295"/>
      <c r="AR10" s="15" t="s">
        <v>1900</v>
      </c>
      <c r="AS10" s="1295"/>
      <c r="AT10" s="2178"/>
      <c r="AU10" s="2178"/>
      <c r="AV10" s="1289"/>
      <c r="AW10" s="2161"/>
      <c r="AX10" s="1289"/>
      <c r="AY10" s="28"/>
      <c r="AZ10" s="28"/>
      <c r="BA10" s="2195" t="s">
        <v>1891</v>
      </c>
      <c r="BB10" s="219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89"/>
      <c r="H11" s="2195"/>
      <c r="I11" s="2198" t="s">
        <v>3067</v>
      </c>
      <c r="J11" s="2199"/>
      <c r="K11" s="3268" t="s">
        <v>3068</v>
      </c>
      <c r="L11" s="2199"/>
      <c r="M11" s="2198" t="s">
        <v>3069</v>
      </c>
      <c r="N11" s="2199"/>
      <c r="O11" s="2198" t="s">
        <v>3072</v>
      </c>
      <c r="P11" s="2199"/>
      <c r="Q11" s="2198"/>
      <c r="R11" s="2199"/>
      <c r="S11" s="2198"/>
      <c r="T11" s="2199"/>
      <c r="U11" s="2198"/>
      <c r="V11" s="2199"/>
      <c r="W11" s="2198"/>
      <c r="X11" s="2199"/>
      <c r="Y11" s="2198"/>
      <c r="Z11" s="2199"/>
      <c r="AA11" s="2198"/>
      <c r="AB11" s="2199"/>
      <c r="AC11" s="1289"/>
      <c r="AD11" s="2200" t="s">
        <v>1901</v>
      </c>
      <c r="AE11" s="1816"/>
      <c r="AF11" s="2200" t="s">
        <v>1901</v>
      </c>
      <c r="AG11" s="1816"/>
      <c r="AH11" s="2200" t="s">
        <v>1902</v>
      </c>
      <c r="AI11" s="2201"/>
      <c r="AJ11" s="2200" t="s">
        <v>1902</v>
      </c>
      <c r="AK11" s="1816"/>
      <c r="AL11" s="1814"/>
      <c r="AM11" s="1816"/>
      <c r="AN11" s="1814"/>
      <c r="AO11" s="1816"/>
      <c r="AP11" s="1814"/>
      <c r="AQ11" s="1816"/>
      <c r="AR11" s="1814"/>
      <c r="AS11" s="1816"/>
      <c r="AT11" s="2161"/>
      <c r="AU11" s="2178"/>
      <c r="AV11" s="1289"/>
      <c r="AW11" s="2161"/>
      <c r="AX11" s="1289"/>
      <c r="AY11" s="28"/>
      <c r="AZ11" s="28"/>
      <c r="BA11" s="28"/>
      <c r="BB11" s="2183" t="str">
        <f>I10</f>
        <v>商业</v>
      </c>
      <c r="BC11" s="2183" t="str">
        <f>K10</f>
        <v>商业</v>
      </c>
      <c r="BD11" s="2183" t="str">
        <f>M10</f>
        <v>办公</v>
      </c>
      <c r="BE11" s="2183" t="str">
        <f>O10</f>
        <v>车库—办公</v>
      </c>
      <c r="BF11" s="2183">
        <f>Q10</f>
        <v>0</v>
      </c>
      <c r="BG11" s="2183">
        <f>S10</f>
        <v>0</v>
      </c>
      <c r="BH11" s="2183">
        <f>U10</f>
        <v>0</v>
      </c>
      <c r="BI11" s="2183">
        <f>W10</f>
        <v>0</v>
      </c>
      <c r="BJ11" s="2183">
        <f>Y10</f>
        <v>0</v>
      </c>
      <c r="BK11" s="2183">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5"/>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独立商业</v>
      </c>
      <c r="BC12" s="2208" t="str">
        <f>K11</f>
        <v>底商</v>
      </c>
      <c r="BD12" s="2208" t="str">
        <f>M11</f>
        <v>办公楼</v>
      </c>
      <c r="BE12" s="2183" t="str">
        <f>O11</f>
        <v>车库</v>
      </c>
      <c r="BF12" s="2183">
        <f>Q11</f>
        <v>0</v>
      </c>
      <c r="BG12" s="2183">
        <f>S11</f>
        <v>0</v>
      </c>
      <c r="BH12" s="2183">
        <f>U11</f>
        <v>0</v>
      </c>
      <c r="BI12" s="2183">
        <f>W11</f>
        <v>0</v>
      </c>
      <c r="BJ12" s="2183">
        <f>Y11</f>
        <v>0</v>
      </c>
      <c r="BK12" s="2183">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t="s">
        <v>3058</v>
      </c>
      <c r="D13" s="2209" t="s">
        <v>3045</v>
      </c>
      <c r="E13" s="16">
        <f>IF($C$3="是",ROUND($A$3*G13/$B$3,2),ROUND($A$3*(G13-AT13)/$B$3,2))</f>
        <v>335.9</v>
      </c>
      <c r="F13" s="32"/>
      <c r="G13" s="33">
        <f>H13+AC13+AT13</f>
        <v>1400.94</v>
      </c>
      <c r="H13" s="20">
        <f>SUMIF(I$12:AB$12,"总值",I13:AB13)</f>
        <v>1400.94</v>
      </c>
      <c r="I13" s="2210">
        <v>1400.94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1#商业楼</v>
      </c>
      <c r="AY13" s="1803">
        <f>ROUND($AY$6*AZ13/$AZ$5,2)</f>
        <v>335.9</v>
      </c>
      <c r="AZ13" s="16">
        <f>BA13+BL13</f>
        <v>1400.94</v>
      </c>
      <c r="BA13" s="16">
        <f>SUM(BB13:BK13)</f>
        <v>1400.94</v>
      </c>
      <c r="BB13" s="16">
        <f>IF($D13="是",I13-J13,0)</f>
        <v>1400.94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25.5">
      <c r="A14" s="1269"/>
      <c r="B14" s="1269"/>
      <c r="C14" s="2149" t="s">
        <v>3059</v>
      </c>
      <c r="D14" s="2209" t="s">
        <v>3045</v>
      </c>
      <c r="E14" s="16">
        <f>IF($C$3="是",ROUND($A$3*G14/$B$3,2),ROUND($A$3*(G14-AT14)/$B$3,2))</f>
        <v>12005.08</v>
      </c>
      <c r="F14" s="32"/>
      <c r="G14" s="33">
        <f>H14+AC14+AT14</f>
        <v>50069.86</v>
      </c>
      <c r="H14" s="20">
        <f>SUMIF(I$12:AB$12,"总值",I14:AB14)</f>
        <v>50061.86</v>
      </c>
      <c r="I14" s="2210"/>
      <c r="J14" s="2210"/>
      <c r="K14" s="2210">
        <v>2369.08</v>
      </c>
      <c r="L14" s="2210"/>
      <c r="M14" s="2210">
        <v>47692.78</v>
      </c>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v>8</v>
      </c>
      <c r="AU14" s="2213"/>
      <c r="AV14" s="11">
        <f t="shared" si="6"/>
        <v>0</v>
      </c>
      <c r="AW14" s="11">
        <f t="shared" si="6"/>
        <v>0</v>
      </c>
      <c r="AX14" s="11" t="str">
        <f t="shared" si="6"/>
        <v>2#商业办公楼</v>
      </c>
      <c r="AY14" s="1803">
        <f>ROUND($AY$6*AZ14/$AZ$5,2)</f>
        <v>12003.16</v>
      </c>
      <c r="AZ14" s="16">
        <f>BA14+BL14</f>
        <v>50061.86</v>
      </c>
      <c r="BA14" s="16">
        <f>SUM(BB14:BK14)</f>
        <v>50061.86</v>
      </c>
      <c r="BB14" s="16">
        <f>IF($D14="是",I14-J14,0)</f>
        <v>0</v>
      </c>
      <c r="BC14" s="16">
        <f>IF($D14="是",K14-L14,0)</f>
        <v>2369.08</v>
      </c>
      <c r="BD14" s="16">
        <f>IF($D14="是",M14-N14,0)</f>
        <v>47692.78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5.5">
      <c r="A15" s="1269"/>
      <c r="B15" s="1269"/>
      <c r="C15" s="2149" t="s">
        <v>3060</v>
      </c>
      <c r="D15" s="2209" t="s">
        <v>3045</v>
      </c>
      <c r="E15" s="16">
        <f>IF($C$3="是",ROUND($A$3*G15/$B$3,2),ROUND($A$3*(G15-AT15)/$B$3,2))</f>
        <v>4492.33</v>
      </c>
      <c r="F15" s="32"/>
      <c r="G15" s="33">
        <f>H15+AC15+AT15</f>
        <v>18736.25</v>
      </c>
      <c r="H15" s="20">
        <f>SUMIF(I$12:AB$12,"总值",I15:AB15)</f>
        <v>18736.25</v>
      </c>
      <c r="I15" s="2210"/>
      <c r="J15" s="2210"/>
      <c r="K15" s="2210">
        <v>1652.28</v>
      </c>
      <c r="L15" s="2210"/>
      <c r="M15" s="2210">
        <v>17083.97</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3#商业办公楼</v>
      </c>
      <c r="AY15" s="1803">
        <f>ROUND($AY$6*AZ15/$AZ$5,2)</f>
        <v>4492.33</v>
      </c>
      <c r="AZ15" s="16">
        <f>BA15+BL15</f>
        <v>18736.25</v>
      </c>
      <c r="BA15" s="16">
        <f>SUM(BB15:BK15)</f>
        <v>18736.25</v>
      </c>
      <c r="BB15" s="16">
        <f>IF($D15="是",I15-J15,0)</f>
        <v>0</v>
      </c>
      <c r="BC15" s="16">
        <f>IF($D15="是",K15-L15,0)</f>
        <v>1652.28</v>
      </c>
      <c r="BD15" s="16">
        <f>IF($D15="是",M15-N15,0)</f>
        <v>17083.97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25.5">
      <c r="A16" s="1269"/>
      <c r="B16" s="1269"/>
      <c r="C16" s="2149" t="s">
        <v>3061</v>
      </c>
      <c r="D16" s="2209" t="s">
        <v>3045</v>
      </c>
      <c r="E16" s="16">
        <f>IF($C$3="是",ROUND($A$3*G16/$B$3,2),ROUND($A$3*(G16-AT16)/$B$3,2))</f>
        <v>4489.1899999999996</v>
      </c>
      <c r="F16" s="32"/>
      <c r="G16" s="33">
        <f>H16+AC16+AT16</f>
        <v>18723.18</v>
      </c>
      <c r="H16" s="20">
        <f>SUMIF(I$12:AB$12,"总值",I16:AB16)</f>
        <v>18723.18</v>
      </c>
      <c r="I16" s="2210"/>
      <c r="J16" s="2210"/>
      <c r="K16" s="2210">
        <v>1639.21</v>
      </c>
      <c r="L16" s="2210"/>
      <c r="M16" s="2210">
        <v>17083.97</v>
      </c>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4#商业办公楼</v>
      </c>
      <c r="AY16" s="1803">
        <f>ROUND($AY$6*AZ16/$AZ$5,2)</f>
        <v>4489.1899999999996</v>
      </c>
      <c r="AZ16" s="16">
        <f>BA16+BL16</f>
        <v>18723.18</v>
      </c>
      <c r="BA16" s="16">
        <f>SUM(BB16:BK16)</f>
        <v>18723.18</v>
      </c>
      <c r="BB16" s="16">
        <f>IF($D16="是",I16-J16,0)</f>
        <v>0</v>
      </c>
      <c r="BC16" s="16">
        <f>IF($D16="是",K16-L16,0)</f>
        <v>1639.21</v>
      </c>
      <c r="BD16" s="16">
        <f>IF($D16="是",M16-N16,0)</f>
        <v>17083.97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2149" t="s">
        <v>3062</v>
      </c>
      <c r="D17" s="2209" t="s">
        <v>3045</v>
      </c>
      <c r="E17" s="16">
        <f>IF($C$3="是",ROUND($A$3*G17/$B$3,2),ROUND($A$3*(G17-AT17)/$B$3,2))</f>
        <v>185.41</v>
      </c>
      <c r="F17" s="32"/>
      <c r="G17" s="33">
        <f>H17+AC17+AT17</f>
        <v>773.29</v>
      </c>
      <c r="H17" s="20">
        <f>SUMIF(I$12:AB$12,"总值",I17:AB17)</f>
        <v>773.29</v>
      </c>
      <c r="I17" s="2210">
        <v>773.29</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5#商业楼</v>
      </c>
      <c r="AY17" s="1803">
        <f>ROUND($AY$6*AZ17/$AZ$5,2)</f>
        <v>185.41</v>
      </c>
      <c r="AZ17" s="16">
        <f>BA17+BL17</f>
        <v>773.29</v>
      </c>
      <c r="BA17" s="16">
        <f>SUM(BB17:BK17)</f>
        <v>773.29</v>
      </c>
      <c r="BB17" s="16">
        <f>IF($D17="是",I17-J17,0)</f>
        <v>773.29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3063</v>
      </c>
      <c r="D18" s="2214" t="s">
        <v>3045</v>
      </c>
      <c r="E18" s="35">
        <f t="shared" ref="E18:E112" si="7">IF($C$3="是",ROUND($A$3*G18/$B$3,2),ROUND($A$3*(G18-AT18)/$B$3,2))</f>
        <v>4376.8999999999996</v>
      </c>
      <c r="F18" s="36"/>
      <c r="G18" s="37">
        <f t="shared" ref="G18:G109" si="8">H18+AC18+AT18</f>
        <v>18254.849999999999</v>
      </c>
      <c r="H18" s="38">
        <f t="shared" ref="H18:H109" si="9">SUMIF(I$12:AB$12,"总值",I18:AB18)</f>
        <v>18254.849999999999</v>
      </c>
      <c r="I18" s="39"/>
      <c r="J18" s="39"/>
      <c r="K18" s="39">
        <v>1180.28</v>
      </c>
      <c r="L18" s="39"/>
      <c r="M18" s="39">
        <v>17074.57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t="str">
        <f t="shared" ref="AX18:AX112" si="13">C18</f>
        <v>6#商业办公楼</v>
      </c>
      <c r="AY18" s="42">
        <f t="shared" ref="AY18:AY109" si="14">ROUND($AY$6*AZ18/$AZ$5,2)</f>
        <v>4376.8999999999996</v>
      </c>
      <c r="AZ18" s="35">
        <f t="shared" ref="AZ18:AZ109" si="15">BA18+BL18</f>
        <v>18254.849999999999</v>
      </c>
      <c r="BA18" s="35">
        <f t="shared" ref="BA18:BA109" si="16">SUM(BB18:BK18)</f>
        <v>18254.849999999999</v>
      </c>
      <c r="BB18" s="35">
        <f t="shared" ref="BB18:BB109" si="17">IF($D18="是",I18-J18,0)</f>
        <v>0</v>
      </c>
      <c r="BC18" s="35">
        <f t="shared" ref="BC18:BC109" si="18">IF($D18="是",K18-L18,0)</f>
        <v>1180.28</v>
      </c>
      <c r="BD18" s="35">
        <f t="shared" ref="BD18:BD109" si="19">IF($D18="是",M18-N18,0)</f>
        <v>17074.57</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3064</v>
      </c>
      <c r="D19" s="2214" t="s">
        <v>3045</v>
      </c>
      <c r="E19" s="35">
        <f t="shared" si="7"/>
        <v>4376.8999999999996</v>
      </c>
      <c r="F19" s="36"/>
      <c r="G19" s="37">
        <f t="shared" si="8"/>
        <v>18254.849999999999</v>
      </c>
      <c r="H19" s="38">
        <f t="shared" si="9"/>
        <v>18254.849999999999</v>
      </c>
      <c r="I19" s="39"/>
      <c r="J19" s="39"/>
      <c r="K19" s="39">
        <v>1180.28</v>
      </c>
      <c r="L19" s="39"/>
      <c r="M19" s="39">
        <v>17074.57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t="str">
        <f t="shared" si="13"/>
        <v>7#商业办公楼</v>
      </c>
      <c r="AY19" s="42">
        <f t="shared" si="14"/>
        <v>4376.8999999999996</v>
      </c>
      <c r="AZ19" s="35">
        <f t="shared" si="15"/>
        <v>18254.849999999999</v>
      </c>
      <c r="BA19" s="35">
        <f t="shared" si="16"/>
        <v>18254.849999999999</v>
      </c>
      <c r="BB19" s="35">
        <f t="shared" si="17"/>
        <v>0</v>
      </c>
      <c r="BC19" s="35">
        <f t="shared" si="18"/>
        <v>1180.28</v>
      </c>
      <c r="BD19" s="35">
        <f t="shared" si="19"/>
        <v>17074.57</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3065</v>
      </c>
      <c r="D20" s="2214" t="s">
        <v>3045</v>
      </c>
      <c r="E20" s="35">
        <f t="shared" si="7"/>
        <v>4172.3599999999997</v>
      </c>
      <c r="F20" s="36"/>
      <c r="G20" s="37">
        <f t="shared" si="8"/>
        <v>17401.78</v>
      </c>
      <c r="H20" s="38">
        <f t="shared" si="9"/>
        <v>17301.78</v>
      </c>
      <c r="I20" s="39"/>
      <c r="J20" s="39"/>
      <c r="K20" s="39">
        <v>767.61</v>
      </c>
      <c r="L20" s="39"/>
      <c r="M20" s="39">
        <v>16534.169999999998</v>
      </c>
      <c r="N20" s="39"/>
      <c r="O20" s="39"/>
      <c r="P20" s="39"/>
      <c r="Q20" s="39"/>
      <c r="R20" s="39"/>
      <c r="S20" s="39"/>
      <c r="T20" s="39"/>
      <c r="U20" s="39"/>
      <c r="V20" s="39"/>
      <c r="W20" s="39"/>
      <c r="X20" s="39"/>
      <c r="Y20" s="39"/>
      <c r="Z20" s="39"/>
      <c r="AA20" s="39"/>
      <c r="AB20" s="39"/>
      <c r="AC20" s="35">
        <f t="shared" si="10"/>
        <v>100</v>
      </c>
      <c r="AD20" s="40"/>
      <c r="AE20" s="40"/>
      <c r="AF20" s="40"/>
      <c r="AG20" s="40"/>
      <c r="AH20" s="40"/>
      <c r="AI20" s="40"/>
      <c r="AJ20" s="40"/>
      <c r="AK20" s="40"/>
      <c r="AL20" s="40">
        <v>100</v>
      </c>
      <c r="AM20" s="40"/>
      <c r="AN20" s="40"/>
      <c r="AO20" s="40"/>
      <c r="AP20" s="40"/>
      <c r="AQ20" s="40"/>
      <c r="AR20" s="40"/>
      <c r="AS20" s="40"/>
      <c r="AT20" s="41"/>
      <c r="AU20" s="2215"/>
      <c r="AV20" s="1792">
        <f t="shared" si="11"/>
        <v>0</v>
      </c>
      <c r="AW20" s="1792">
        <f t="shared" si="12"/>
        <v>0</v>
      </c>
      <c r="AX20" s="1792" t="str">
        <f t="shared" si="13"/>
        <v>8#商业办公楼</v>
      </c>
      <c r="AY20" s="42">
        <f t="shared" si="14"/>
        <v>4172.3599999999997</v>
      </c>
      <c r="AZ20" s="35">
        <f t="shared" si="15"/>
        <v>17401.78</v>
      </c>
      <c r="BA20" s="35">
        <f t="shared" si="16"/>
        <v>17301.78</v>
      </c>
      <c r="BB20" s="35">
        <f t="shared" si="17"/>
        <v>0</v>
      </c>
      <c r="BC20" s="35">
        <f t="shared" si="18"/>
        <v>767.61</v>
      </c>
      <c r="BD20" s="35">
        <f t="shared" si="19"/>
        <v>16534.169999999998</v>
      </c>
      <c r="BE20" s="35">
        <f t="shared" si="20"/>
        <v>0</v>
      </c>
      <c r="BF20" s="35">
        <f t="shared" si="21"/>
        <v>0</v>
      </c>
      <c r="BG20" s="35">
        <f t="shared" si="22"/>
        <v>0</v>
      </c>
      <c r="BH20" s="35">
        <f t="shared" si="23"/>
        <v>0</v>
      </c>
      <c r="BI20" s="35">
        <f t="shared" si="24"/>
        <v>0</v>
      </c>
      <c r="BJ20" s="35">
        <f t="shared" si="25"/>
        <v>0</v>
      </c>
      <c r="BK20" s="35">
        <f t="shared" si="26"/>
        <v>0</v>
      </c>
      <c r="BL20" s="35">
        <f t="shared" si="27"/>
        <v>100</v>
      </c>
      <c r="BM20" s="35">
        <f t="shared" si="28"/>
        <v>0</v>
      </c>
      <c r="BN20" s="35">
        <f t="shared" si="29"/>
        <v>0</v>
      </c>
      <c r="BO20" s="35">
        <f t="shared" si="30"/>
        <v>0</v>
      </c>
      <c r="BP20" s="35">
        <f t="shared" si="31"/>
        <v>0</v>
      </c>
      <c r="BQ20" s="35">
        <f t="shared" si="32"/>
        <v>100</v>
      </c>
      <c r="BR20" s="35">
        <f t="shared" si="33"/>
        <v>0</v>
      </c>
      <c r="BS20" s="35">
        <f t="shared" si="34"/>
        <v>0</v>
      </c>
      <c r="BT20" s="43">
        <f t="shared" si="35"/>
        <v>0</v>
      </c>
    </row>
    <row r="21" spans="1:72">
      <c r="A21" s="9"/>
      <c r="B21" s="34"/>
      <c r="C21" s="34" t="s">
        <v>48</v>
      </c>
      <c r="D21" s="2214" t="s">
        <v>3045</v>
      </c>
      <c r="E21" s="35">
        <f t="shared" si="7"/>
        <v>13485.19</v>
      </c>
      <c r="F21" s="36"/>
      <c r="G21" s="37">
        <f t="shared" si="8"/>
        <v>56243</v>
      </c>
      <c r="H21" s="38">
        <f t="shared" si="9"/>
        <v>35129</v>
      </c>
      <c r="I21" s="39"/>
      <c r="J21" s="39"/>
      <c r="K21" s="39"/>
      <c r="L21" s="39"/>
      <c r="M21" s="39"/>
      <c r="N21" s="39"/>
      <c r="O21" s="39">
        <v>35129</v>
      </c>
      <c r="P21" s="39"/>
      <c r="Q21" s="39"/>
      <c r="R21" s="39"/>
      <c r="S21" s="39"/>
      <c r="T21" s="39"/>
      <c r="U21" s="39"/>
      <c r="V21" s="39"/>
      <c r="W21" s="39"/>
      <c r="X21" s="39"/>
      <c r="Y21" s="39"/>
      <c r="Z21" s="39"/>
      <c r="AA21" s="39"/>
      <c r="AB21" s="39"/>
      <c r="AC21" s="35">
        <f t="shared" si="10"/>
        <v>4669</v>
      </c>
      <c r="AD21" s="40"/>
      <c r="AE21" s="40"/>
      <c r="AF21" s="40"/>
      <c r="AG21" s="40"/>
      <c r="AH21" s="40"/>
      <c r="AI21" s="40"/>
      <c r="AJ21" s="40"/>
      <c r="AK21" s="40"/>
      <c r="AL21" s="40"/>
      <c r="AM21" s="40"/>
      <c r="AN21" s="40">
        <v>4669</v>
      </c>
      <c r="AO21" s="40"/>
      <c r="AP21" s="40"/>
      <c r="AQ21" s="40"/>
      <c r="AR21" s="40"/>
      <c r="AS21" s="40"/>
      <c r="AT21" s="41">
        <v>16445</v>
      </c>
      <c r="AU21" s="2215"/>
      <c r="AV21" s="1792">
        <f t="shared" si="11"/>
        <v>0</v>
      </c>
      <c r="AW21" s="1792">
        <f t="shared" si="12"/>
        <v>0</v>
      </c>
      <c r="AX21" s="1792" t="str">
        <f t="shared" si="13"/>
        <v>地下车库</v>
      </c>
      <c r="AY21" s="42">
        <f t="shared" si="14"/>
        <v>9542.23</v>
      </c>
      <c r="AZ21" s="35">
        <f t="shared" si="15"/>
        <v>39798</v>
      </c>
      <c r="BA21" s="35">
        <f t="shared" si="16"/>
        <v>35129</v>
      </c>
      <c r="BB21" s="35">
        <f t="shared" si="17"/>
        <v>0</v>
      </c>
      <c r="BC21" s="35">
        <f t="shared" si="18"/>
        <v>0</v>
      </c>
      <c r="BD21" s="35">
        <f t="shared" si="19"/>
        <v>0</v>
      </c>
      <c r="BE21" s="35">
        <f t="shared" si="20"/>
        <v>35129</v>
      </c>
      <c r="BF21" s="35">
        <f t="shared" si="21"/>
        <v>0</v>
      </c>
      <c r="BG21" s="35">
        <f t="shared" si="22"/>
        <v>0</v>
      </c>
      <c r="BH21" s="35">
        <f t="shared" si="23"/>
        <v>0</v>
      </c>
      <c r="BI21" s="35">
        <f t="shared" si="24"/>
        <v>0</v>
      </c>
      <c r="BJ21" s="35">
        <f t="shared" si="25"/>
        <v>0</v>
      </c>
      <c r="BK21" s="35">
        <f t="shared" si="26"/>
        <v>0</v>
      </c>
      <c r="BL21" s="35">
        <f t="shared" si="27"/>
        <v>4669</v>
      </c>
      <c r="BM21" s="35">
        <f t="shared" si="28"/>
        <v>0</v>
      </c>
      <c r="BN21" s="35">
        <f t="shared" si="29"/>
        <v>0</v>
      </c>
      <c r="BO21" s="35">
        <f t="shared" si="30"/>
        <v>0</v>
      </c>
      <c r="BP21" s="35">
        <f t="shared" si="31"/>
        <v>0</v>
      </c>
      <c r="BQ21" s="35">
        <f t="shared" si="32"/>
        <v>0</v>
      </c>
      <c r="BR21" s="35">
        <f t="shared" si="33"/>
        <v>4669</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89"/>
      <c r="C1" s="1389"/>
      <c r="D1" s="1389"/>
      <c r="E1" s="1389"/>
      <c r="F1" s="1389"/>
      <c r="G1" s="1389"/>
      <c r="H1" s="1389"/>
      <c r="I1" s="1389"/>
      <c r="J1" s="1389"/>
      <c r="K1" s="1389"/>
      <c r="L1" s="1389"/>
      <c r="M1" s="1389"/>
      <c r="N1" s="1389"/>
      <c r="O1" s="1389"/>
      <c r="P1" s="1389"/>
    </row>
    <row r="2" spans="1:16" ht="15">
      <c r="A2" s="3020" t="s">
        <v>1931</v>
      </c>
      <c r="B2" s="3020"/>
      <c r="C2" s="3020"/>
      <c r="D2" s="964" t="s">
        <v>1907</v>
      </c>
      <c r="E2" s="2223" t="s">
        <v>1908</v>
      </c>
      <c r="F2" s="1389"/>
      <c r="G2" s="2224"/>
      <c r="H2" s="2225"/>
      <c r="I2" s="2226" t="s">
        <v>1932</v>
      </c>
      <c r="J2" s="1389"/>
      <c r="K2" s="1389"/>
      <c r="L2" s="1389"/>
      <c r="M2" s="1389"/>
      <c r="N2" s="1424"/>
      <c r="O2" s="1389"/>
      <c r="P2" s="1389"/>
    </row>
    <row r="3" spans="1:16" ht="15.75" thickBot="1">
      <c r="A3" s="3021" t="s">
        <v>1905</v>
      </c>
      <c r="B3" s="3021"/>
      <c r="C3" s="3021"/>
      <c r="D3" s="46">
        <f>'数据-基础表'!AY6</f>
        <v>43974.38</v>
      </c>
      <c r="E3" s="46">
        <f>'数据-基础表'!AZ5</f>
        <v>183405</v>
      </c>
      <c r="F3" s="1389"/>
      <c r="G3" s="1396"/>
      <c r="H3" s="1244" t="s">
        <v>1906</v>
      </c>
      <c r="I3" s="55">
        <f>ROUND('数据-基础表'!B3/'数据-基础表'!A3,2)</f>
        <v>4.17</v>
      </c>
      <c r="J3" s="1389"/>
      <c r="K3" s="1389"/>
      <c r="L3" s="1389"/>
      <c r="M3" s="1389"/>
      <c r="N3" s="1424"/>
      <c r="O3" s="1389"/>
      <c r="P3" s="1389"/>
    </row>
    <row r="4" spans="1:16" ht="15">
      <c r="A4" s="3022"/>
      <c r="B4" s="3023"/>
      <c r="C4" s="3024"/>
      <c r="D4" s="2227" t="s">
        <v>1907</v>
      </c>
      <c r="E4" s="2228" t="s">
        <v>1908</v>
      </c>
      <c r="F4" s="1389"/>
      <c r="G4" s="2229" t="s">
        <v>1933</v>
      </c>
      <c r="H4" s="1244" t="s">
        <v>1913</v>
      </c>
      <c r="I4" s="55">
        <f>ROUND(SUMIF('数据-基础表'!I9:AS9,"地上",'数据-基础表'!I5:AS5)/'数据-基础表'!A3,2)</f>
        <v>3</v>
      </c>
      <c r="J4" s="1389"/>
      <c r="K4" s="1389"/>
      <c r="L4" s="1389"/>
      <c r="M4" s="1389"/>
      <c r="N4" s="1424"/>
      <c r="O4" s="1389"/>
      <c r="P4" s="1389"/>
    </row>
    <row r="5" spans="1:16">
      <c r="A5" s="47" t="s">
        <v>1909</v>
      </c>
      <c r="B5" s="3025" t="s">
        <v>1910</v>
      </c>
      <c r="C5" s="3025"/>
      <c r="D5" s="48">
        <f>ROUND($D$3*E5/$E$3,2)</f>
        <v>0</v>
      </c>
      <c r="E5" s="49">
        <f>SUMIF('数据-基础表'!$11:$11,"住宅",'数据-基础表'!$5:$5)</f>
        <v>0</v>
      </c>
      <c r="F5" s="1389"/>
      <c r="G5" s="1396"/>
      <c r="H5" s="1244" t="s">
        <v>1906</v>
      </c>
      <c r="I5" s="55">
        <f>ROUND(E31/D31,2)</f>
        <v>4.17</v>
      </c>
      <c r="J5" s="1389"/>
      <c r="K5" s="1389"/>
      <c r="L5" s="1389"/>
      <c r="M5" s="1389"/>
      <c r="N5" s="1389"/>
      <c r="O5" s="1389"/>
      <c r="P5" s="1389"/>
    </row>
    <row r="6" spans="1:16" ht="15" thickBot="1">
      <c r="A6" s="2230"/>
      <c r="B6" s="3025" t="s">
        <v>1911</v>
      </c>
      <c r="C6" s="3025"/>
      <c r="D6" s="48">
        <f>ROUND($D$3*E6/$E$3,2)</f>
        <v>43974.38</v>
      </c>
      <c r="E6" s="49">
        <f>E3-E5</f>
        <v>183405</v>
      </c>
      <c r="F6" s="1389"/>
      <c r="G6" s="2231" t="s">
        <v>1912</v>
      </c>
      <c r="H6" s="1396" t="s">
        <v>1913</v>
      </c>
      <c r="I6" s="936">
        <f>ROUND(F31/D31,2)</f>
        <v>3.27</v>
      </c>
      <c r="J6" s="1389"/>
      <c r="K6" s="1389"/>
      <c r="L6" s="1389"/>
      <c r="M6" s="1389"/>
      <c r="N6" s="1389"/>
      <c r="O6" s="1389"/>
      <c r="P6" s="1389"/>
    </row>
    <row r="7" spans="1:16" ht="15">
      <c r="A7" s="3017"/>
      <c r="B7" s="3018"/>
      <c r="C7" s="3019"/>
      <c r="D7" s="2227" t="s">
        <v>1907</v>
      </c>
      <c r="E7" s="2232" t="s">
        <v>1914</v>
      </c>
      <c r="F7" s="1389"/>
      <c r="G7" s="2224" t="s">
        <v>1915</v>
      </c>
      <c r="H7" s="62"/>
      <c r="I7" s="416"/>
      <c r="J7" s="1389"/>
      <c r="K7" s="1389"/>
      <c r="L7" s="1389"/>
      <c r="M7" s="1389"/>
      <c r="N7" s="1389"/>
      <c r="O7" s="1389"/>
      <c r="P7" s="1389"/>
    </row>
    <row r="8" spans="1:16">
      <c r="A8" s="47" t="s">
        <v>1916</v>
      </c>
      <c r="B8" s="50" t="s">
        <v>1917</v>
      </c>
      <c r="C8" s="48" t="s">
        <v>1918</v>
      </c>
      <c r="D8" s="48">
        <f t="shared" ref="D8:D15" si="0">ROUND($D$3*E8/$E$3,2)</f>
        <v>34408.18</v>
      </c>
      <c r="E8" s="51">
        <f>SUMIF('数据-基础表'!BB10:BK10,"地上",'数据-基础表'!BB5:BK5)</f>
        <v>143507.00000000003</v>
      </c>
      <c r="F8" s="1389"/>
      <c r="G8" s="2233"/>
      <c r="H8" s="2233"/>
      <c r="I8" s="1389"/>
      <c r="J8" s="1389"/>
      <c r="K8" s="1389"/>
      <c r="L8" s="1389"/>
      <c r="M8" s="1389"/>
      <c r="N8" s="1389"/>
      <c r="O8" s="1389"/>
      <c r="P8" s="1389"/>
    </row>
    <row r="9" spans="1:16">
      <c r="A9" s="2234"/>
      <c r="B9" s="2235"/>
      <c r="C9" s="48" t="s">
        <v>1919</v>
      </c>
      <c r="D9" s="48">
        <f t="shared" si="0"/>
        <v>0</v>
      </c>
      <c r="E9" s="52">
        <v>0</v>
      </c>
      <c r="F9" s="1389"/>
      <c r="G9" s="2233"/>
      <c r="H9" s="2233"/>
      <c r="I9" s="1389"/>
      <c r="J9" s="1389"/>
      <c r="K9" s="1389"/>
      <c r="L9" s="1389"/>
      <c r="M9" s="1389"/>
      <c r="N9" s="1389"/>
      <c r="O9" s="1389"/>
      <c r="P9" s="1389"/>
    </row>
    <row r="10" spans="1:16">
      <c r="A10" s="2234"/>
      <c r="B10" s="2235"/>
      <c r="C10" s="48" t="s">
        <v>1928</v>
      </c>
      <c r="D10" s="48">
        <f t="shared" si="0"/>
        <v>0</v>
      </c>
      <c r="E10" s="51">
        <f>SUMPRODUCT(('数据-基础表'!BB10:BK10="地下")*('数据-基础表'!BB11:BK11="商业")*('数据-基础表'!BB5:BK5))</f>
        <v>0</v>
      </c>
      <c r="F10" s="1389"/>
      <c r="G10" s="2233"/>
      <c r="H10" s="2233"/>
      <c r="I10" s="1389"/>
      <c r="J10" s="1389"/>
      <c r="K10" s="1389"/>
      <c r="L10" s="1389"/>
      <c r="M10" s="1389"/>
      <c r="N10" s="1389"/>
      <c r="O10" s="1389"/>
      <c r="P10" s="1389"/>
    </row>
    <row r="11" spans="1:16">
      <c r="A11" s="2234"/>
      <c r="B11" s="2235"/>
      <c r="C11" s="48" t="s">
        <v>1920</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1921</v>
      </c>
      <c r="D12" s="48">
        <f t="shared" si="0"/>
        <v>0</v>
      </c>
      <c r="E12" s="51">
        <f>SUMPRODUCT(('数据-基础表'!BB10:BK10="地下")*('数据-基础表'!BB11:BK11="仓储")*('数据-基础表'!BB5:BK5))</f>
        <v>0</v>
      </c>
      <c r="F12" s="1389"/>
      <c r="G12" s="2233"/>
      <c r="H12" s="2233"/>
      <c r="I12" s="1389"/>
      <c r="J12" s="1389"/>
      <c r="K12" s="1389"/>
      <c r="L12" s="1389"/>
      <c r="M12" s="1389"/>
      <c r="N12" s="1389"/>
      <c r="O12" s="1389"/>
      <c r="P12" s="1389"/>
    </row>
    <row r="13" spans="1:16">
      <c r="A13" s="2234"/>
      <c r="B13" s="2235"/>
      <c r="C13" s="48" t="s">
        <v>1922</v>
      </c>
      <c r="D13" s="48">
        <f t="shared" si="0"/>
        <v>0</v>
      </c>
      <c r="E13" s="51">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8" t="s">
        <v>1934</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1929</v>
      </c>
      <c r="D15" s="48">
        <f t="shared" si="0"/>
        <v>8422.76</v>
      </c>
      <c r="E15" s="51">
        <f>SUMPRODUCT(('数据-基础表'!BB10:BK10="地下")*('数据-基础表'!BB11:BK11="车库—办公")*('数据-基础表'!BB5:BK5))</f>
        <v>35129</v>
      </c>
      <c r="F15" s="1389"/>
      <c r="G15" s="2233"/>
      <c r="H15" s="2233"/>
      <c r="I15" s="1389"/>
      <c r="J15" s="1389"/>
      <c r="K15" s="1389"/>
      <c r="L15" s="1389"/>
      <c r="M15" s="1389"/>
      <c r="N15" s="1389"/>
      <c r="O15" s="1389"/>
      <c r="P15" s="1389"/>
    </row>
    <row r="16" spans="1:16" ht="15.75" thickBot="1">
      <c r="A16" s="2230"/>
      <c r="B16" s="2235"/>
      <c r="C16" s="50" t="s">
        <v>1923</v>
      </c>
      <c r="D16" s="50">
        <f>SUM(D8:D15)</f>
        <v>42830.94</v>
      </c>
      <c r="E16" s="53">
        <f>SUM(E8:E15)</f>
        <v>178636.00000000003</v>
      </c>
      <c r="F16" s="1389"/>
      <c r="G16" s="2233"/>
      <c r="H16" s="2236" t="s">
        <v>1935</v>
      </c>
      <c r="I16" s="2237"/>
      <c r="J16" s="1389"/>
      <c r="K16" s="3014" t="s">
        <v>1935</v>
      </c>
      <c r="L16" s="3015"/>
      <c r="M16" s="3015"/>
      <c r="N16" s="3015"/>
      <c r="O16" s="3015"/>
      <c r="P16" s="3016"/>
    </row>
    <row r="17" spans="1:19" ht="15">
      <c r="A17" s="2238" t="s">
        <v>1936</v>
      </c>
      <c r="B17" s="2239" t="s">
        <v>1937</v>
      </c>
      <c r="C17" s="2240" t="s">
        <v>1938</v>
      </c>
      <c r="D17" s="2241" t="s">
        <v>1926</v>
      </c>
      <c r="E17" s="2242" t="s">
        <v>1927</v>
      </c>
      <c r="F17" s="2243"/>
      <c r="G17" s="2244"/>
      <c r="H17" s="2245" t="s">
        <v>1939</v>
      </c>
      <c r="I17" s="2246" t="s">
        <v>1924</v>
      </c>
      <c r="J17" s="1389"/>
      <c r="K17" s="3011" t="s">
        <v>1940</v>
      </c>
      <c r="L17" s="3012"/>
      <c r="M17" s="3013"/>
      <c r="N17" s="3011" t="s">
        <v>1941</v>
      </c>
      <c r="O17" s="3012"/>
      <c r="P17" s="3013"/>
      <c r="R17" s="2224" t="s">
        <v>1942</v>
      </c>
      <c r="S17" s="62"/>
    </row>
    <row r="18" spans="1:19" ht="15">
      <c r="A18" s="2234"/>
      <c r="B18" s="2247"/>
      <c r="C18" s="2248"/>
      <c r="D18" s="2249"/>
      <c r="E18" s="2250" t="s">
        <v>1943</v>
      </c>
      <c r="F18" s="2251" t="s">
        <v>1944</v>
      </c>
      <c r="G18" s="2252" t="s">
        <v>1945</v>
      </c>
      <c r="H18" s="1259" t="s">
        <v>1946</v>
      </c>
      <c r="I18" s="2253" t="s">
        <v>1947</v>
      </c>
      <c r="J18" s="1389"/>
      <c r="K18" s="1259" t="s">
        <v>1948</v>
      </c>
      <c r="L18" s="2254" t="s">
        <v>1949</v>
      </c>
      <c r="M18" s="1043" t="s">
        <v>1950</v>
      </c>
      <c r="N18" s="1259" t="s">
        <v>1948</v>
      </c>
      <c r="O18" s="2254" t="s">
        <v>1949</v>
      </c>
      <c r="P18" s="1043" t="s">
        <v>1950</v>
      </c>
      <c r="R18" s="1244" t="s">
        <v>1951</v>
      </c>
      <c r="S18" s="1244" t="s">
        <v>1952</v>
      </c>
    </row>
    <row r="19" spans="1:19">
      <c r="A19" s="2255"/>
      <c r="B19" s="50" t="s">
        <v>1925</v>
      </c>
      <c r="C19" s="3269" t="s">
        <v>3073</v>
      </c>
      <c r="D19" s="48">
        <f>ROUND($D$3*E19/$E$3,2)</f>
        <v>2628.55</v>
      </c>
      <c r="E19" s="56">
        <f t="shared" ref="E19:E26" si="1">SUM(F19:G19)</f>
        <v>10962.97</v>
      </c>
      <c r="F19" s="3270">
        <f>'数据-基础表'!I5+'数据-基础表'!K5</f>
        <v>10962.97</v>
      </c>
      <c r="G19" s="3271"/>
      <c r="H19" s="719">
        <f>ROUND($D$3*I19/$E$3,2)</f>
        <v>70.17</v>
      </c>
      <c r="I19" s="51">
        <f t="shared" ref="I19:I26" si="2">IF($I$17="自定义",P19,M19)</f>
        <v>292.68</v>
      </c>
      <c r="J19" s="1389"/>
      <c r="K19" s="1388">
        <f t="shared" ref="K19:K26" si="3">ROUND(E$28*E19/E$27,2)</f>
        <v>292.68</v>
      </c>
      <c r="L19" s="1244">
        <f t="shared" ref="L19:L26" si="4">ROUND(IF(COUNTIF(C19,"*住宅*")&gt;0,E$29*E19/E$32,0),2)</f>
        <v>0</v>
      </c>
      <c r="M19" s="1400">
        <f>K19+L19</f>
        <v>292.68</v>
      </c>
      <c r="N19" s="2256"/>
      <c r="O19" s="2257"/>
      <c r="P19" s="1400">
        <f>N19+O19</f>
        <v>0</v>
      </c>
      <c r="R19" s="1244">
        <f t="shared" ref="R19:S26" si="5">D19+H19</f>
        <v>2698.7200000000003</v>
      </c>
      <c r="S19" s="1245">
        <f t="shared" si="5"/>
        <v>11255.65</v>
      </c>
    </row>
    <row r="20" spans="1:19">
      <c r="A20" s="2258"/>
      <c r="B20" s="50" t="s">
        <v>1953</v>
      </c>
      <c r="C20" s="3269" t="s">
        <v>3074</v>
      </c>
      <c r="D20" s="48">
        <f t="shared" ref="D20:D26" si="6">ROUND($D$3*E20/$E$3,2)</f>
        <v>31779.62</v>
      </c>
      <c r="E20" s="56">
        <f t="shared" si="1"/>
        <v>132544.03000000003</v>
      </c>
      <c r="F20" s="3270">
        <f>'数据-基础表'!M5</f>
        <v>132544.03000000003</v>
      </c>
      <c r="G20" s="3271"/>
      <c r="H20" s="719">
        <f t="shared" ref="H20:H26" si="7">ROUND($D$3*I20/$E$3,2)</f>
        <v>848.41</v>
      </c>
      <c r="I20" s="51">
        <f t="shared" si="2"/>
        <v>3538.49</v>
      </c>
      <c r="J20" s="1389"/>
      <c r="K20" s="1388">
        <f t="shared" si="3"/>
        <v>3538.49</v>
      </c>
      <c r="L20" s="1244">
        <f t="shared" si="4"/>
        <v>0</v>
      </c>
      <c r="M20" s="1400">
        <f t="shared" ref="M20:M26" si="8">K20+L20</f>
        <v>3538.49</v>
      </c>
      <c r="N20" s="2256"/>
      <c r="O20" s="2257"/>
      <c r="P20" s="1400">
        <f t="shared" ref="P20:P26" si="9">N20+O20</f>
        <v>0</v>
      </c>
      <c r="R20" s="1244">
        <f t="shared" si="5"/>
        <v>32628.03</v>
      </c>
      <c r="S20" s="1245">
        <f t="shared" si="5"/>
        <v>136082.52000000002</v>
      </c>
    </row>
    <row r="21" spans="1:19">
      <c r="A21" s="2258"/>
      <c r="B21" s="50" t="s">
        <v>1953</v>
      </c>
      <c r="C21" s="3269" t="s">
        <v>3075</v>
      </c>
      <c r="D21" s="48">
        <f t="shared" si="6"/>
        <v>8422.76</v>
      </c>
      <c r="E21" s="56">
        <f t="shared" si="1"/>
        <v>35129</v>
      </c>
      <c r="F21" s="3270"/>
      <c r="G21" s="3271">
        <f>'数据-基础表'!O5</f>
        <v>35129</v>
      </c>
      <c r="H21" s="719">
        <f t="shared" si="7"/>
        <v>224.86</v>
      </c>
      <c r="I21" s="51">
        <f t="shared" si="2"/>
        <v>937.83</v>
      </c>
      <c r="J21" s="1389"/>
      <c r="K21" s="1388">
        <f t="shared" si="3"/>
        <v>937.83</v>
      </c>
      <c r="L21" s="1244">
        <f t="shared" si="4"/>
        <v>0</v>
      </c>
      <c r="M21" s="1400">
        <f t="shared" si="8"/>
        <v>937.83</v>
      </c>
      <c r="N21" s="2256"/>
      <c r="O21" s="2257"/>
      <c r="P21" s="1400">
        <f t="shared" si="9"/>
        <v>0</v>
      </c>
      <c r="R21" s="1244">
        <f t="shared" si="5"/>
        <v>8647.6200000000008</v>
      </c>
      <c r="S21" s="1245">
        <f t="shared" si="5"/>
        <v>36066.83</v>
      </c>
    </row>
    <row r="22" spans="1:19">
      <c r="A22" s="2258"/>
      <c r="B22" s="50" t="s">
        <v>1953</v>
      </c>
      <c r="C22" s="58"/>
      <c r="D22" s="48">
        <f t="shared" si="6"/>
        <v>0</v>
      </c>
      <c r="E22" s="56">
        <f t="shared" si="1"/>
        <v>0</v>
      </c>
      <c r="F22" s="59"/>
      <c r="G22" s="60"/>
      <c r="H22" s="719">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1953</v>
      </c>
      <c r="C23" s="58"/>
      <c r="D23" s="48">
        <f>ROUND($D$3*E23/$E$3,2)</f>
        <v>0</v>
      </c>
      <c r="E23" s="56">
        <f>SUM(F23:G23)</f>
        <v>0</v>
      </c>
      <c r="F23" s="59"/>
      <c r="G23" s="60"/>
      <c r="H23" s="719">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1953</v>
      </c>
      <c r="C24" s="58"/>
      <c r="D24" s="48">
        <f>ROUND($D$3*E24/$E$3,2)</f>
        <v>0</v>
      </c>
      <c r="E24" s="56">
        <f>SUM(F24:G24)</f>
        <v>0</v>
      </c>
      <c r="F24" s="59"/>
      <c r="G24" s="60"/>
      <c r="H24" s="719">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1953</v>
      </c>
      <c r="C25" s="58"/>
      <c r="D25" s="48">
        <f t="shared" si="6"/>
        <v>0</v>
      </c>
      <c r="E25" s="56">
        <f t="shared" si="1"/>
        <v>0</v>
      </c>
      <c r="F25" s="59"/>
      <c r="G25" s="60"/>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1953</v>
      </c>
      <c r="C26" s="61"/>
      <c r="D26" s="48">
        <f t="shared" si="6"/>
        <v>0</v>
      </c>
      <c r="E26" s="56">
        <f t="shared" si="1"/>
        <v>0</v>
      </c>
      <c r="F26" s="59"/>
      <c r="G26" s="60"/>
      <c r="H26" s="47">
        <f t="shared" si="7"/>
        <v>0</v>
      </c>
      <c r="I26" s="51">
        <f t="shared" si="2"/>
        <v>0</v>
      </c>
      <c r="J26" s="1389"/>
      <c r="K26" s="1395">
        <f t="shared" si="3"/>
        <v>0</v>
      </c>
      <c r="L26" s="1396">
        <f t="shared" si="4"/>
        <v>0</v>
      </c>
      <c r="M26" s="65">
        <f t="shared" si="8"/>
        <v>0</v>
      </c>
      <c r="N26" s="2259"/>
      <c r="O26" s="2260"/>
      <c r="P26" s="65">
        <f t="shared" si="9"/>
        <v>0</v>
      </c>
      <c r="R26" s="1244">
        <f t="shared" si="5"/>
        <v>0</v>
      </c>
      <c r="S26" s="1245">
        <f t="shared" si="5"/>
        <v>0</v>
      </c>
    </row>
    <row r="27" spans="1:19" ht="15.75" thickBot="1">
      <c r="A27" s="2258"/>
      <c r="B27" s="48"/>
      <c r="C27" s="2261" t="s">
        <v>1954</v>
      </c>
      <c r="D27" s="1390">
        <f>SUM(D19:D26)</f>
        <v>42830.93</v>
      </c>
      <c r="E27" s="1391">
        <f>IF(SUM(E19:E26)='数据-基础表'!BA5,SUM(E19:E26),IF(F27="地上面积有误","面积有误","地下面积有误"))</f>
        <v>178636.00000000003</v>
      </c>
      <c r="F27" s="1390">
        <f>IF(SUM(F19:F26)=E8,SUM(F19:F26),"地上面积有误")</f>
        <v>143507.00000000003</v>
      </c>
      <c r="G27" s="1392">
        <f>SUM(G19:G26)</f>
        <v>35129</v>
      </c>
      <c r="H27" s="1393">
        <f>SUM(H19:H26)</f>
        <v>1143.44</v>
      </c>
      <c r="I27" s="1394">
        <f>SUM(I19:I26)</f>
        <v>4769</v>
      </c>
      <c r="J27" s="1389"/>
      <c r="K27" s="1397">
        <f>SUM(K19:K26)</f>
        <v>4769</v>
      </c>
      <c r="L27" s="1398">
        <f>SUM(L19:L26)</f>
        <v>0</v>
      </c>
      <c r="M27" s="1401">
        <f>SUM(M19:M26)</f>
        <v>4769</v>
      </c>
      <c r="N27" s="1397">
        <f t="shared" ref="N27:O27" si="10">SUM(N19:N26)</f>
        <v>0</v>
      </c>
      <c r="O27" s="1398">
        <f t="shared" si="10"/>
        <v>0</v>
      </c>
      <c r="P27" s="1399">
        <f>SUM(P19:P26)</f>
        <v>0</v>
      </c>
      <c r="R27" s="1246" t="str">
        <f>IF(SUM(R19:R26)=$D$3,SUM(R19:R26),SUM(R19:R26)&amp;"误差"&amp;ROUND(SUM(R19:R26)-$D$3,2))</f>
        <v>43974.37误差-0.01</v>
      </c>
      <c r="S27" s="1244">
        <f>IF(SUM(S19:S26)=$E$3,SUM(S19:S26),SUM(S19:S26)&amp;"误差"&amp;ROUND(SUM(S19:S26)-E3,2))</f>
        <v>183405</v>
      </c>
    </row>
    <row r="28" spans="1:19">
      <c r="A28" s="2258"/>
      <c r="B28" s="50" t="s">
        <v>1955</v>
      </c>
      <c r="C28" s="1256" t="s">
        <v>1956</v>
      </c>
      <c r="D28" s="48">
        <f>ROUND($D$3*E28/$E$3,2)</f>
        <v>1143.45</v>
      </c>
      <c r="E28" s="56">
        <f>SUM(F28:G28)</f>
        <v>4769</v>
      </c>
      <c r="F28" s="62">
        <f>'数据-基础表'!BQ5+'数据-基础表'!BS5</f>
        <v>100</v>
      </c>
      <c r="G28" s="63">
        <f>'数据-基础表'!BR5+'数据-基础表'!BT5</f>
        <v>4669</v>
      </c>
      <c r="H28" s="1389"/>
      <c r="I28" s="1389"/>
      <c r="J28" s="1389"/>
      <c r="K28" s="1389"/>
      <c r="L28" s="1389"/>
      <c r="M28" s="1389"/>
      <c r="N28" s="1389"/>
      <c r="O28" s="1389"/>
      <c r="P28" s="1389"/>
    </row>
    <row r="29" spans="1:19">
      <c r="A29" s="2258"/>
      <c r="B29" s="50" t="s">
        <v>1955</v>
      </c>
      <c r="C29" s="2262" t="s">
        <v>1957</v>
      </c>
      <c r="D29" s="48">
        <f>ROUND($D$3*E29/$E$3,2)</f>
        <v>0</v>
      </c>
      <c r="E29" s="56">
        <f>SUM(F29:G29)</f>
        <v>0</v>
      </c>
      <c r="F29" s="64">
        <f>'数据-基础表'!BM5+'数据-基础表'!BO5</f>
        <v>0</v>
      </c>
      <c r="G29" s="65">
        <f>'数据-基础表'!BN5+'数据-基础表'!BP5</f>
        <v>0</v>
      </c>
      <c r="H29" s="1389"/>
      <c r="I29" s="1389"/>
      <c r="J29" s="1389"/>
      <c r="K29" s="1389"/>
      <c r="L29" s="1389"/>
      <c r="M29" s="1389"/>
      <c r="N29" s="1389"/>
      <c r="O29" s="1389"/>
      <c r="P29" s="1389"/>
    </row>
    <row r="30" spans="1:19" ht="15">
      <c r="A30" s="2258"/>
      <c r="B30" s="50"/>
      <c r="C30" s="2263" t="s">
        <v>1954</v>
      </c>
      <c r="D30" s="1390">
        <f>SUM(D28:D29)</f>
        <v>1143.45</v>
      </c>
      <c r="E30" s="1390">
        <f>SUM(E28:E29)</f>
        <v>4769</v>
      </c>
      <c r="F30" s="1390">
        <f>SUM(F28:F29)</f>
        <v>100</v>
      </c>
      <c r="G30" s="1392">
        <f>SUM(G28:G29)</f>
        <v>4669</v>
      </c>
      <c r="H30" s="1389"/>
      <c r="I30" s="1389"/>
      <c r="J30" s="1389"/>
      <c r="K30" s="1389"/>
      <c r="L30" s="1389"/>
      <c r="M30" s="1389"/>
      <c r="N30" s="1389"/>
      <c r="O30" s="1389"/>
      <c r="P30" s="1389"/>
    </row>
    <row r="31" spans="1:19" ht="15.75" thickBot="1">
      <c r="A31" s="2264"/>
      <c r="B31" s="2265"/>
      <c r="C31" s="1004" t="s">
        <v>1958</v>
      </c>
      <c r="D31" s="723">
        <f>D27+D30</f>
        <v>43974.38</v>
      </c>
      <c r="E31" s="723">
        <f>E27+E30</f>
        <v>183405.00000000003</v>
      </c>
      <c r="F31" s="724">
        <f>F27+F30</f>
        <v>143607.00000000003</v>
      </c>
      <c r="G31" s="725">
        <f>G27+G30</f>
        <v>39798</v>
      </c>
      <c r="H31" s="1389"/>
      <c r="I31" s="1389"/>
      <c r="J31" s="1389"/>
      <c r="K31" s="1389"/>
      <c r="L31" s="1389"/>
      <c r="M31" s="1389"/>
      <c r="N31" s="1389"/>
      <c r="O31" s="1389"/>
      <c r="P31" s="1389"/>
    </row>
    <row r="32" spans="1:19">
      <c r="A32" s="2229"/>
      <c r="B32" s="2229" t="s">
        <v>1959</v>
      </c>
      <c r="C32" s="2229"/>
      <c r="D32" s="2229"/>
      <c r="E32" s="1271">
        <f>SUMIF(C19:C26,"*住宅*",E19:E26)</f>
        <v>0</v>
      </c>
      <c r="F32" s="2229"/>
      <c r="G32" s="2229"/>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26"/>
      <c r="C1" s="1578"/>
      <c r="D1" s="2268"/>
      <c r="E1" s="1578"/>
      <c r="F1" s="1578"/>
      <c r="G1" s="1578"/>
      <c r="H1" s="1578"/>
      <c r="I1" s="1578"/>
      <c r="J1" s="1578"/>
      <c r="K1" s="164"/>
      <c r="L1" s="164"/>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1961</v>
      </c>
      <c r="B2" s="1263">
        <f>项目基本情况!D3</f>
        <v>43237</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6"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40" t="s">
        <v>1966</v>
      </c>
      <c r="AA4" s="2240"/>
      <c r="AB4" s="2240"/>
      <c r="AC4" s="2240"/>
      <c r="AD4" s="2240"/>
      <c r="AE4" s="2238" t="s">
        <v>1967</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1968</v>
      </c>
      <c r="B5" s="2285" t="s">
        <v>1969</v>
      </c>
      <c r="C5" s="2286" t="s">
        <v>1970</v>
      </c>
      <c r="D5" s="2287" t="s">
        <v>1971</v>
      </c>
      <c r="E5" s="1265" t="s">
        <v>1972</v>
      </c>
      <c r="F5" s="2288" t="s">
        <v>1973</v>
      </c>
      <c r="G5" s="1265" t="s">
        <v>1974</v>
      </c>
      <c r="H5" s="1265" t="s">
        <v>1975</v>
      </c>
      <c r="I5" s="1265" t="s">
        <v>1976</v>
      </c>
      <c r="J5" s="2289" t="s">
        <v>1977</v>
      </c>
      <c r="K5" s="2290" t="s">
        <v>1978</v>
      </c>
      <c r="L5" s="2291" t="s">
        <v>1979</v>
      </c>
      <c r="M5" s="2292" t="s">
        <v>1980</v>
      </c>
      <c r="N5" s="2293" t="s">
        <v>1981</v>
      </c>
      <c r="O5" s="2291" t="s">
        <v>1982</v>
      </c>
      <c r="P5" s="2294" t="s">
        <v>1983</v>
      </c>
      <c r="Q5" s="67" t="s">
        <v>1984</v>
      </c>
      <c r="R5" s="2295" t="s">
        <v>1985</v>
      </c>
      <c r="S5" s="2296" t="s">
        <v>1986</v>
      </c>
      <c r="T5" s="2297" t="s">
        <v>1987</v>
      </c>
      <c r="U5" s="1264" t="s">
        <v>1988</v>
      </c>
      <c r="V5" s="1265" t="s">
        <v>1989</v>
      </c>
      <c r="W5" s="1265" t="s">
        <v>1990</v>
      </c>
      <c r="X5" s="69"/>
      <c r="Y5" s="68" t="s">
        <v>1991</v>
      </c>
      <c r="Z5" s="2298" t="s">
        <v>1988</v>
      </c>
      <c r="AA5" s="1265" t="s">
        <v>1989</v>
      </c>
      <c r="AB5" s="1265" t="s">
        <v>1990</v>
      </c>
      <c r="AC5" s="69"/>
      <c r="AD5" s="69" t="s">
        <v>1991</v>
      </c>
      <c r="AE5" s="1264" t="s">
        <v>1992</v>
      </c>
      <c r="AF5" s="1265" t="s">
        <v>1993</v>
      </c>
      <c r="AG5" s="68" t="s">
        <v>1994</v>
      </c>
      <c r="AH5" s="1264" t="s">
        <v>1995</v>
      </c>
      <c r="AI5" s="2298" t="s">
        <v>1996</v>
      </c>
      <c r="AJ5" s="2298" t="s">
        <v>1997</v>
      </c>
      <c r="AK5" s="1265" t="s">
        <v>1998</v>
      </c>
      <c r="AL5" s="1265" t="s">
        <v>1999</v>
      </c>
      <c r="AM5" s="68" t="s">
        <v>2000</v>
      </c>
      <c r="AN5" s="2299" t="s">
        <v>2001</v>
      </c>
      <c r="AO5" s="2070" t="s">
        <v>2002</v>
      </c>
      <c r="AP5" s="1246" t="s">
        <v>2003</v>
      </c>
      <c r="AQ5" s="2300" t="s">
        <v>2004</v>
      </c>
      <c r="AR5" s="2300"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1" t="str">
        <f>'数据-汇总表'!C19</f>
        <v>商业</v>
      </c>
      <c r="B6" s="2302" t="str">
        <f>IF(A6=0,"","经营性")</f>
        <v>经营性</v>
      </c>
      <c r="C6" s="2303" t="s">
        <v>1377</v>
      </c>
      <c r="D6" s="1048">
        <f>SUMIF(项目基本情况!D$12:I$12,C6,项目基本情况!D$14:I$14)</f>
        <v>40</v>
      </c>
      <c r="E6" s="1045">
        <f>IF(B6="","",SUMIF(项目基本情况!D$12:I$12,C6,项目基本情况!D$13:I$13))</f>
        <v>57066</v>
      </c>
      <c r="F6" s="70">
        <f>SUMIF(项目基本情况!D$12:I$12,C6,项目基本情况!D$15:I$15)</f>
        <v>37.880000000000003</v>
      </c>
      <c r="G6" s="71">
        <f>IF(ISERROR(ROUND(POWER(1+H6,D6-F6)*(POWER(1+H6,F6)-1)/(POWER(1+H6,D6)-1),3)),0,ROUND(POWER(1+H6,D6-F6)*(POWER(1+H6,F6)-1)/(POWER(1+H6,D6)-1),3))</f>
        <v>0.98399999999999999</v>
      </c>
      <c r="H6" s="796">
        <v>5.5E-2</v>
      </c>
      <c r="I6" s="796">
        <v>0.06</v>
      </c>
      <c r="J6" s="72">
        <v>0.08</v>
      </c>
      <c r="K6" s="1248">
        <f>SUMIF('数据-汇总表'!C$19:C$33,A6,'数据-汇总表'!E$19:E$33)</f>
        <v>10962.97</v>
      </c>
      <c r="L6" s="797">
        <v>3500</v>
      </c>
      <c r="M6" s="73">
        <f t="shared" ref="M6:M14" si="0">ROUND(K6*L6/10000,0)</f>
        <v>3837</v>
      </c>
      <c r="N6" s="795">
        <v>0.4</v>
      </c>
      <c r="O6" s="73">
        <f>IF($N$5="成新度","——",ROUND(M6*N6,0))</f>
        <v>1535</v>
      </c>
      <c r="P6" s="74">
        <f>IF($N$5="成新度","——",M6-O6)</f>
        <v>2302</v>
      </c>
      <c r="Q6" s="798">
        <v>0.35</v>
      </c>
      <c r="R6" s="75">
        <f ca="1">SUMIF('数据-汇总表'!C$19:C$33,A6,'数据-汇总表'!R$19:R$27)</f>
        <v>2698.7200000000003</v>
      </c>
      <c r="S6" s="54">
        <f>IF('数据-汇总表'!$I$17="按面积比例",SUMIF('数据-汇总表'!C$19:C$33,A6,'数据-汇总表'!K$19:K$33),SUMIF('数据-汇总表'!C$19:C$33,A6,'数据-汇总表'!N$19:N$33))</f>
        <v>292.68</v>
      </c>
      <c r="T6" s="1440">
        <f>ROUND($L$14*S6/10000,0)</f>
        <v>88</v>
      </c>
      <c r="U6" s="76"/>
      <c r="V6" s="77"/>
      <c r="W6" s="77"/>
      <c r="X6" s="1258"/>
      <c r="Y6" s="78"/>
      <c r="Z6" s="79"/>
      <c r="AA6" s="72"/>
      <c r="AB6" s="72"/>
      <c r="AC6" s="1258"/>
      <c r="AD6" s="80"/>
      <c r="AE6" s="1259">
        <f ca="1">IF(AN6="",0,SUMIF(INDIRECT("'"&amp;AN6&amp;"'"&amp;"!E:E"),$AE$5,INDIRECT("'"&amp;AN6&amp;"'"&amp;"!F:F")))</f>
        <v>0</v>
      </c>
      <c r="AF6" s="1801"/>
      <c r="AG6" s="143">
        <f>IF(AF6="",0,AE6-AF6)</f>
        <v>0</v>
      </c>
      <c r="AH6" s="81"/>
      <c r="AI6" s="83"/>
      <c r="AJ6" s="84"/>
      <c r="AK6" s="85"/>
      <c r="AL6" s="86"/>
      <c r="AM6" s="87"/>
      <c r="AN6" s="2304"/>
      <c r="AO6" s="55" t="e">
        <f ca="1">SUMIF(INDIRECT("'"&amp;AN6&amp;"'"&amp;"!A:A"),"总价",INDIRECT("'"&amp;AN6&amp;"'"&amp;"!B:B"))</f>
        <v>#REF!</v>
      </c>
      <c r="AP6" s="2305">
        <f>IF(C6="住宅",K6*L6,0)</f>
        <v>0</v>
      </c>
      <c r="AQ6" s="55">
        <f>ROUND($L$14*$N$14*S6/10000,0)</f>
        <v>35</v>
      </c>
      <c r="AR6" s="55">
        <f>ROUND($L$14*(1-$N$14)*S6/10000,0)</f>
        <v>53</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办公</v>
      </c>
      <c r="B7" s="2302" t="str">
        <f t="shared" ref="B7:B13" si="1">IF(A7=0,"","经营性")</f>
        <v>经营性</v>
      </c>
      <c r="C7" s="2303" t="s">
        <v>27</v>
      </c>
      <c r="D7" s="1048">
        <f>SUMIF(项目基本情况!D$12:I$12,C7,项目基本情况!D$14:I$14)</f>
        <v>50</v>
      </c>
      <c r="E7" s="1045">
        <f>IF(B7="","",SUMIF(项目基本情况!D$12:I$12,C7,项目基本情况!D$13:I$13))</f>
        <v>60718</v>
      </c>
      <c r="F7" s="70">
        <f>SUMIF(项目基本情况!D$12:I$12,C7,项目基本情况!D$15:I$15)</f>
        <v>47.89</v>
      </c>
      <c r="G7" s="71">
        <f t="shared" ref="G7:G11" si="2">IF(ISERROR(ROUND(POWER(1+H7,D7-F7)*(POWER(1+H7,F7)-1)/(POWER(1+H7,D7)-1),3)),0,ROUND(POWER(1+H7,D7-F7)*(POWER(1+H7,F7)-1)/(POWER(1+H7,D7)-1),3))</f>
        <v>0.98799999999999999</v>
      </c>
      <c r="H7" s="796">
        <v>4.4999999999999998E-2</v>
      </c>
      <c r="I7" s="796">
        <v>5.5E-2</v>
      </c>
      <c r="J7" s="72">
        <v>0.08</v>
      </c>
      <c r="K7" s="1248">
        <f>SUMIF('数据-汇总表'!C$19:C$33,A7,'数据-汇总表'!E$19:E$33)</f>
        <v>132544.03000000003</v>
      </c>
      <c r="L7" s="797">
        <v>3500</v>
      </c>
      <c r="M7" s="73">
        <f t="shared" si="0"/>
        <v>46390</v>
      </c>
      <c r="N7" s="795">
        <f>N6</f>
        <v>0.4</v>
      </c>
      <c r="O7" s="73">
        <f t="shared" ref="O7:O14" si="3">IF($N$5="成新度","——",ROUND(M7*N7,0))</f>
        <v>18556</v>
      </c>
      <c r="P7" s="74">
        <f t="shared" ref="P7:P14" si="4">IF($N$5="成新度","——",M7-O7)</f>
        <v>27834</v>
      </c>
      <c r="Q7" s="798">
        <v>0.3</v>
      </c>
      <c r="R7" s="75">
        <f ca="1">SUMIF('数据-汇总表'!C$19:C$33,A7,'数据-汇总表'!R$19:R$27)</f>
        <v>32628.03</v>
      </c>
      <c r="S7" s="54">
        <f>IF('数据-汇总表'!$I$17="按面积比例",SUMIF('数据-汇总表'!C$19:C$33,A7,'数据-汇总表'!K$19:K$33),SUMIF('数据-汇总表'!C$19:C$33,A7,'数据-汇总表'!N$19:N$33))</f>
        <v>3538.49</v>
      </c>
      <c r="T7" s="1440">
        <f t="shared" ref="T7:T13" si="5">ROUND($L$14*S7/10000,0)</f>
        <v>1062</v>
      </c>
      <c r="U7" s="76"/>
      <c r="V7" s="77"/>
      <c r="W7" s="77"/>
      <c r="X7" s="1258"/>
      <c r="Y7" s="78"/>
      <c r="Z7" s="79"/>
      <c r="AA7" s="72"/>
      <c r="AB7" s="72"/>
      <c r="AC7" s="1258"/>
      <c r="AD7" s="80"/>
      <c r="AE7" s="1259">
        <f t="shared" ref="AE7:AE13" ca="1" si="6">IF(AN7="",0,SUMIF(INDIRECT("'"&amp;AN7&amp;"'"&amp;"!E:E"),$AE$5,INDIRECT("'"&amp;AN7&amp;"'"&amp;"!F:F")))</f>
        <v>0</v>
      </c>
      <c r="AF7" s="1801"/>
      <c r="AG7" s="143">
        <f t="shared" ref="AG7:AG13" si="7">IF(AF7="",0,AE7-AF7)</f>
        <v>0</v>
      </c>
      <c r="AH7" s="81"/>
      <c r="AI7" s="83"/>
      <c r="AJ7" s="84"/>
      <c r="AK7" s="85"/>
      <c r="AL7" s="86"/>
      <c r="AM7" s="87"/>
      <c r="AN7" s="2304"/>
      <c r="AO7" s="55" t="e">
        <f t="shared" ref="AO7:AO13" ca="1" si="8">SUMIF(INDIRECT("'"&amp;AN7&amp;"'"&amp;"!A:A"),"总价",INDIRECT("'"&amp;AN7&amp;"'"&amp;"!B:B"))</f>
        <v>#REF!</v>
      </c>
      <c r="AP7" s="2305">
        <f t="shared" ref="AP7:AP13" si="9">IF(C7="住宅",K7*L7,0)</f>
        <v>0</v>
      </c>
      <c r="AQ7" s="55">
        <f t="shared" ref="AQ7:AQ13" si="10">ROUND($L$14*$N$14*S7/10000,0)</f>
        <v>425</v>
      </c>
      <c r="AR7" s="55">
        <f t="shared" ref="AR7:AR13" si="11">ROUND($L$14*(1-$N$14)*S7/10000,0)</f>
        <v>637</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v>
      </c>
      <c r="B8" s="2302" t="str">
        <f t="shared" si="1"/>
        <v>经营性</v>
      </c>
      <c r="C8" s="2303" t="s">
        <v>3072</v>
      </c>
      <c r="D8" s="1048">
        <f>SUMIF(项目基本情况!D$12:I$12,C8,项目基本情况!D$14:I$14)</f>
        <v>50</v>
      </c>
      <c r="E8" s="1045">
        <f>IF(B8="","",SUMIF(项目基本情况!D$12:I$12,C8,项目基本情况!D$13:I$13))</f>
        <v>60718</v>
      </c>
      <c r="F8" s="70">
        <f>SUMIF(项目基本情况!D$12:I$12,C8,项目基本情况!D$15:I$15)</f>
        <v>47.89</v>
      </c>
      <c r="G8" s="71">
        <f t="shared" si="2"/>
        <v>0.98799999999999999</v>
      </c>
      <c r="H8" s="796">
        <v>4.4999999999999998E-2</v>
      </c>
      <c r="I8" s="796">
        <v>0.05</v>
      </c>
      <c r="J8" s="72">
        <v>0.08</v>
      </c>
      <c r="K8" s="1248">
        <f>SUMIF('数据-汇总表'!C$19:C$33,A8,'数据-汇总表'!E$19:E$33)</f>
        <v>35129</v>
      </c>
      <c r="L8" s="797">
        <v>3000</v>
      </c>
      <c r="M8" s="73">
        <f>ROUND(K8*L8/10000,0)</f>
        <v>10539</v>
      </c>
      <c r="N8" s="795">
        <f>N7</f>
        <v>0.4</v>
      </c>
      <c r="O8" s="73">
        <f t="shared" si="3"/>
        <v>4216</v>
      </c>
      <c r="P8" s="74">
        <f t="shared" si="4"/>
        <v>6323</v>
      </c>
      <c r="Q8" s="798">
        <v>0.1</v>
      </c>
      <c r="R8" s="75">
        <f ca="1">SUMIF('数据-汇总表'!C$19:C$33,A8,'数据-汇总表'!R$19:R$27)</f>
        <v>8647.6200000000008</v>
      </c>
      <c r="S8" s="54">
        <f>IF('数据-汇总表'!$I$17="按面积比例",SUMIF('数据-汇总表'!C$19:C$33,A8,'数据-汇总表'!K$19:K$33),SUMIF('数据-汇总表'!C$19:C$33,A8,'数据-汇总表'!N$19:N$33))</f>
        <v>937.83</v>
      </c>
      <c r="T8" s="1440">
        <f t="shared" si="5"/>
        <v>281</v>
      </c>
      <c r="U8" s="799">
        <v>500</v>
      </c>
      <c r="V8" s="800">
        <v>0</v>
      </c>
      <c r="W8" s="800">
        <v>0.1</v>
      </c>
      <c r="X8" s="1258"/>
      <c r="Y8" s="801">
        <v>1</v>
      </c>
      <c r="Z8" s="79"/>
      <c r="AA8" s="72"/>
      <c r="AB8" s="72"/>
      <c r="AC8" s="1258"/>
      <c r="AD8" s="80"/>
      <c r="AE8" s="1259">
        <f t="shared" ca="1" si="6"/>
        <v>45.89</v>
      </c>
      <c r="AF8" s="1801"/>
      <c r="AG8" s="143">
        <f t="shared" si="7"/>
        <v>0</v>
      </c>
      <c r="AH8" s="802">
        <v>1263</v>
      </c>
      <c r="AI8" s="83">
        <v>12</v>
      </c>
      <c r="AJ8" s="84"/>
      <c r="AK8" s="803">
        <v>0.01</v>
      </c>
      <c r="AL8" s="804">
        <v>1E-3</v>
      </c>
      <c r="AM8" s="805">
        <v>0.01</v>
      </c>
      <c r="AN8" s="2304" t="s">
        <v>3076</v>
      </c>
      <c r="AO8" s="55">
        <f t="shared" ca="1" si="8"/>
        <v>6057</v>
      </c>
      <c r="AP8" s="2305">
        <f t="shared" si="9"/>
        <v>0</v>
      </c>
      <c r="AQ8" s="55">
        <f t="shared" si="10"/>
        <v>113</v>
      </c>
      <c r="AR8" s="55">
        <f t="shared" si="11"/>
        <v>169</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0">
        <f>SUMIF(项目基本情况!D$12:I$12,C9,项目基本情况!D$15:I$15)</f>
        <v>0</v>
      </c>
      <c r="G9" s="71">
        <f t="shared" si="2"/>
        <v>0</v>
      </c>
      <c r="H9" s="72"/>
      <c r="I9" s="72"/>
      <c r="J9" s="72"/>
      <c r="K9" s="1248">
        <f>SUMIF('数据-汇总表'!C$19:C$33,A9,'数据-汇总表'!E$19:E$33)</f>
        <v>0</v>
      </c>
      <c r="L9" s="797"/>
      <c r="M9" s="73">
        <f t="shared" si="0"/>
        <v>0</v>
      </c>
      <c r="N9" s="795"/>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40">
        <f t="shared" si="5"/>
        <v>0</v>
      </c>
      <c r="U9" s="76"/>
      <c r="V9" s="77"/>
      <c r="W9" s="77"/>
      <c r="X9" s="1258"/>
      <c r="Y9" s="78"/>
      <c r="Z9" s="79"/>
      <c r="AA9" s="72"/>
      <c r="AB9" s="72"/>
      <c r="AC9" s="1258"/>
      <c r="AD9" s="80"/>
      <c r="AE9" s="1259">
        <f t="shared" ca="1" si="6"/>
        <v>0</v>
      </c>
      <c r="AF9" s="1801"/>
      <c r="AG9" s="143">
        <f t="shared" si="7"/>
        <v>0</v>
      </c>
      <c r="AH9" s="81"/>
      <c r="AI9" s="83"/>
      <c r="AJ9" s="84"/>
      <c r="AK9" s="85"/>
      <c r="AL9" s="86"/>
      <c r="AM9" s="87"/>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0">
        <f>SUMIF(项目基本情况!D$12:I$12,C10,项目基本情况!D$15:I$15)</f>
        <v>0</v>
      </c>
      <c r="G10" s="71">
        <f t="shared" si="2"/>
        <v>0</v>
      </c>
      <c r="H10" s="72"/>
      <c r="I10" s="72"/>
      <c r="J10" s="72"/>
      <c r="K10" s="1248">
        <f>SUMIF('数据-汇总表'!C$19:C$33,A10,'数据-汇总表'!E$19:E$33)</f>
        <v>0</v>
      </c>
      <c r="L10" s="797"/>
      <c r="M10" s="73">
        <f t="shared" si="0"/>
        <v>0</v>
      </c>
      <c r="N10" s="795"/>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40">
        <f t="shared" si="5"/>
        <v>0</v>
      </c>
      <c r="U10" s="76"/>
      <c r="V10" s="77"/>
      <c r="W10" s="77"/>
      <c r="X10" s="1258"/>
      <c r="Y10" s="78"/>
      <c r="Z10" s="79"/>
      <c r="AA10" s="72"/>
      <c r="AB10" s="72"/>
      <c r="AC10" s="1258"/>
      <c r="AD10" s="80"/>
      <c r="AE10" s="1259">
        <f t="shared" ca="1" si="6"/>
        <v>0</v>
      </c>
      <c r="AF10" s="1801"/>
      <c r="AG10" s="143">
        <f t="shared" si="7"/>
        <v>0</v>
      </c>
      <c r="AH10" s="81"/>
      <c r="AI10" s="83"/>
      <c r="AJ10" s="84"/>
      <c r="AK10" s="85"/>
      <c r="AL10" s="86"/>
      <c r="AM10" s="87"/>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0">
        <f>SUMIF(项目基本情况!D$12:I$12,C11,项目基本情况!D$15:I$15)</f>
        <v>0</v>
      </c>
      <c r="G11" s="71">
        <f t="shared" si="2"/>
        <v>0</v>
      </c>
      <c r="H11" s="72"/>
      <c r="I11" s="72"/>
      <c r="J11" s="72"/>
      <c r="K11" s="1248">
        <f>SUMIF('数据-汇总表'!C$19:C$33,A11,'数据-汇总表'!E$19:E$33)</f>
        <v>0</v>
      </c>
      <c r="L11" s="89"/>
      <c r="M11" s="73">
        <f t="shared" si="0"/>
        <v>0</v>
      </c>
      <c r="N11" s="90"/>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40">
        <f t="shared" si="5"/>
        <v>0</v>
      </c>
      <c r="U11" s="81"/>
      <c r="V11" s="72"/>
      <c r="W11" s="72"/>
      <c r="X11" s="1258"/>
      <c r="Y11" s="78"/>
      <c r="Z11" s="91"/>
      <c r="AA11" s="72"/>
      <c r="AB11" s="72"/>
      <c r="AC11" s="1258"/>
      <c r="AD11" s="80"/>
      <c r="AE11" s="1259">
        <f t="shared" ca="1" si="6"/>
        <v>0</v>
      </c>
      <c r="AF11" s="1801"/>
      <c r="AG11" s="143">
        <f t="shared" si="7"/>
        <v>0</v>
      </c>
      <c r="AH11" s="81"/>
      <c r="AI11" s="83"/>
      <c r="AJ11" s="84"/>
      <c r="AK11" s="92"/>
      <c r="AL11" s="93"/>
      <c r="AM11" s="94"/>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8">
        <f>SUMIF('数据-汇总表'!C$19:C$33,A12,'数据-汇总表'!E$19:E$33)</f>
        <v>0</v>
      </c>
      <c r="L12" s="89"/>
      <c r="M12" s="73">
        <f>ROUND(K12*L12/10000,0)</f>
        <v>0</v>
      </c>
      <c r="N12" s="90"/>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40">
        <f t="shared" si="5"/>
        <v>0</v>
      </c>
      <c r="U12" s="81"/>
      <c r="V12" s="72"/>
      <c r="W12" s="72"/>
      <c r="X12" s="1258"/>
      <c r="Y12" s="78"/>
      <c r="Z12" s="91"/>
      <c r="AA12" s="72"/>
      <c r="AB12" s="72"/>
      <c r="AC12" s="1258"/>
      <c r="AD12" s="80"/>
      <c r="AE12" s="1259">
        <f t="shared" ca="1" si="6"/>
        <v>0</v>
      </c>
      <c r="AF12" s="1801"/>
      <c r="AG12" s="143">
        <f t="shared" si="7"/>
        <v>0</v>
      </c>
      <c r="AH12" s="81"/>
      <c r="AI12" s="83"/>
      <c r="AJ12" s="84"/>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8">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40">
        <f t="shared" si="5"/>
        <v>0</v>
      </c>
      <c r="U13" s="76"/>
      <c r="V13" s="77"/>
      <c r="W13" s="77"/>
      <c r="X13" s="1258"/>
      <c r="Y13" s="78"/>
      <c r="Z13" s="79"/>
      <c r="AA13" s="72"/>
      <c r="AB13" s="72"/>
      <c r="AC13" s="1258"/>
      <c r="AD13" s="80"/>
      <c r="AE13" s="1259">
        <f t="shared" ca="1" si="6"/>
        <v>0</v>
      </c>
      <c r="AF13" s="1801"/>
      <c r="AG13" s="143">
        <f t="shared" si="7"/>
        <v>0</v>
      </c>
      <c r="AH13" s="81"/>
      <c r="AI13" s="83"/>
      <c r="AJ13" s="84"/>
      <c r="AK13" s="85"/>
      <c r="AL13" s="86"/>
      <c r="AM13" s="87"/>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2006</v>
      </c>
      <c r="B14" s="2302" t="s">
        <v>2007</v>
      </c>
      <c r="C14" s="2307" t="s">
        <v>2006</v>
      </c>
      <c r="D14" s="1048"/>
      <c r="E14" s="1045"/>
      <c r="F14" s="70"/>
      <c r="G14" s="71"/>
      <c r="H14" s="1247"/>
      <c r="I14" s="1247"/>
      <c r="J14" s="1247"/>
      <c r="K14" s="1248">
        <f>SUMIF('数据-汇总表'!C$19:C$33,A14,'数据-汇总表'!E$19:E$33)</f>
        <v>4769</v>
      </c>
      <c r="L14" s="89">
        <f>L8</f>
        <v>3000</v>
      </c>
      <c r="M14" s="73">
        <f t="shared" si="0"/>
        <v>1431</v>
      </c>
      <c r="N14" s="90">
        <f>N6</f>
        <v>0.4</v>
      </c>
      <c r="O14" s="73">
        <f t="shared" si="3"/>
        <v>572</v>
      </c>
      <c r="P14" s="74">
        <f t="shared" si="4"/>
        <v>859</v>
      </c>
      <c r="Q14" s="1251"/>
      <c r="R14" s="75"/>
      <c r="S14" s="54"/>
      <c r="T14" s="1440"/>
      <c r="U14" s="719"/>
      <c r="V14" s="1253"/>
      <c r="W14" s="1253"/>
      <c r="X14" s="1254"/>
      <c r="Y14" s="1255"/>
      <c r="Z14" s="1256"/>
      <c r="AA14" s="1257"/>
      <c r="AB14" s="1257"/>
      <c r="AC14" s="1258"/>
      <c r="AD14" s="1254"/>
      <c r="AE14" s="1259"/>
      <c r="AF14" s="55"/>
      <c r="AG14" s="143"/>
      <c r="AH14" s="1259"/>
      <c r="AI14" s="1812"/>
      <c r="AJ14" s="767"/>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2008</v>
      </c>
      <c r="B15" s="2302" t="s">
        <v>2007</v>
      </c>
      <c r="C15" s="2307" t="s">
        <v>2009</v>
      </c>
      <c r="D15" s="1048"/>
      <c r="E15" s="1045"/>
      <c r="F15" s="70"/>
      <c r="G15" s="71"/>
      <c r="H15" s="1247"/>
      <c r="I15" s="1247"/>
      <c r="J15" s="1247"/>
      <c r="K15" s="1248">
        <f>SUMIF('数据-汇总表'!C$19:C$33,A15,'数据-汇总表'!E$19:E$33)</f>
        <v>0</v>
      </c>
      <c r="L15" s="1249"/>
      <c r="M15" s="73"/>
      <c r="N15" s="1250"/>
      <c r="O15" s="73"/>
      <c r="P15" s="74"/>
      <c r="Q15" s="1251"/>
      <c r="R15" s="75"/>
      <c r="S15" s="54"/>
      <c r="T15" s="1440"/>
      <c r="U15" s="719"/>
      <c r="V15" s="1253"/>
      <c r="W15" s="1253"/>
      <c r="X15" s="1254"/>
      <c r="Y15" s="1255"/>
      <c r="Z15" s="1256"/>
      <c r="AA15" s="1257"/>
      <c r="AB15" s="1257"/>
      <c r="AC15" s="1258"/>
      <c r="AD15" s="1254"/>
      <c r="AE15" s="1259"/>
      <c r="AF15" s="55"/>
      <c r="AG15" s="143"/>
      <c r="AH15" s="1259"/>
      <c r="AI15" s="1812"/>
      <c r="AJ15" s="767"/>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2010</v>
      </c>
      <c r="B16" s="95"/>
      <c r="C16" s="1002"/>
      <c r="D16" s="2309"/>
      <c r="E16" s="95"/>
      <c r="F16" s="95"/>
      <c r="G16" s="96">
        <f>ROUND(SUMPRODUCT(G6:G13,K6:K13)/SUMPRODUCT((G6:G13&gt;0)*(K6:K13)),3)</f>
        <v>0.98799999999999999</v>
      </c>
      <c r="H16" s="97">
        <f>ROUND(SUMPRODUCT(H6:H13,K6:K13)/SUMPRODUCT((H6:H13&gt;0)*(K6:K13)),3)</f>
        <v>4.5999999999999999E-2</v>
      </c>
      <c r="I16" s="98"/>
      <c r="J16" s="98"/>
      <c r="K16" s="99">
        <f>SUM(K6:K15)</f>
        <v>183405.00000000003</v>
      </c>
      <c r="L16" s="100">
        <f>ROUND(M16*10000/SUM(K6:K14),0)</f>
        <v>3391</v>
      </c>
      <c r="M16" s="100">
        <f>SUM(M6:M14)</f>
        <v>62197</v>
      </c>
      <c r="N16" s="101">
        <f>ROUND(SUMPRODUCT(M6:M14,N6:N14)/M16,3)</f>
        <v>0.4</v>
      </c>
      <c r="O16" s="100">
        <f>SUM(O6:O14)</f>
        <v>24879</v>
      </c>
      <c r="P16" s="100">
        <f>SUM(P6:P14)</f>
        <v>37318</v>
      </c>
      <c r="Q16" s="102">
        <f>ROUND(SUMPRODUCT(Q6:Q13,K6:K13)/SUMPRODUCT((Q6:Q13&gt;0)*(K6:K13)),2)</f>
        <v>0.26</v>
      </c>
      <c r="R16" s="1252">
        <f ca="1">SUM(R6:R13)</f>
        <v>43974.37</v>
      </c>
      <c r="S16" s="103">
        <f>SUM(S6:S13)</f>
        <v>4769</v>
      </c>
      <c r="T16" s="104">
        <f>IF(SUMIF(T6:T13,"&lt;9E307")=M14,SUMIF(T6:T13,"&lt;9E307"),"有误，请检查")</f>
        <v>1431</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6"/>
      <c r="C17" s="1578"/>
      <c r="D17" s="2268"/>
      <c r="E17" s="2268"/>
      <c r="F17" s="1578"/>
      <c r="G17" s="1578"/>
      <c r="H17" s="1578"/>
      <c r="I17" s="1578"/>
      <c r="J17" s="1578"/>
      <c r="K17" s="164"/>
      <c r="L17" s="164"/>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6" t="s">
        <v>2011</v>
      </c>
      <c r="B18" s="2275"/>
      <c r="C18" s="2272"/>
      <c r="D18" s="2273"/>
      <c r="E18" s="2272"/>
      <c r="F18" s="2272"/>
      <c r="G18" s="2272"/>
      <c r="H18" s="2272"/>
      <c r="I18" s="2272"/>
      <c r="J18" s="2272"/>
      <c r="K18" s="164"/>
      <c r="L18" s="164"/>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2012</v>
      </c>
      <c r="B19" s="110">
        <v>0</v>
      </c>
      <c r="C19" s="2272" t="s">
        <v>2013</v>
      </c>
      <c r="D19" s="2273"/>
      <c r="E19" s="2272"/>
      <c r="F19" s="2272"/>
      <c r="G19" s="2272"/>
      <c r="H19" s="2272"/>
      <c r="I19" s="2272"/>
      <c r="J19" s="2272"/>
      <c r="K19" s="164"/>
      <c r="L19" s="164"/>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2014</v>
      </c>
      <c r="B20" s="111">
        <v>3</v>
      </c>
      <c r="C20" s="2272" t="s">
        <v>2015</v>
      </c>
      <c r="D20" s="2273"/>
      <c r="E20" s="2272"/>
      <c r="F20" s="2272"/>
      <c r="G20" s="2272"/>
      <c r="H20" s="2272"/>
      <c r="I20" s="2272"/>
      <c r="J20" s="2272"/>
      <c r="K20" s="164"/>
      <c r="L20" s="164"/>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2016</v>
      </c>
      <c r="B21" s="111">
        <v>1</v>
      </c>
      <c r="C21" s="2272"/>
      <c r="D21" s="2273"/>
      <c r="E21" s="2272"/>
      <c r="F21" s="2272"/>
      <c r="G21" s="2272"/>
      <c r="H21" s="2272"/>
      <c r="I21" s="2272"/>
      <c r="J21" s="2272"/>
      <c r="K21" s="164"/>
      <c r="L21" s="164"/>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2017</v>
      </c>
      <c r="B22" s="112">
        <f>B19+B20</f>
        <v>3</v>
      </c>
      <c r="C22" s="2272"/>
      <c r="D22" s="2273"/>
      <c r="E22" s="2272"/>
      <c r="F22" s="2272"/>
      <c r="G22" s="2272"/>
      <c r="H22" s="2272"/>
      <c r="I22" s="2272"/>
      <c r="J22" s="2272"/>
      <c r="K22" s="164"/>
      <c r="L22" s="164"/>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2018</v>
      </c>
      <c r="B23" s="112">
        <f>B19+B21</f>
        <v>1</v>
      </c>
      <c r="C23" s="2272"/>
      <c r="D23" s="2273"/>
      <c r="E23" s="2272"/>
      <c r="F23" s="2272"/>
      <c r="G23" s="2272"/>
      <c r="H23" s="2272"/>
      <c r="I23" s="2272"/>
      <c r="J23" s="2272"/>
      <c r="K23" s="164"/>
      <c r="L23" s="164"/>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2019</v>
      </c>
      <c r="B24" s="113">
        <f>B20-B21</f>
        <v>2</v>
      </c>
      <c r="C24" s="2272"/>
      <c r="D24" s="2273"/>
      <c r="E24" s="2272"/>
      <c r="F24" s="2272"/>
      <c r="G24" s="2272"/>
      <c r="H24" s="2272"/>
      <c r="I24" s="2272"/>
      <c r="J24" s="2272"/>
      <c r="K24" s="164"/>
      <c r="L24" s="164"/>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4"/>
      <c r="L25" s="164"/>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2020</v>
      </c>
      <c r="B26" s="2315" t="s">
        <v>2021</v>
      </c>
      <c r="C26" s="2316" t="s">
        <v>2022</v>
      </c>
      <c r="D26" s="2273"/>
      <c r="E26" s="2272"/>
      <c r="F26" s="2272"/>
      <c r="G26" s="2272"/>
      <c r="H26" s="2272"/>
      <c r="I26" s="2272"/>
      <c r="J26" s="2272"/>
      <c r="K26" s="164"/>
      <c r="L26" s="164"/>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2023</v>
      </c>
      <c r="B27" s="116">
        <v>150</v>
      </c>
      <c r="C27" s="1761" t="s">
        <v>2024</v>
      </c>
      <c r="D27" s="2318"/>
      <c r="E27" s="1424"/>
      <c r="F27" s="1424"/>
      <c r="G27" s="2272"/>
      <c r="H27" s="2272"/>
      <c r="I27" s="2272"/>
      <c r="J27" s="2272"/>
      <c r="K27" s="164"/>
      <c r="L27" s="164"/>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2025</v>
      </c>
      <c r="B28" s="116">
        <v>190</v>
      </c>
      <c r="C28" s="2321"/>
      <c r="D28" s="2318"/>
      <c r="E28" s="1424"/>
      <c r="F28" s="1424"/>
      <c r="G28" s="2272"/>
      <c r="H28" s="2272"/>
      <c r="I28" s="2272"/>
      <c r="J28" s="2272"/>
      <c r="K28" s="164"/>
      <c r="L28" s="164"/>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2026</v>
      </c>
      <c r="B29" s="116">
        <f>ROUND(B28*K16/10000,0)</f>
        <v>3485</v>
      </c>
      <c r="C29" s="1761" t="s">
        <v>2027</v>
      </c>
      <c r="D29" s="2318"/>
      <c r="E29" s="1424"/>
      <c r="F29" s="1424"/>
      <c r="G29" s="2272"/>
      <c r="H29" s="2272"/>
      <c r="I29" s="2272"/>
      <c r="J29" s="2272"/>
      <c r="K29" s="164"/>
      <c r="L29" s="164"/>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2028</v>
      </c>
      <c r="B30" s="116">
        <v>200</v>
      </c>
      <c r="C30" s="2321"/>
      <c r="D30" s="2318"/>
      <c r="E30" s="1424"/>
      <c r="F30" s="1424"/>
      <c r="G30" s="2272"/>
      <c r="H30" s="2272"/>
      <c r="I30" s="2272"/>
      <c r="J30" s="2272"/>
      <c r="K30" s="164"/>
      <c r="L30" s="164"/>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2029</v>
      </c>
      <c r="B31" s="117">
        <f>B30-B32</f>
        <v>200</v>
      </c>
      <c r="C31" s="1761"/>
      <c r="D31" s="2318"/>
      <c r="E31" s="1424"/>
      <c r="F31" s="1424"/>
      <c r="G31" s="2272"/>
      <c r="H31" s="2272"/>
      <c r="I31" s="2272"/>
      <c r="J31" s="2272"/>
      <c r="K31" s="164"/>
      <c r="L31" s="164"/>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2030</v>
      </c>
      <c r="B32" s="116">
        <v>0</v>
      </c>
      <c r="C32" s="2321"/>
      <c r="D32" s="2273"/>
      <c r="E32" s="2272"/>
      <c r="F32" s="2272"/>
      <c r="G32" s="2272"/>
      <c r="H32" s="2272"/>
      <c r="I32" s="2272"/>
      <c r="J32" s="2272"/>
      <c r="K32" s="164"/>
      <c r="L32" s="164"/>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2031</v>
      </c>
      <c r="B33" s="720">
        <v>0.03</v>
      </c>
      <c r="C33" s="1760" t="s">
        <v>2032</v>
      </c>
      <c r="D33" s="2273"/>
      <c r="E33" s="2272"/>
      <c r="F33" s="2272"/>
      <c r="G33" s="2272"/>
      <c r="H33" s="2272"/>
      <c r="I33" s="2272"/>
      <c r="J33" s="2272"/>
      <c r="K33" s="164"/>
      <c r="L33" s="164"/>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2033</v>
      </c>
      <c r="B34" s="118">
        <v>0</v>
      </c>
      <c r="C34" s="1760" t="s">
        <v>2034</v>
      </c>
      <c r="D34" s="2273" t="s">
        <v>2035</v>
      </c>
      <c r="E34" s="726"/>
      <c r="F34" s="2272"/>
      <c r="G34" s="2272"/>
      <c r="H34" s="2272"/>
      <c r="I34" s="2272"/>
      <c r="J34" s="2272"/>
      <c r="K34" s="164"/>
      <c r="L34" s="164"/>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2036</v>
      </c>
      <c r="B35" s="116">
        <v>200</v>
      </c>
      <c r="C35" s="1760" t="s">
        <v>2037</v>
      </c>
      <c r="D35" s="2318"/>
      <c r="E35" s="1424"/>
      <c r="F35" s="1424"/>
      <c r="G35" s="2272"/>
      <c r="H35" s="2272"/>
      <c r="I35" s="2272"/>
      <c r="J35" s="2272"/>
      <c r="K35" s="164"/>
      <c r="L35" s="164"/>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2038</v>
      </c>
      <c r="B36" s="119">
        <v>1.4999999999999999E-2</v>
      </c>
      <c r="C36" s="1760" t="s">
        <v>2039</v>
      </c>
      <c r="D36" s="2273"/>
      <c r="E36" s="2272"/>
      <c r="F36" s="2272"/>
      <c r="G36" s="2272"/>
      <c r="H36" s="2272"/>
      <c r="I36" s="2272"/>
      <c r="J36" s="2272"/>
      <c r="K36" s="164"/>
      <c r="L36" s="164"/>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2040</v>
      </c>
      <c r="B37" s="120">
        <v>1.4999999999999999E-2</v>
      </c>
      <c r="C37" s="1760" t="s">
        <v>2041</v>
      </c>
      <c r="D37" s="2273"/>
      <c r="E37" s="2272"/>
      <c r="F37" s="2272"/>
      <c r="G37" s="2272"/>
      <c r="H37" s="2272"/>
      <c r="I37" s="2272"/>
      <c r="J37" s="2272"/>
      <c r="K37" s="164"/>
      <c r="L37" s="164"/>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2042</v>
      </c>
      <c r="B38" s="118">
        <v>0.02</v>
      </c>
      <c r="C38" s="1760" t="s">
        <v>2041</v>
      </c>
      <c r="D38" s="2273"/>
      <c r="E38" s="2272"/>
      <c r="F38" s="2272"/>
      <c r="G38" s="2272"/>
      <c r="H38" s="2272"/>
      <c r="I38" s="2272"/>
      <c r="J38" s="2272"/>
      <c r="K38" s="164"/>
      <c r="L38" s="164"/>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2043</v>
      </c>
      <c r="B39" s="358">
        <f ca="1">存贷款利率!I1</f>
        <v>1.4999999999999999E-2</v>
      </c>
      <c r="C39" s="1760"/>
      <c r="D39" s="2273"/>
      <c r="E39" s="2272"/>
      <c r="F39" s="2272"/>
      <c r="G39" s="2272"/>
      <c r="H39" s="2272"/>
      <c r="I39" s="2272"/>
      <c r="J39" s="2272"/>
      <c r="K39" s="164"/>
      <c r="L39" s="164"/>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2044</v>
      </c>
      <c r="B40" s="1297">
        <f ca="1">存贷款利率!G1</f>
        <v>4.7500000000000001E-2</v>
      </c>
      <c r="C40" s="1760" t="s">
        <v>2045</v>
      </c>
      <c r="D40" s="1578"/>
      <c r="E40" s="2273"/>
      <c r="F40" s="2272"/>
      <c r="G40" s="2272"/>
      <c r="H40" s="2272"/>
      <c r="I40" s="2272"/>
      <c r="J40" s="2272"/>
      <c r="K40" s="164"/>
      <c r="L40" s="164"/>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2046</v>
      </c>
      <c r="B41" s="121">
        <f>B42+B43</f>
        <v>5.5000000000000007E-2</v>
      </c>
      <c r="C41" s="1761"/>
      <c r="D41" s="1578"/>
      <c r="E41" s="2273"/>
      <c r="F41" s="2272"/>
      <c r="G41" s="2272"/>
      <c r="H41" s="2272"/>
      <c r="I41" s="2272"/>
      <c r="J41" s="2272"/>
      <c r="K41" s="164"/>
      <c r="L41" s="164"/>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2047</v>
      </c>
      <c r="B42" s="122">
        <v>0.05</v>
      </c>
      <c r="C42" s="2326">
        <f>IF(B2&lt;DATE(2016,5,1),0,B42)</f>
        <v>0.05</v>
      </c>
      <c r="D42" s="2273"/>
      <c r="E42" s="2272"/>
      <c r="F42" s="2272"/>
      <c r="G42" s="2272"/>
      <c r="H42" s="2272"/>
      <c r="I42" s="2272"/>
      <c r="J42" s="2272"/>
      <c r="K42" s="164"/>
      <c r="L42" s="164"/>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2048</v>
      </c>
      <c r="B43" s="123">
        <f>B42*(B44+B45+B46)+B47</f>
        <v>5.000000000000001E-3</v>
      </c>
      <c r="C43" s="1761"/>
      <c r="D43" s="2273"/>
      <c r="E43" s="2272"/>
      <c r="F43" s="2272"/>
      <c r="G43" s="2272"/>
      <c r="H43" s="2272"/>
      <c r="I43" s="2272"/>
      <c r="J43" s="2272"/>
      <c r="K43" s="164"/>
      <c r="L43" s="164"/>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2049</v>
      </c>
      <c r="B44" s="124">
        <v>0.05</v>
      </c>
      <c r="C44" s="1760" t="s">
        <v>2050</v>
      </c>
      <c r="D44" s="2273"/>
      <c r="E44" s="2272"/>
      <c r="F44" s="2272"/>
      <c r="G44" s="2272"/>
      <c r="H44" s="2272"/>
      <c r="I44" s="2272"/>
      <c r="J44" s="2272"/>
      <c r="K44" s="164"/>
      <c r="L44" s="164"/>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2051</v>
      </c>
      <c r="B45" s="122">
        <v>0.03</v>
      </c>
      <c r="C45" s="1761" t="s">
        <v>2052</v>
      </c>
      <c r="D45" s="2273"/>
      <c r="E45" s="2272"/>
      <c r="F45" s="2272"/>
      <c r="G45" s="2272"/>
      <c r="H45" s="2272"/>
      <c r="I45" s="2272"/>
      <c r="J45" s="2272"/>
      <c r="K45" s="164"/>
      <c r="L45" s="164"/>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2053</v>
      </c>
      <c r="B46" s="122">
        <v>0.02</v>
      </c>
      <c r="C46" s="1761" t="s">
        <v>2054</v>
      </c>
      <c r="D46" s="2273"/>
      <c r="E46" s="2272"/>
      <c r="F46" s="2272"/>
      <c r="G46" s="2272"/>
      <c r="H46" s="2272"/>
      <c r="I46" s="2272"/>
      <c r="J46" s="2272"/>
      <c r="K46" s="164"/>
      <c r="L46" s="164"/>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2055</v>
      </c>
      <c r="B47" s="125">
        <v>0</v>
      </c>
      <c r="C47" s="1761" t="s">
        <v>2056</v>
      </c>
      <c r="D47" s="2273"/>
      <c r="E47" s="2272"/>
      <c r="F47" s="2272"/>
      <c r="G47" s="2272"/>
      <c r="H47" s="2272"/>
      <c r="I47" s="2272"/>
      <c r="J47" s="2272"/>
      <c r="K47" s="164"/>
      <c r="L47" s="164"/>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2057</v>
      </c>
      <c r="B48" s="126">
        <v>0.03</v>
      </c>
      <c r="C48" s="1768" t="s">
        <v>2058</v>
      </c>
      <c r="D48" s="2273"/>
      <c r="E48" s="2272"/>
      <c r="F48" s="2272"/>
      <c r="G48" s="2272"/>
      <c r="H48" s="2272"/>
      <c r="I48" s="2272"/>
      <c r="J48" s="2272"/>
      <c r="K48" s="164"/>
      <c r="L48" s="164"/>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2059</v>
      </c>
      <c r="B49" s="122">
        <v>5.0000000000000001E-4</v>
      </c>
      <c r="C49" s="1768" t="s">
        <v>2060</v>
      </c>
      <c r="D49" s="2273"/>
      <c r="E49" s="2272"/>
      <c r="F49" s="2272"/>
      <c r="G49" s="2272"/>
      <c r="H49" s="2272"/>
      <c r="I49" s="2272"/>
      <c r="J49" s="2272"/>
      <c r="K49" s="164"/>
      <c r="L49" s="164"/>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2061</v>
      </c>
      <c r="B50" s="127">
        <v>1.2E-2</v>
      </c>
      <c r="C50" s="1424"/>
      <c r="D50" s="2273"/>
      <c r="E50" s="2272"/>
      <c r="F50" s="2272"/>
      <c r="G50" s="2272"/>
      <c r="H50" s="2272"/>
      <c r="I50" s="2272"/>
      <c r="J50" s="2272"/>
      <c r="K50" s="164"/>
      <c r="L50" s="164"/>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2062</v>
      </c>
      <c r="B51" s="128">
        <v>0.12</v>
      </c>
      <c r="C51" s="1424"/>
      <c r="D51" s="2273"/>
      <c r="E51" s="2272"/>
      <c r="F51" s="2272"/>
      <c r="G51" s="2272"/>
      <c r="H51" s="2272"/>
      <c r="I51" s="2272"/>
      <c r="J51" s="2272"/>
      <c r="K51" s="164"/>
      <c r="L51" s="164"/>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2063</v>
      </c>
      <c r="B52" s="129">
        <f>SUMIF(A54:A63,B53,B54:B63)</f>
        <v>1.5</v>
      </c>
      <c r="C52" s="1424"/>
      <c r="D52" s="2273"/>
      <c r="E52" s="2272"/>
      <c r="F52" s="2272"/>
      <c r="G52" s="2272"/>
      <c r="H52" s="2272"/>
      <c r="I52" s="2272"/>
      <c r="J52" s="2272"/>
      <c r="K52" s="164"/>
      <c r="L52" s="164"/>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2064</v>
      </c>
      <c r="B53" s="2331" t="s">
        <v>56</v>
      </c>
      <c r="C53" s="1424" t="s">
        <v>2065</v>
      </c>
      <c r="D53" s="2332" t="s">
        <v>2066</v>
      </c>
      <c r="E53" s="2272"/>
      <c r="F53" s="2272"/>
      <c r="G53" s="2272"/>
      <c r="H53" s="2272"/>
      <c r="I53" s="2272"/>
      <c r="J53" s="2272"/>
      <c r="K53" s="164"/>
      <c r="L53" s="164"/>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2067</v>
      </c>
      <c r="B54" s="3272">
        <v>30</v>
      </c>
      <c r="C54" s="1424">
        <v>30</v>
      </c>
      <c r="D54" s="2273"/>
      <c r="E54" s="2272"/>
      <c r="F54" s="2272"/>
      <c r="G54" s="2272"/>
      <c r="H54" s="2272"/>
      <c r="I54" s="2272"/>
      <c r="J54" s="2272"/>
      <c r="K54" s="164"/>
      <c r="L54" s="164"/>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2068</v>
      </c>
      <c r="B55" s="3272">
        <v>24</v>
      </c>
      <c r="C55" s="1424">
        <v>24</v>
      </c>
      <c r="D55" s="2273"/>
      <c r="E55" s="2272"/>
      <c r="F55" s="2272"/>
      <c r="G55" s="2272"/>
      <c r="H55" s="2272"/>
      <c r="I55" s="2334"/>
      <c r="J55" s="2272"/>
      <c r="K55" s="164"/>
      <c r="L55" s="164"/>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2069</v>
      </c>
      <c r="B56" s="3272">
        <v>18</v>
      </c>
      <c r="C56" s="1424">
        <v>18</v>
      </c>
      <c r="D56" s="2273"/>
      <c r="E56" s="2272"/>
      <c r="F56" s="2272"/>
      <c r="G56" s="2272"/>
      <c r="H56" s="2272"/>
      <c r="I56" s="2272"/>
      <c r="J56" s="2272"/>
      <c r="K56" s="164"/>
      <c r="L56" s="164"/>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2070</v>
      </c>
      <c r="B57" s="3272">
        <v>12</v>
      </c>
      <c r="C57" s="1424">
        <v>12</v>
      </c>
      <c r="D57" s="2273"/>
      <c r="E57" s="2272"/>
      <c r="F57" s="2272"/>
      <c r="G57" s="2272"/>
      <c r="H57" s="2272"/>
      <c r="I57" s="2272"/>
      <c r="J57" s="2272"/>
      <c r="K57" s="164"/>
      <c r="L57" s="164"/>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2071</v>
      </c>
      <c r="B58" s="3272">
        <v>3</v>
      </c>
      <c r="C58" s="1424">
        <v>3</v>
      </c>
      <c r="D58" s="2273"/>
      <c r="E58" s="2272"/>
      <c r="F58" s="2272"/>
      <c r="G58" s="2272"/>
      <c r="H58" s="2272"/>
      <c r="I58" s="2272"/>
      <c r="J58" s="2272"/>
      <c r="K58" s="164"/>
      <c r="L58" s="164"/>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2072</v>
      </c>
      <c r="B59" s="3272">
        <v>1.5</v>
      </c>
      <c r="C59" s="1424">
        <v>1.5</v>
      </c>
      <c r="D59" s="2273"/>
      <c r="E59" s="2272"/>
      <c r="F59" s="2272"/>
      <c r="G59" s="2272"/>
      <c r="H59" s="2272"/>
      <c r="I59" s="2272"/>
      <c r="J59" s="2272"/>
      <c r="K59" s="164"/>
      <c r="L59" s="164"/>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2073</v>
      </c>
      <c r="B60" s="82"/>
      <c r="C60" s="2272"/>
      <c r="D60" s="2273"/>
      <c r="E60" s="2272"/>
      <c r="F60" s="2272"/>
      <c r="G60" s="2272"/>
      <c r="H60" s="2272"/>
      <c r="I60" s="2272"/>
      <c r="J60" s="2272"/>
      <c r="K60" s="164"/>
      <c r="L60" s="164"/>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2074</v>
      </c>
      <c r="B61" s="82"/>
      <c r="C61" s="2272"/>
      <c r="D61" s="2273"/>
      <c r="E61" s="2272"/>
      <c r="F61" s="2272"/>
      <c r="G61" s="2272"/>
      <c r="H61" s="2272"/>
      <c r="I61" s="2272"/>
      <c r="J61" s="2272"/>
      <c r="K61" s="164"/>
      <c r="L61" s="164"/>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2075</v>
      </c>
      <c r="B62" s="82"/>
      <c r="C62" s="2272"/>
      <c r="D62" s="2273"/>
      <c r="E62" s="2272"/>
      <c r="F62" s="2272"/>
      <c r="G62" s="2272"/>
      <c r="H62" s="2272"/>
      <c r="I62" s="2272"/>
      <c r="J62" s="2272"/>
      <c r="K62" s="164"/>
      <c r="L62" s="164"/>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2076</v>
      </c>
      <c r="B63" s="130"/>
      <c r="C63" s="2272"/>
      <c r="D63" s="2273"/>
      <c r="E63" s="2272"/>
      <c r="F63" s="2272"/>
      <c r="G63" s="2272"/>
      <c r="H63" s="2272"/>
      <c r="I63" s="2272"/>
      <c r="J63" s="2272"/>
      <c r="K63" s="164"/>
      <c r="L63" s="164"/>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2"/>
      <c r="L64" s="792"/>
    </row>
    <row r="65" spans="1:12" s="961" customFormat="1">
      <c r="A65" s="2336"/>
      <c r="D65" s="2337"/>
      <c r="K65" s="792"/>
      <c r="L65" s="792"/>
    </row>
    <row r="66" spans="1:12" s="961" customFormat="1">
      <c r="A66" s="2336"/>
      <c r="D66" s="2337"/>
      <c r="K66" s="792"/>
      <c r="L66" s="792"/>
    </row>
    <row r="67" spans="1:12" s="961" customFormat="1">
      <c r="A67" s="2336"/>
      <c r="D67" s="2337"/>
      <c r="K67" s="792"/>
      <c r="L67" s="792"/>
    </row>
    <row r="68" spans="1:12" s="961" customFormat="1">
      <c r="A68" s="2336"/>
      <c r="D68" s="2337"/>
      <c r="K68" s="792"/>
      <c r="L68" s="792"/>
    </row>
    <row r="69" spans="1:12" s="961" customFormat="1">
      <c r="A69" s="2336"/>
      <c r="D69" s="2337"/>
      <c r="K69" s="792"/>
      <c r="L69" s="792"/>
    </row>
    <row r="70" spans="1:12" s="961" customFormat="1">
      <c r="A70" s="2336"/>
      <c r="D70" s="2337"/>
      <c r="K70" s="792"/>
      <c r="L70" s="792"/>
    </row>
    <row r="71" spans="1:12" s="961" customFormat="1">
      <c r="A71" s="2336"/>
      <c r="D71" s="2337"/>
      <c r="K71" s="792"/>
      <c r="L71" s="792"/>
    </row>
    <row r="72" spans="1:12" s="961" customFormat="1">
      <c r="A72" s="2336"/>
      <c r="D72" s="2337"/>
      <c r="K72" s="792"/>
      <c r="L72" s="792"/>
    </row>
    <row r="73" spans="1:12" s="961" customFormat="1">
      <c r="A73" s="2336"/>
      <c r="D73" s="2337"/>
      <c r="K73" s="792"/>
      <c r="L73" s="792"/>
    </row>
    <row r="74" spans="1:12" s="961" customFormat="1">
      <c r="A74" s="2336"/>
      <c r="D74" s="2337"/>
      <c r="K74" s="792"/>
      <c r="L74" s="792"/>
    </row>
    <row r="75" spans="1:12" s="961" customFormat="1">
      <c r="A75" s="2336"/>
      <c r="D75" s="2337"/>
      <c r="K75" s="792"/>
      <c r="L75" s="792"/>
    </row>
    <row r="76" spans="1:12" s="961" customFormat="1">
      <c r="A76" s="2336"/>
      <c r="D76" s="2337"/>
      <c r="K76" s="792"/>
      <c r="L76" s="792"/>
    </row>
    <row r="77" spans="1:12" s="961" customFormat="1">
      <c r="A77" s="2336"/>
      <c r="D77" s="2337"/>
      <c r="K77" s="792"/>
      <c r="L77" s="792"/>
    </row>
    <row r="78" spans="1:12" s="961" customFormat="1">
      <c r="A78" s="2336"/>
      <c r="D78" s="2337"/>
      <c r="K78" s="792"/>
      <c r="L78" s="792"/>
    </row>
    <row r="79" spans="1:12" s="961" customFormat="1">
      <c r="A79" s="2336"/>
      <c r="D79" s="2337"/>
      <c r="K79" s="792"/>
      <c r="L79" s="792"/>
    </row>
    <row r="80" spans="1:12" s="961" customFormat="1">
      <c r="A80" s="2336"/>
      <c r="D80" s="2337"/>
      <c r="K80" s="792"/>
      <c r="L80" s="792"/>
    </row>
    <row r="81" spans="1:12" s="961" customFormat="1">
      <c r="A81" s="2336"/>
      <c r="D81" s="2337"/>
      <c r="K81" s="792"/>
      <c r="L81" s="792"/>
    </row>
    <row r="82" spans="1:12" s="961" customFormat="1">
      <c r="A82" s="2336"/>
      <c r="D82" s="2337"/>
      <c r="K82" s="792"/>
      <c r="L82" s="792"/>
    </row>
    <row r="83" spans="1:12" s="961" customFormat="1">
      <c r="A83" s="2336"/>
      <c r="D83" s="2337"/>
      <c r="K83" s="792"/>
      <c r="L83" s="792"/>
    </row>
    <row r="84" spans="1:12" s="961" customFormat="1">
      <c r="A84" s="2336"/>
      <c r="D84" s="2337"/>
      <c r="K84" s="792"/>
      <c r="L84" s="792"/>
    </row>
    <row r="85" spans="1:12" s="961" customFormat="1">
      <c r="A85" s="2336"/>
      <c r="D85" s="2337"/>
      <c r="K85" s="792"/>
      <c r="L85" s="792"/>
    </row>
    <row r="86" spans="1:12" s="961" customFormat="1">
      <c r="A86" s="2336"/>
      <c r="D86" s="2337"/>
      <c r="K86" s="792"/>
      <c r="L86" s="792"/>
    </row>
    <row r="87" spans="1:12" s="961" customFormat="1">
      <c r="A87" s="2336"/>
      <c r="D87" s="2337"/>
      <c r="K87" s="792"/>
      <c r="L87" s="792"/>
    </row>
    <row r="88" spans="1:12" s="961" customFormat="1">
      <c r="A88" s="2336"/>
      <c r="D88" s="2337"/>
      <c r="K88" s="792"/>
      <c r="L88" s="792"/>
    </row>
    <row r="89" spans="1:12" s="961" customFormat="1">
      <c r="A89" s="2336"/>
      <c r="D89" s="2337"/>
      <c r="K89" s="792"/>
      <c r="L89" s="792"/>
    </row>
    <row r="90" spans="1:12" s="961" customFormat="1">
      <c r="A90" s="2336"/>
      <c r="D90" s="2337"/>
      <c r="K90" s="792"/>
      <c r="L90" s="792"/>
    </row>
    <row r="91" spans="1:12" s="961" customFormat="1">
      <c r="A91" s="2336"/>
      <c r="D91" s="2337"/>
      <c r="K91" s="792"/>
      <c r="L91" s="792"/>
    </row>
    <row r="92" spans="1:12" s="961" customFormat="1">
      <c r="A92" s="2336"/>
      <c r="D92" s="2337"/>
      <c r="K92" s="792"/>
      <c r="L92" s="792"/>
    </row>
    <row r="93" spans="1:12" s="961" customFormat="1">
      <c r="A93" s="2336"/>
      <c r="D93" s="2337"/>
      <c r="K93" s="792"/>
      <c r="L93" s="792"/>
    </row>
    <row r="94" spans="1:12" s="961" customFormat="1">
      <c r="A94" s="2336"/>
      <c r="D94" s="2337"/>
      <c r="K94" s="792"/>
      <c r="L94" s="792"/>
    </row>
    <row r="95" spans="1:12" s="961" customFormat="1">
      <c r="A95" s="2336"/>
      <c r="D95" s="2337"/>
      <c r="K95" s="792"/>
      <c r="L95" s="792"/>
    </row>
    <row r="96" spans="1:12" s="961" customFormat="1">
      <c r="A96" s="2336"/>
      <c r="D96" s="2337"/>
      <c r="K96" s="792"/>
      <c r="L96" s="792"/>
    </row>
    <row r="97" spans="1:12" s="961" customFormat="1">
      <c r="A97" s="2336"/>
      <c r="D97" s="2337"/>
      <c r="K97" s="792"/>
      <c r="L97" s="792"/>
    </row>
    <row r="98" spans="1:12" s="961" customFormat="1">
      <c r="A98" s="2336"/>
      <c r="D98" s="2337"/>
      <c r="K98" s="792"/>
      <c r="L98" s="792"/>
    </row>
    <row r="99" spans="1:12" s="961" customFormat="1">
      <c r="A99" s="2336"/>
      <c r="D99" s="2337"/>
      <c r="K99" s="792"/>
      <c r="L99" s="792"/>
    </row>
    <row r="100" spans="1:12" s="961" customFormat="1">
      <c r="A100" s="2336"/>
      <c r="D100" s="2337"/>
      <c r="K100" s="792"/>
      <c r="L100" s="792"/>
    </row>
    <row r="101" spans="1:12" s="961" customFormat="1">
      <c r="A101" s="2336"/>
      <c r="D101" s="2337"/>
      <c r="K101" s="792"/>
      <c r="L101" s="792"/>
    </row>
    <row r="102" spans="1:12" s="961" customFormat="1">
      <c r="A102" s="2336"/>
      <c r="D102" s="2337"/>
      <c r="K102" s="792"/>
      <c r="L102" s="792"/>
    </row>
    <row r="103" spans="1:12" s="961" customFormat="1">
      <c r="A103" s="2336"/>
      <c r="D103" s="2337"/>
      <c r="K103" s="792"/>
      <c r="L103" s="792"/>
    </row>
    <row r="104" spans="1:12" s="961" customFormat="1">
      <c r="A104" s="2336"/>
      <c r="D104" s="2337"/>
      <c r="K104" s="792"/>
      <c r="L104" s="792"/>
    </row>
    <row r="105" spans="1:12" s="961" customFormat="1">
      <c r="A105" s="2336"/>
      <c r="D105" s="2337"/>
      <c r="K105" s="792"/>
      <c r="L105" s="792"/>
    </row>
    <row r="106" spans="1:12" s="961" customFormat="1">
      <c r="A106" s="2336"/>
      <c r="D106" s="2337"/>
      <c r="K106" s="792"/>
      <c r="L106" s="792"/>
    </row>
    <row r="107" spans="1:12" s="961" customFormat="1">
      <c r="A107" s="2336"/>
      <c r="D107" s="2337"/>
      <c r="K107" s="792"/>
      <c r="L107" s="792"/>
    </row>
    <row r="108" spans="1:12" s="961" customFormat="1">
      <c r="A108" s="2336"/>
      <c r="D108" s="2337"/>
      <c r="K108" s="792"/>
      <c r="L108" s="792"/>
    </row>
    <row r="109" spans="1:12" s="961" customFormat="1">
      <c r="A109" s="2336"/>
      <c r="D109" s="2337"/>
      <c r="K109" s="792"/>
      <c r="L109" s="792"/>
    </row>
    <row r="110" spans="1:12" s="961" customFormat="1">
      <c r="A110" s="2336"/>
      <c r="D110" s="2337"/>
      <c r="K110" s="792"/>
      <c r="L110" s="792"/>
    </row>
    <row r="111" spans="1:12" s="961" customFormat="1">
      <c r="A111" s="2336"/>
      <c r="D111" s="2337"/>
      <c r="K111" s="792"/>
      <c r="L111" s="792"/>
    </row>
    <row r="112" spans="1:12" s="961" customFormat="1">
      <c r="A112" s="2336"/>
      <c r="D112" s="2337"/>
      <c r="K112" s="792"/>
      <c r="L112" s="792"/>
    </row>
    <row r="113" spans="1:12" s="961" customFormat="1">
      <c r="A113" s="2336"/>
      <c r="D113" s="2337"/>
      <c r="K113" s="792"/>
      <c r="L113" s="792"/>
    </row>
    <row r="114" spans="1:12" s="961" customFormat="1">
      <c r="A114" s="2336"/>
      <c r="D114" s="2337"/>
      <c r="K114" s="792"/>
      <c r="L114" s="792"/>
    </row>
    <row r="115" spans="1:12" s="961" customFormat="1">
      <c r="A115" s="2336"/>
      <c r="D115" s="2337"/>
      <c r="K115" s="792"/>
      <c r="L115" s="792"/>
    </row>
    <row r="116" spans="1:12" s="961" customFormat="1">
      <c r="A116" s="2336"/>
      <c r="D116" s="2337"/>
      <c r="K116" s="792"/>
      <c r="L116" s="792"/>
    </row>
    <row r="117" spans="1:12" s="961" customFormat="1">
      <c r="A117" s="2336"/>
      <c r="D117" s="2337"/>
      <c r="K117" s="792"/>
      <c r="L117" s="792"/>
    </row>
    <row r="118" spans="1:12" s="961" customFormat="1">
      <c r="A118" s="2336"/>
      <c r="D118" s="2337"/>
      <c r="K118" s="792"/>
      <c r="L118" s="792"/>
    </row>
    <row r="119" spans="1:12" s="961" customFormat="1">
      <c r="A119" s="2336"/>
      <c r="D119" s="2337"/>
      <c r="K119" s="792"/>
      <c r="L119" s="792"/>
    </row>
    <row r="120" spans="1:12" s="961" customFormat="1">
      <c r="A120" s="2336"/>
      <c r="D120" s="2337"/>
      <c r="K120" s="792"/>
      <c r="L120" s="792"/>
    </row>
    <row r="121" spans="1:12" s="961" customFormat="1">
      <c r="A121" s="2336"/>
      <c r="D121" s="2337"/>
      <c r="K121" s="792"/>
      <c r="L121" s="792"/>
    </row>
    <row r="122" spans="1:12" s="961" customFormat="1">
      <c r="A122" s="2336"/>
      <c r="D122" s="2337"/>
      <c r="K122" s="792"/>
      <c r="L122" s="792"/>
    </row>
    <row r="123" spans="1:12" s="961" customFormat="1">
      <c r="A123" s="2336"/>
      <c r="D123" s="2337"/>
      <c r="K123" s="792"/>
      <c r="L123" s="792"/>
    </row>
    <row r="124" spans="1:12" s="961" customFormat="1">
      <c r="A124" s="2336"/>
      <c r="D124" s="2337"/>
      <c r="K124" s="792"/>
      <c r="L124" s="792"/>
    </row>
    <row r="125" spans="1:12" s="961" customFormat="1">
      <c r="A125" s="2336"/>
      <c r="D125" s="2337"/>
      <c r="K125" s="792"/>
      <c r="L125" s="792"/>
    </row>
    <row r="126" spans="1:12" s="961" customFormat="1">
      <c r="A126" s="2336"/>
      <c r="D126" s="2337"/>
      <c r="K126" s="792"/>
      <c r="L126" s="792"/>
    </row>
    <row r="127" spans="1:12" s="961" customFormat="1">
      <c r="A127" s="2336"/>
      <c r="D127" s="2337"/>
      <c r="K127" s="792"/>
      <c r="L127" s="792"/>
    </row>
    <row r="128" spans="1:12" s="961" customFormat="1">
      <c r="A128" s="2336"/>
      <c r="D128" s="2337"/>
      <c r="K128" s="792"/>
      <c r="L128" s="792"/>
    </row>
    <row r="129" spans="1:12" s="961" customFormat="1">
      <c r="A129" s="2336"/>
      <c r="D129" s="2337"/>
      <c r="K129" s="792"/>
      <c r="L129" s="792"/>
    </row>
    <row r="130" spans="1:12" s="961" customFormat="1">
      <c r="A130" s="2336"/>
      <c r="D130" s="2337"/>
      <c r="K130" s="792"/>
      <c r="L130" s="792"/>
    </row>
    <row r="131" spans="1:12" s="961" customFormat="1">
      <c r="A131" s="2336"/>
      <c r="D131" s="2337"/>
      <c r="K131" s="792"/>
      <c r="L131" s="792"/>
    </row>
    <row r="132" spans="1:12" s="961" customFormat="1">
      <c r="A132" s="2336"/>
      <c r="D132" s="2337"/>
      <c r="K132" s="792"/>
      <c r="L132" s="792"/>
    </row>
    <row r="133" spans="1:12" s="961" customFormat="1">
      <c r="A133" s="2336"/>
      <c r="D133" s="2337"/>
      <c r="K133" s="792"/>
      <c r="L133" s="792"/>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26" t="s">
        <v>2077</v>
      </c>
      <c r="B1" s="3027"/>
      <c r="C1" s="3027"/>
      <c r="D1" s="3027"/>
      <c r="E1" s="3027"/>
      <c r="F1" s="3027"/>
      <c r="G1" s="302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1" t="s">
        <v>2080</v>
      </c>
      <c r="B3" s="1265" t="s">
        <v>2081</v>
      </c>
      <c r="C3" s="2365"/>
      <c r="D3" s="2366"/>
      <c r="E3" s="427" t="s">
        <v>2080</v>
      </c>
      <c r="F3" s="2367" t="s">
        <v>2082</v>
      </c>
      <c r="G3" s="2368"/>
      <c r="H3" s="2363"/>
      <c r="I3" s="2363"/>
      <c r="J3" s="2363"/>
      <c r="K3" s="2363"/>
      <c r="L3" s="2363"/>
      <c r="M3" s="2363"/>
      <c r="N3" s="2363"/>
      <c r="O3" s="2363"/>
      <c r="P3" s="2363"/>
      <c r="Q3" s="2363"/>
      <c r="R3" s="2363"/>
    </row>
    <row r="4" spans="1:29" ht="54">
      <c r="A4" s="427"/>
      <c r="B4" s="1792" t="s">
        <v>2083</v>
      </c>
      <c r="C4" s="3273" t="s">
        <v>3077</v>
      </c>
      <c r="D4" s="2366"/>
      <c r="E4" s="2369"/>
      <c r="F4" s="42" t="s">
        <v>2084</v>
      </c>
      <c r="G4" s="2370"/>
      <c r="H4" s="2363"/>
      <c r="I4" s="2363"/>
      <c r="J4" s="2363"/>
      <c r="K4" s="2363"/>
      <c r="L4" s="2363"/>
      <c r="M4" s="2363"/>
      <c r="N4" s="2363"/>
      <c r="O4" s="2363"/>
      <c r="P4" s="2363"/>
      <c r="Q4" s="2363"/>
      <c r="R4" s="2363"/>
    </row>
    <row r="5" spans="1:29" ht="54">
      <c r="A5" s="427"/>
      <c r="B5" s="1792" t="s">
        <v>2085</v>
      </c>
      <c r="C5" s="3273" t="s">
        <v>3078</v>
      </c>
      <c r="D5" s="2366"/>
      <c r="E5" s="2369"/>
      <c r="F5" s="1792" t="s">
        <v>2086</v>
      </c>
      <c r="G5" s="2370"/>
      <c r="H5" s="2363"/>
      <c r="I5" s="2363"/>
      <c r="J5" s="2363"/>
      <c r="K5" s="2363"/>
      <c r="L5" s="2363"/>
      <c r="M5" s="2363"/>
      <c r="N5" s="2363"/>
      <c r="O5" s="2363"/>
      <c r="P5" s="2363"/>
      <c r="Q5" s="2363"/>
      <c r="R5" s="2363"/>
    </row>
    <row r="6" spans="1:29" ht="40.5">
      <c r="A6" s="427"/>
      <c r="B6" s="1792" t="s">
        <v>2087</v>
      </c>
      <c r="C6" s="3274" t="s">
        <v>3079</v>
      </c>
      <c r="D6" s="2366"/>
      <c r="E6" s="2369"/>
      <c r="F6" s="1792" t="s">
        <v>2088</v>
      </c>
      <c r="G6" s="2370"/>
      <c r="H6" s="2363"/>
      <c r="I6" s="2363"/>
      <c r="J6" s="2363"/>
      <c r="K6" s="2363"/>
      <c r="L6" s="2363"/>
      <c r="M6" s="2363"/>
      <c r="N6" s="2363"/>
      <c r="O6" s="2363"/>
      <c r="P6" s="2363"/>
      <c r="Q6" s="2363"/>
      <c r="R6" s="2363"/>
    </row>
    <row r="7" spans="1:29" ht="27.75" thickBot="1">
      <c r="A7" s="427"/>
      <c r="B7" s="1792" t="s">
        <v>2086</v>
      </c>
      <c r="C7" s="3275" t="s">
        <v>3080</v>
      </c>
      <c r="D7" s="2371"/>
      <c r="E7" s="2372"/>
      <c r="F7" s="2373" t="s">
        <v>2089</v>
      </c>
      <c r="G7" s="2374"/>
      <c r="H7" s="2363"/>
      <c r="I7" s="2363"/>
      <c r="J7" s="2363"/>
      <c r="K7" s="2363"/>
      <c r="L7" s="2363"/>
      <c r="M7" s="2363"/>
      <c r="N7" s="2363"/>
      <c r="O7" s="2363"/>
      <c r="P7" s="2363"/>
      <c r="Q7" s="2363"/>
      <c r="R7" s="2363"/>
    </row>
    <row r="8" spans="1:29" ht="27">
      <c r="A8" s="427"/>
      <c r="B8" s="1792" t="s">
        <v>2088</v>
      </c>
      <c r="C8" s="3275" t="s">
        <v>3081</v>
      </c>
      <c r="D8" s="2371"/>
      <c r="E8" s="2371"/>
      <c r="F8" s="1130"/>
      <c r="G8" s="1130"/>
      <c r="H8" s="2363"/>
      <c r="I8" s="2363"/>
      <c r="J8" s="2363"/>
      <c r="K8" s="2363"/>
      <c r="L8" s="2363"/>
      <c r="M8" s="2363"/>
      <c r="N8" s="2363"/>
      <c r="O8" s="2363"/>
      <c r="P8" s="2363"/>
      <c r="Q8" s="2363"/>
      <c r="R8" s="2363"/>
    </row>
    <row r="9" spans="1:29" ht="54">
      <c r="A9" s="427"/>
      <c r="B9" s="1792" t="s">
        <v>2090</v>
      </c>
      <c r="C9" s="3273" t="s">
        <v>3082</v>
      </c>
      <c r="D9" s="2366"/>
      <c r="E9" s="2371"/>
      <c r="F9" s="1130"/>
      <c r="G9" s="1130"/>
      <c r="H9" s="2363"/>
      <c r="I9" s="2363"/>
      <c r="J9" s="2363"/>
      <c r="K9" s="2363"/>
      <c r="L9" s="2363"/>
      <c r="M9" s="2363"/>
      <c r="N9" s="2363"/>
      <c r="O9" s="2363"/>
      <c r="P9" s="2363"/>
      <c r="Q9" s="2363"/>
      <c r="R9" s="2363"/>
    </row>
    <row r="10" spans="1:29" s="114" customFormat="1" ht="15.75" thickBot="1">
      <c r="A10" s="2375"/>
      <c r="B10" s="2376" t="s">
        <v>2091</v>
      </c>
      <c r="C10" s="3276" t="s">
        <v>3083</v>
      </c>
      <c r="D10" s="2366"/>
      <c r="E10" s="2366"/>
      <c r="F10" s="1130"/>
      <c r="G10" s="1130"/>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4" customFormat="1" ht="15">
      <c r="A11" s="2380"/>
      <c r="B11" s="2371"/>
      <c r="C11" s="2366"/>
      <c r="D11" s="2366"/>
      <c r="E11" s="2366"/>
      <c r="F11" s="2371"/>
      <c r="G11" s="1148"/>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8"/>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57">
      <c r="A15" s="66" t="s">
        <v>2095</v>
      </c>
      <c r="B15" s="1264" t="s">
        <v>2081</v>
      </c>
      <c r="C15" s="2396">
        <f>C3</f>
        <v>0</v>
      </c>
      <c r="D15" s="2366"/>
      <c r="E15" s="2397" t="s">
        <v>2096</v>
      </c>
      <c r="F15" s="1264" t="s">
        <v>2097</v>
      </c>
      <c r="G15" s="131">
        <f>G3</f>
        <v>0</v>
      </c>
    </row>
    <row r="16" spans="1:29" ht="42.75">
      <c r="A16" s="641"/>
      <c r="B16" s="2398" t="s">
        <v>2083</v>
      </c>
      <c r="C16" s="2399" t="str">
        <f>C4</f>
        <v>估价对象周边2公里无购物中心，仅有少量住宅配套商业，人流量较小，商业繁华度一般</v>
      </c>
      <c r="D16" s="2366"/>
      <c r="E16" s="2400"/>
      <c r="F16" s="2401" t="s">
        <v>2084</v>
      </c>
      <c r="G16" s="132">
        <f>G4</f>
        <v>0</v>
      </c>
    </row>
    <row r="17" spans="1:18" ht="42.75">
      <c r="A17" s="641"/>
      <c r="B17" s="2398" t="s">
        <v>2085</v>
      </c>
      <c r="C17" s="2399" t="str">
        <f>C5</f>
        <v>估价对象周边2公里办公项目有绿地启航国际、世农大厦等少量办公项目，办公集聚程度较差</v>
      </c>
      <c r="D17" s="2371"/>
      <c r="E17" s="2400"/>
      <c r="F17" s="2401" t="s">
        <v>2098</v>
      </c>
      <c r="G17" s="1566"/>
    </row>
    <row r="18" spans="1:18" ht="57">
      <c r="A18" s="641"/>
      <c r="B18" s="2401" t="s">
        <v>2087</v>
      </c>
      <c r="C18" s="132" t="str">
        <f>C6</f>
        <v>估价对象周边仅有829、兴52路公交线路，综合评价交通便捷度一般</v>
      </c>
      <c r="D18" s="2371"/>
      <c r="E18" s="2400"/>
      <c r="F18" s="2401" t="s">
        <v>2089</v>
      </c>
      <c r="G18" s="132">
        <f>G7</f>
        <v>0</v>
      </c>
    </row>
    <row r="19" spans="1:18" ht="15">
      <c r="A19" s="641"/>
      <c r="B19" s="2401" t="s">
        <v>2099</v>
      </c>
      <c r="C19" s="3277" t="s">
        <v>3086</v>
      </c>
      <c r="D19" s="2366"/>
      <c r="E19" s="2400"/>
      <c r="F19" s="1792" t="s">
        <v>2086</v>
      </c>
      <c r="G19" s="132">
        <f>G5</f>
        <v>0</v>
      </c>
    </row>
    <row r="20" spans="1:18" ht="28.5">
      <c r="A20" s="641"/>
      <c r="B20" s="2401" t="s">
        <v>2100</v>
      </c>
      <c r="C20" s="2399" t="str">
        <f>C9</f>
        <v>周边仅有住宅配套绿化，无大型公园及高等教育机构；综合评价环境状况较差</v>
      </c>
      <c r="D20" s="2371"/>
      <c r="E20" s="2400"/>
      <c r="F20" s="1792" t="s">
        <v>2101</v>
      </c>
      <c r="G20" s="132">
        <f>G6</f>
        <v>0</v>
      </c>
    </row>
    <row r="21" spans="1:18" ht="28.5">
      <c r="A21" s="641"/>
      <c r="B21" s="1792" t="s">
        <v>2086</v>
      </c>
      <c r="C21" s="132" t="str">
        <f>C7</f>
        <v>估价对象所在区域公共配套设施齐备度一般</v>
      </c>
      <c r="D21" s="2366"/>
      <c r="E21" s="2400"/>
      <c r="F21" s="2401" t="s">
        <v>2102</v>
      </c>
      <c r="G21" s="2402"/>
    </row>
    <row r="22" spans="1:18" ht="13.5" customHeight="1">
      <c r="A22" s="641"/>
      <c r="B22" s="1792" t="s">
        <v>2088</v>
      </c>
      <c r="C22" s="132" t="str">
        <f>C8</f>
        <v>估价对象所在区域基础设施水平达七通</v>
      </c>
      <c r="D22" s="2366"/>
      <c r="E22" s="2400"/>
      <c r="F22" s="2401" t="s">
        <v>2091</v>
      </c>
      <c r="G22" s="1566"/>
    </row>
    <row r="23" spans="1:18" s="2363" customFormat="1" ht="15.75" thickBot="1">
      <c r="A23" s="641"/>
      <c r="B23" s="2401" t="s">
        <v>2102</v>
      </c>
      <c r="C23" s="2402" t="s">
        <v>3084</v>
      </c>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3" t="str">
        <f>C10</f>
        <v>城市次干道——春林大街</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183405</v>
      </c>
      <c r="C1" s="1739"/>
      <c r="D1" s="1739"/>
      <c r="E1" s="1739"/>
      <c r="F1" s="1739"/>
      <c r="G1" s="1737"/>
    </row>
    <row r="2" spans="1:10" ht="16.5">
      <c r="A2" s="1740" t="s">
        <v>1353</v>
      </c>
      <c r="B2" s="1740">
        <f>SUM(C14:C23)</f>
        <v>43974.38</v>
      </c>
      <c r="C2" s="1739"/>
      <c r="D2" s="1739"/>
      <c r="E2" s="1739"/>
      <c r="F2" s="1739"/>
      <c r="G2" s="1737"/>
    </row>
    <row r="3" spans="1:10" ht="16.5">
      <c r="A3" s="1740" t="s">
        <v>1362</v>
      </c>
      <c r="B3" s="1741">
        <f>项目基本情况!D3</f>
        <v>43237</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280892</v>
      </c>
      <c r="C5" s="1740">
        <f ca="1">ROUND(B5*10000/$B$1,0)</f>
        <v>15315</v>
      </c>
      <c r="D5" s="1740">
        <f ca="1">ROUND(B5*10000/$B$2,0)</f>
        <v>63876</v>
      </c>
      <c r="E5" s="1739"/>
      <c r="F5" s="1737"/>
      <c r="G5" s="1737"/>
    </row>
    <row r="6" spans="1:10" ht="16.5">
      <c r="A6" s="1740" t="s">
        <v>1356</v>
      </c>
      <c r="B6" s="1740">
        <f ca="1">SUM(G14:G23)</f>
        <v>280892</v>
      </c>
      <c r="C6" s="1740">
        <f ca="1">ROUND(B6*10000/$B$1,0)</f>
        <v>15315</v>
      </c>
      <c r="D6" s="1740">
        <f ca="1">ROUND(B6*10000/$B$2,0)</f>
        <v>63876</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183405</v>
      </c>
      <c r="C14" s="1738">
        <f>结果表!C118</f>
        <v>43974.38</v>
      </c>
      <c r="D14" s="1738">
        <f ca="1">结果表!H118</f>
        <v>280892</v>
      </c>
      <c r="E14" s="1738">
        <f ca="1">ROUND(D14*10000/B14,0)</f>
        <v>15315</v>
      </c>
      <c r="F14" s="1738">
        <f ca="1">ROUND(D14*10000/C14,0)</f>
        <v>63876</v>
      </c>
      <c r="G14" s="1738">
        <f ca="1">结果表!D122</f>
        <v>280892</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17" sqref="D17"/>
    </sheetView>
  </sheetViews>
  <sheetFormatPr defaultColWidth="12.625" defaultRowHeight="21.75" customHeight="1"/>
  <cols>
    <col min="1" max="2" width="12.625" style="2418"/>
    <col min="3" max="4" width="12.625" style="2418" customWidth="1"/>
    <col min="5" max="9" width="12.625" style="2418"/>
    <col min="10" max="11" width="12.625" style="789" customWidth="1"/>
    <col min="12" max="12" width="12.625" style="789"/>
    <col min="13" max="13" width="14.125" style="789" bestFit="1" customWidth="1"/>
    <col min="14" max="26" width="12.625" style="789"/>
    <col min="27" max="35" width="12.625" style="2417"/>
    <col min="36" max="16384" width="12.625" style="2418"/>
  </cols>
  <sheetData>
    <row r="1" spans="1:12" ht="21.75" customHeight="1" thickBot="1">
      <c r="A1" s="2221" t="s">
        <v>2105</v>
      </c>
      <c r="B1" s="2412"/>
      <c r="C1" s="2413"/>
      <c r="D1" s="2412"/>
      <c r="E1" s="2412"/>
      <c r="F1" s="2414" t="s">
        <v>2106</v>
      </c>
      <c r="G1" s="2066" t="s">
        <v>2107</v>
      </c>
      <c r="H1" s="2415" t="str">
        <f>IF(G1="现房","——","估价对象范围")</f>
        <v>估价对象范围</v>
      </c>
      <c r="I1" s="2416" t="s">
        <v>3264</v>
      </c>
    </row>
    <row r="2" spans="1:12" ht="21.75" customHeight="1" thickBot="1">
      <c r="A2" s="3061" t="str">
        <f>项目基本情况!S2</f>
        <v>北京市大兴区北臧村生物医药基地DX00-0502-0013地块出让国有建设用地使用权及在建建筑物房地产</v>
      </c>
      <c r="B2" s="3062"/>
      <c r="C2" s="3062"/>
      <c r="D2" s="3062"/>
      <c r="E2" s="3062"/>
      <c r="F2" s="3062"/>
      <c r="G2" s="3062"/>
      <c r="H2" s="3062"/>
      <c r="I2" s="3063"/>
    </row>
    <row r="3" spans="1:12" ht="12.75">
      <c r="A3" s="3065" t="s">
        <v>2108</v>
      </c>
      <c r="B3" s="3066"/>
      <c r="C3" s="3066"/>
      <c r="D3" s="3066"/>
      <c r="E3" s="3066"/>
      <c r="F3" s="3066"/>
      <c r="G3" s="3066"/>
      <c r="H3" s="3066"/>
      <c r="I3" s="3066"/>
    </row>
    <row r="4" spans="1:12" ht="14.25">
      <c r="A4" s="2419" t="s">
        <v>2109</v>
      </c>
      <c r="B4" s="2420" t="s">
        <v>2110</v>
      </c>
      <c r="C4" s="2421" t="s">
        <v>3262</v>
      </c>
      <c r="D4" s="2421" t="s">
        <v>3263</v>
      </c>
      <c r="E4" s="3058" t="s">
        <v>2111</v>
      </c>
      <c r="F4" s="3059"/>
      <c r="G4" s="3059"/>
      <c r="H4" s="3059"/>
      <c r="I4" s="3067"/>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41" t="s">
        <v>2112</v>
      </c>
      <c r="B5" s="2982">
        <v>25</v>
      </c>
      <c r="C5" s="3044"/>
      <c r="D5" s="3064"/>
      <c r="E5" s="136" t="s">
        <v>2113</v>
      </c>
      <c r="F5" s="2423"/>
      <c r="G5" s="2423"/>
      <c r="H5" s="2423"/>
      <c r="I5" s="1828"/>
    </row>
    <row r="6" spans="1:12" ht="12.75">
      <c r="A6" s="3041"/>
      <c r="B6" s="2982"/>
      <c r="C6" s="3045"/>
      <c r="D6" s="3064"/>
      <c r="E6" s="136" t="s">
        <v>2114</v>
      </c>
      <c r="F6" s="2423"/>
      <c r="G6" s="2423"/>
      <c r="H6" s="2423"/>
      <c r="I6" s="1828"/>
    </row>
    <row r="7" spans="1:12" ht="12.75">
      <c r="A7" s="3041"/>
      <c r="B7" s="2982"/>
      <c r="C7" s="3046"/>
      <c r="D7" s="3064"/>
      <c r="E7" s="136" t="s">
        <v>2115</v>
      </c>
      <c r="F7" s="2423"/>
      <c r="G7" s="2423"/>
      <c r="H7" s="2423"/>
      <c r="I7" s="1828"/>
    </row>
    <row r="8" spans="1:12" ht="12.75">
      <c r="A8" s="3041" t="s">
        <v>2116</v>
      </c>
      <c r="B8" s="2982">
        <v>15</v>
      </c>
      <c r="C8" s="3044"/>
      <c r="D8" s="3064"/>
      <c r="E8" s="136" t="s">
        <v>2117</v>
      </c>
      <c r="F8" s="2423"/>
      <c r="G8" s="2423"/>
      <c r="H8" s="2423"/>
      <c r="I8" s="1828"/>
    </row>
    <row r="9" spans="1:12" ht="12.75">
      <c r="A9" s="3041"/>
      <c r="B9" s="2982"/>
      <c r="C9" s="3046"/>
      <c r="D9" s="3064"/>
      <c r="E9" s="136" t="s">
        <v>2118</v>
      </c>
      <c r="F9" s="2423"/>
      <c r="G9" s="2423"/>
      <c r="H9" s="2423"/>
      <c r="I9" s="1828"/>
    </row>
    <row r="10" spans="1:12" ht="12.75">
      <c r="A10" s="3041" t="s">
        <v>2119</v>
      </c>
      <c r="B10" s="2982">
        <v>15</v>
      </c>
      <c r="C10" s="3044"/>
      <c r="D10" s="3064"/>
      <c r="E10" s="136" t="s">
        <v>2120</v>
      </c>
      <c r="F10" s="2423"/>
      <c r="G10" s="2423"/>
      <c r="H10" s="2423"/>
      <c r="I10" s="1828"/>
    </row>
    <row r="11" spans="1:12" ht="12.75">
      <c r="A11" s="3041"/>
      <c r="B11" s="2982"/>
      <c r="C11" s="3046"/>
      <c r="D11" s="3064"/>
      <c r="E11" s="136" t="s">
        <v>2121</v>
      </c>
      <c r="F11" s="2423"/>
      <c r="G11" s="2423"/>
      <c r="H11" s="2423"/>
      <c r="I11" s="1828"/>
    </row>
    <row r="12" spans="1:12" ht="12.75">
      <c r="A12" s="3041" t="s">
        <v>2122</v>
      </c>
      <c r="B12" s="2982">
        <v>15</v>
      </c>
      <c r="C12" s="3044"/>
      <c r="D12" s="3064"/>
      <c r="E12" s="136" t="s">
        <v>2123</v>
      </c>
      <c r="F12" s="2423"/>
      <c r="G12" s="2423"/>
      <c r="H12" s="2423"/>
      <c r="I12" s="1828"/>
    </row>
    <row r="13" spans="1:12" ht="12.75">
      <c r="A13" s="3041"/>
      <c r="B13" s="2982"/>
      <c r="C13" s="3046"/>
      <c r="D13" s="3064"/>
      <c r="E13" s="136" t="s">
        <v>2124</v>
      </c>
      <c r="F13" s="2423"/>
      <c r="G13" s="2423"/>
      <c r="H13" s="2423"/>
      <c r="I13" s="1828"/>
    </row>
    <row r="14" spans="1:12" ht="12.75">
      <c r="A14" s="3041" t="s">
        <v>2125</v>
      </c>
      <c r="B14" s="2982">
        <v>30</v>
      </c>
      <c r="C14" s="3044">
        <v>3</v>
      </c>
      <c r="D14" s="3064">
        <v>7</v>
      </c>
      <c r="E14" s="136" t="s">
        <v>2126</v>
      </c>
      <c r="F14" s="2423"/>
      <c r="G14" s="2423"/>
      <c r="H14" s="2423"/>
      <c r="I14" s="1828"/>
    </row>
    <row r="15" spans="1:12" ht="12.75">
      <c r="A15" s="3041"/>
      <c r="B15" s="2982"/>
      <c r="C15" s="3045"/>
      <c r="D15" s="3064"/>
      <c r="E15" s="136" t="s">
        <v>2127</v>
      </c>
      <c r="F15" s="2423"/>
      <c r="G15" s="2423"/>
      <c r="H15" s="2423"/>
      <c r="I15" s="1828"/>
    </row>
    <row r="16" spans="1:12" ht="12.75">
      <c r="A16" s="3041"/>
      <c r="B16" s="2982"/>
      <c r="C16" s="3046"/>
      <c r="D16" s="3064"/>
      <c r="E16" s="136" t="s">
        <v>2128</v>
      </c>
      <c r="F16" s="2423"/>
      <c r="G16" s="2423"/>
      <c r="H16" s="2423"/>
      <c r="I16" s="1828"/>
    </row>
    <row r="17" spans="1:35" ht="15">
      <c r="A17" s="2424" t="s">
        <v>2129</v>
      </c>
      <c r="B17" s="62"/>
      <c r="C17" s="137">
        <f>SUM(C5:C16)</f>
        <v>3</v>
      </c>
      <c r="D17" s="137">
        <f>SUM(D5:D16)</f>
        <v>7</v>
      </c>
      <c r="E17" s="134"/>
      <c r="F17" s="134"/>
      <c r="G17" s="134"/>
      <c r="H17" s="134"/>
      <c r="I17" s="134"/>
      <c r="K17" s="2422"/>
      <c r="L17" s="2425" t="s">
        <v>2130</v>
      </c>
      <c r="M17" s="2425" t="s">
        <v>2131</v>
      </c>
    </row>
    <row r="18" spans="1:35" ht="15.75" thickBot="1">
      <c r="A18" s="2426" t="s">
        <v>2132</v>
      </c>
      <c r="B18" s="2427"/>
      <c r="C18" s="138">
        <f>ROUND(C17/SUM(C17:D17),2)</f>
        <v>0.3</v>
      </c>
      <c r="D18" s="138">
        <f>1-C18</f>
        <v>0.7</v>
      </c>
      <c r="E18" s="134"/>
      <c r="F18" s="134"/>
      <c r="G18" s="134"/>
      <c r="H18" s="134"/>
      <c r="I18" s="134"/>
      <c r="J18" s="3307" t="s">
        <v>3265</v>
      </c>
      <c r="K18" s="2422" t="s">
        <v>2133</v>
      </c>
      <c r="L18" s="2422">
        <f>IF(C1="",'数据-汇总表'!E3,SUMIF(项目类型,C1,'数据-汇总表'!E17:E26)+SUMIF(项目类型,C1,'数据-汇总表'!I17:I26))</f>
        <v>183405</v>
      </c>
      <c r="M18" s="2422">
        <f>IF(C1="",'数据-汇总表'!E3,SUMIF(项目类型,C1,'数据-汇总表'!E17:E26))</f>
        <v>183405</v>
      </c>
    </row>
    <row r="19" spans="1:35" ht="15">
      <c r="A19" s="2428" t="s">
        <v>2134</v>
      </c>
      <c r="B19" s="2429" t="s">
        <v>2135</v>
      </c>
      <c r="C19" s="139">
        <f ca="1">SUMIF(INDIRECT("'"&amp;C4&amp;"'"&amp;"!A:A"),结果表!B19,INDIRECT("'"&amp;C4&amp;"'"&amp;"!B:B"))</f>
        <v>460473</v>
      </c>
      <c r="D19" s="140">
        <f ca="1">SUMIF(INDIRECT("'"&amp;D4&amp;"'"&amp;"!A:A"),结果表!B19,INDIRECT("'"&amp;D4&amp;"'"&amp;"!B:B"))</f>
        <v>203929</v>
      </c>
      <c r="E19" s="2428" t="s">
        <v>2136</v>
      </c>
      <c r="F19" s="2429" t="s">
        <v>2135</v>
      </c>
      <c r="G19" s="141">
        <f ca="1">ROUND(C19*$C$18+D19*$D$18,0)</f>
        <v>280892</v>
      </c>
      <c r="H19" s="2430" t="s">
        <v>2137</v>
      </c>
      <c r="I19" s="134"/>
      <c r="J19" s="3307">
        <v>210306</v>
      </c>
      <c r="K19" s="2422" t="s">
        <v>2138</v>
      </c>
      <c r="L19" s="2422">
        <f>IF(C1="",'数据-汇总表'!D3,SUMIF(项目类型,C1,'数据-汇总表'!D17:D26)+SUMIF(项目类型,C1,'数据-汇总表'!H17:H27))</f>
        <v>43974.38</v>
      </c>
      <c r="M19" s="2422">
        <f>IF(C1="",'数据-汇总表'!D3,SUMIF(项目类型,C1,'数据-汇总表'!D17:D26))</f>
        <v>43974.38</v>
      </c>
    </row>
    <row r="20" spans="1:35" ht="15">
      <c r="A20" s="2431"/>
      <c r="B20" s="1244" t="s">
        <v>2139</v>
      </c>
      <c r="C20" s="142">
        <f ca="1">SUMIF(INDIRECT("'"&amp;C4&amp;"'"&amp;"!A:A"),结果表!B20,INDIRECT("'"&amp;C4&amp;"'"&amp;"!B:B"))</f>
        <v>25107</v>
      </c>
      <c r="D20" s="143">
        <f ca="1">SUMIF(INDIRECT("'"&amp;D4&amp;"'"&amp;"!A:A"),结果表!B20,INDIRECT("'"&amp;D4&amp;"'"&amp;"!B:B"))</f>
        <v>11119</v>
      </c>
      <c r="E20" s="2431"/>
      <c r="F20" s="1244" t="s">
        <v>2139</v>
      </c>
      <c r="G20" s="144">
        <f ca="1">ROUND(C20*$C$18+D20*$D$18,0)</f>
        <v>15315</v>
      </c>
      <c r="H20" s="977" t="s">
        <v>2140</v>
      </c>
      <c r="I20" s="134"/>
    </row>
    <row r="21" spans="1:35" ht="15" customHeight="1" thickBot="1">
      <c r="A21" s="997"/>
      <c r="B21" s="2432" t="s">
        <v>2141</v>
      </c>
      <c r="C21" s="783">
        <f ca="1">ROUND(C19*10000/L19,0)</f>
        <v>104714</v>
      </c>
      <c r="D21" s="784">
        <f ca="1">ROUND(D19*10000/L19,0)</f>
        <v>46375</v>
      </c>
      <c r="E21" s="997"/>
      <c r="F21" s="2432" t="s">
        <v>2141</v>
      </c>
      <c r="G21" s="145">
        <f ca="1">ROUND(G19*10000/L19,0)</f>
        <v>63876</v>
      </c>
      <c r="H21" s="2433" t="s">
        <v>2140</v>
      </c>
      <c r="I21" s="134"/>
    </row>
    <row r="22" spans="1:35" ht="15" thickBot="1">
      <c r="A22" s="2276" t="s">
        <v>2142</v>
      </c>
      <c r="B22" s="2434"/>
      <c r="C22" s="2435"/>
      <c r="D22" s="785">
        <f ca="1">IF(C19&lt;D19,D19/C19-1,C19/D19-1)</f>
        <v>1.2580064630337029</v>
      </c>
      <c r="E22" s="134"/>
      <c r="F22" s="134"/>
      <c r="G22" s="134"/>
      <c r="H22" s="134"/>
      <c r="I22" s="134"/>
    </row>
    <row r="23" spans="1:35" ht="13.5" thickBot="1">
      <c r="A23" s="2412"/>
      <c r="B23" s="2412"/>
      <c r="C23" s="2412"/>
      <c r="D23" s="2412"/>
      <c r="E23" s="134"/>
      <c r="F23" s="134"/>
      <c r="G23" s="134"/>
      <c r="H23" s="134"/>
      <c r="I23" s="134"/>
    </row>
    <row r="24" spans="1:35" ht="14.25">
      <c r="A24" s="3035" t="s">
        <v>2143</v>
      </c>
      <c r="B24" s="2429" t="s">
        <v>2135</v>
      </c>
      <c r="C24" s="141">
        <f>IF(B30=0,0,D30)</f>
        <v>0</v>
      </c>
      <c r="D24" s="2436"/>
      <c r="E24" s="134"/>
      <c r="F24" s="134"/>
      <c r="G24" s="134"/>
      <c r="H24" s="134"/>
      <c r="I24" s="134"/>
    </row>
    <row r="25" spans="1:35" ht="14.25">
      <c r="A25" s="3036"/>
      <c r="B25" s="1244" t="s">
        <v>2139</v>
      </c>
      <c r="C25" s="146">
        <f>IF(B30=0,0,C30)</f>
        <v>0</v>
      </c>
      <c r="D25" s="2437"/>
      <c r="E25" s="134"/>
      <c r="F25" s="134"/>
      <c r="G25" s="134"/>
      <c r="H25" s="134"/>
      <c r="I25" s="134"/>
    </row>
    <row r="26" spans="1:35" ht="13.5" customHeight="1">
      <c r="A26" s="2438" t="s">
        <v>2144</v>
      </c>
      <c r="B26" s="147" t="s">
        <v>2145</v>
      </c>
      <c r="C26" s="147" t="s">
        <v>2146</v>
      </c>
      <c r="D26" s="148" t="s">
        <v>2147</v>
      </c>
      <c r="E26" s="134"/>
      <c r="F26" s="134"/>
      <c r="G26" s="134"/>
      <c r="H26" s="134"/>
      <c r="I26" s="134"/>
    </row>
    <row r="27" spans="1:35" ht="14.25">
      <c r="A27" s="2438"/>
      <c r="B27" s="147">
        <v>0</v>
      </c>
      <c r="C27" s="147">
        <v>0</v>
      </c>
      <c r="D27" s="148">
        <f>ROUND(C27*B27/10000,0)</f>
        <v>0</v>
      </c>
      <c r="E27" s="134"/>
      <c r="F27" s="134"/>
      <c r="G27" s="134"/>
      <c r="H27" s="134"/>
      <c r="I27" s="134"/>
    </row>
    <row r="28" spans="1:35" ht="14.25">
      <c r="A28" s="2438"/>
      <c r="B28" s="147"/>
      <c r="C28" s="147"/>
      <c r="D28" s="148"/>
      <c r="E28" s="134"/>
      <c r="F28" s="134"/>
      <c r="G28" s="134"/>
      <c r="H28" s="134"/>
      <c r="I28" s="134"/>
    </row>
    <row r="29" spans="1:35" ht="14.25">
      <c r="A29" s="2438"/>
      <c r="B29" s="147"/>
      <c r="C29" s="147"/>
      <c r="D29" s="148"/>
      <c r="E29" s="134"/>
      <c r="F29" s="134"/>
      <c r="G29" s="134"/>
      <c r="H29" s="134"/>
      <c r="I29" s="134"/>
    </row>
    <row r="30" spans="1:35" ht="14.25">
      <c r="A30" s="147" t="s">
        <v>2148</v>
      </c>
      <c r="B30" s="147"/>
      <c r="C30" s="147"/>
      <c r="D30" s="147"/>
      <c r="E30" s="2921" t="s">
        <v>3022</v>
      </c>
      <c r="F30" s="134"/>
      <c r="G30" s="134"/>
      <c r="H30" s="134"/>
      <c r="I30" s="134"/>
    </row>
    <row r="31" spans="1:35" s="2440" customFormat="1" ht="15" thickBot="1">
      <c r="A31" s="2439"/>
      <c r="B31" s="2439"/>
      <c r="C31" s="2439"/>
      <c r="D31" s="2439"/>
      <c r="E31" s="134"/>
      <c r="F31" s="134"/>
      <c r="G31" s="134"/>
      <c r="H31" s="134"/>
      <c r="I31" s="134"/>
      <c r="J31" s="789"/>
      <c r="K31" s="789"/>
      <c r="L31" s="789"/>
      <c r="M31" s="789"/>
      <c r="N31" s="789"/>
      <c r="O31" s="789"/>
      <c r="P31" s="789"/>
      <c r="Q31" s="789"/>
      <c r="R31" s="789"/>
      <c r="S31" s="789"/>
      <c r="T31" s="789"/>
      <c r="U31" s="789"/>
      <c r="V31" s="789"/>
      <c r="W31" s="789"/>
      <c r="X31" s="789"/>
      <c r="Y31" s="789"/>
      <c r="Z31" s="789"/>
      <c r="AA31" s="2417"/>
      <c r="AB31" s="2417"/>
      <c r="AC31" s="2417"/>
      <c r="AD31" s="2417"/>
      <c r="AE31" s="2417"/>
      <c r="AF31" s="2417"/>
      <c r="AG31" s="2417"/>
      <c r="AH31" s="2417"/>
      <c r="AI31" s="2417"/>
    </row>
    <row r="32" spans="1:35" ht="15.75" thickBot="1">
      <c r="A32" s="2441" t="s">
        <v>2149</v>
      </c>
      <c r="B32" s="2442"/>
      <c r="C32" s="149">
        <f ca="1">IF(D32="总价",G19-C24,G20-C25)</f>
        <v>280892</v>
      </c>
      <c r="D32" s="2443" t="s">
        <v>2150</v>
      </c>
      <c r="E32" s="134"/>
      <c r="F32" s="134"/>
      <c r="G32" s="134"/>
      <c r="H32" s="134"/>
      <c r="I32" s="134"/>
    </row>
    <row r="33" spans="1:15" ht="15">
      <c r="A33" s="954" t="s">
        <v>2151</v>
      </c>
      <c r="B33" s="2444"/>
      <c r="C33" s="2445" t="s">
        <v>3266</v>
      </c>
      <c r="D33" s="2446" t="s">
        <v>3262</v>
      </c>
      <c r="E33" s="2447" t="s">
        <v>2152</v>
      </c>
      <c r="F33" s="2448" t="str">
        <f>IF(D32="楼面单价","取值（单价）","取值（总价）")</f>
        <v>取值（总价）</v>
      </c>
      <c r="G33" s="134"/>
      <c r="H33" s="134"/>
      <c r="I33" s="134"/>
    </row>
    <row r="34" spans="1:15" ht="15">
      <c r="A34" s="2449"/>
      <c r="B34" s="2450" t="s">
        <v>2153</v>
      </c>
      <c r="C34" s="153">
        <f ca="1">IF(C33="自定义",F34,C32-C35)</f>
        <v>257297</v>
      </c>
      <c r="D34" s="1052">
        <f ca="1">IF(C33="自定义",ROUND(C34/C32,3),IF(C33="收益比率",SUMIF(INDIRECT("'"&amp;D33&amp;"'"&amp;"!b:b"),"土地收益比率",INDIRECT("'"&amp;D33&amp;"'"&amp;"!c:c")),SUMIF(INDIRECT("'"&amp;D33&amp;"'"&amp;"!b:b"),"土地成本比率",INDIRECT("'"&amp;D33&amp;"'"&amp;"!c:c"))))</f>
        <v>0.91600000000000004</v>
      </c>
      <c r="E34" s="2451" t="s">
        <v>2154</v>
      </c>
      <c r="F34" s="1733"/>
      <c r="G34" s="134"/>
      <c r="H34" s="134"/>
      <c r="I34" s="134"/>
    </row>
    <row r="35" spans="1:15" ht="15.75" thickBot="1">
      <c r="A35" s="2452"/>
      <c r="B35" s="2453" t="s">
        <v>2155</v>
      </c>
      <c r="C35" s="1438">
        <f ca="1">IF(C33="自定义",F35,ROUND(C32*D35,0))</f>
        <v>23595</v>
      </c>
      <c r="D35" s="1439">
        <f ca="1">IF(C33="自定义",ROUND(C35/C32,3),IF(C33="收益比率",SUMIF(INDIRECT("'"&amp;D33&amp;"'"&amp;"!b:b"),"建筑物收益比率",INDIRECT("'"&amp;D33&amp;"'"&amp;"!c:c")),SUMIF(INDIRECT("'"&amp;D33&amp;"'"&amp;"!b:b"),"建筑物成本比率",INDIRECT("'"&amp;D33&amp;"'"&amp;"!c:c"))))</f>
        <v>8.4000000000000005E-2</v>
      </c>
      <c r="E35" s="2454" t="s">
        <v>2156</v>
      </c>
      <c r="F35" s="159"/>
      <c r="G35" s="134"/>
      <c r="H35" s="134"/>
      <c r="I35" s="134"/>
    </row>
    <row r="36" spans="1:15" ht="15.75" thickBot="1">
      <c r="A36" s="3053" t="s">
        <v>2157</v>
      </c>
      <c r="B36" s="2455" t="s">
        <v>2158</v>
      </c>
      <c r="C36" s="150"/>
      <c r="D36" s="2456"/>
      <c r="E36" s="2457"/>
      <c r="F36" s="2458"/>
      <c r="G36" s="134"/>
      <c r="H36" s="134"/>
      <c r="I36" s="134"/>
    </row>
    <row r="37" spans="1:15" ht="15.75" thickBot="1">
      <c r="A37" s="3054"/>
      <c r="B37" s="2262" t="s">
        <v>2159</v>
      </c>
      <c r="C37" s="152"/>
      <c r="D37" s="1389"/>
      <c r="E37" s="1389"/>
      <c r="F37" s="2458"/>
      <c r="G37" s="134"/>
      <c r="H37" s="134"/>
      <c r="I37" s="134"/>
    </row>
    <row r="38" spans="1:15" ht="15.75" thickBot="1">
      <c r="A38" s="3055"/>
      <c r="B38" s="2459" t="s">
        <v>2160</v>
      </c>
      <c r="C38" s="721"/>
      <c r="D38" s="2460" t="s">
        <v>2161</v>
      </c>
      <c r="E38" s="1389"/>
      <c r="F38" s="2458"/>
      <c r="G38" s="134"/>
      <c r="H38" s="134"/>
      <c r="I38" s="134"/>
    </row>
    <row r="39" spans="1:15" ht="15">
      <c r="A39" s="2431" t="s">
        <v>2162</v>
      </c>
      <c r="B39" s="2461" t="s">
        <v>2163</v>
      </c>
      <c r="C39" s="2462" t="s">
        <v>2164</v>
      </c>
      <c r="D39" s="2462" t="s">
        <v>2165</v>
      </c>
      <c r="E39" s="2463" t="s">
        <v>2166</v>
      </c>
      <c r="F39" s="2458"/>
      <c r="G39" s="134"/>
      <c r="H39" s="134"/>
      <c r="I39" s="134"/>
    </row>
    <row r="40" spans="1:15" ht="14.25">
      <c r="A40" s="2464" t="s">
        <v>2167</v>
      </c>
      <c r="B40" s="154"/>
      <c r="C40" s="155"/>
      <c r="D40" s="155"/>
      <c r="E40" s="156"/>
      <c r="F40" s="2458"/>
      <c r="G40" s="134"/>
      <c r="H40" s="134"/>
      <c r="I40" s="134"/>
    </row>
    <row r="41" spans="1:15" ht="14.25">
      <c r="A41" s="2464" t="s">
        <v>2168</v>
      </c>
      <c r="B41" s="154"/>
      <c r="C41" s="155"/>
      <c r="D41" s="155"/>
      <c r="E41" s="156"/>
      <c r="F41" s="2458"/>
      <c r="G41" s="134"/>
      <c r="H41" s="134"/>
      <c r="I41" s="134"/>
    </row>
    <row r="42" spans="1:15" ht="15" thickBot="1">
      <c r="A42" s="2465"/>
      <c r="B42" s="157"/>
      <c r="C42" s="158"/>
      <c r="D42" s="158"/>
      <c r="E42" s="159"/>
      <c r="F42" s="2458"/>
      <c r="G42" s="134"/>
      <c r="H42" s="134"/>
      <c r="I42" s="134"/>
    </row>
    <row r="43" spans="1:15" ht="12.75">
      <c r="A43" s="2161"/>
      <c r="B43" s="2161"/>
      <c r="C43" s="2161"/>
      <c r="D43" s="2161"/>
      <c r="E43" s="2161"/>
      <c r="F43" s="2466"/>
      <c r="G43" s="2466"/>
      <c r="H43" s="2466"/>
      <c r="I43" s="2467"/>
    </row>
    <row r="44" spans="1:15" ht="18.75" hidden="1">
      <c r="A44" s="2468" t="s">
        <v>2169</v>
      </c>
      <c r="B44" s="2469"/>
      <c r="C44" s="2469"/>
      <c r="D44" s="2470"/>
      <c r="E44" s="2470"/>
      <c r="F44" s="2471"/>
      <c r="G44" s="2471"/>
      <c r="H44" s="2471"/>
      <c r="I44" s="2471"/>
      <c r="J44" s="2472" t="s">
        <v>2170</v>
      </c>
      <c r="K44" s="2473"/>
      <c r="L44" s="2473"/>
      <c r="M44" s="2473"/>
      <c r="N44" s="2473"/>
      <c r="O44" s="2473"/>
    </row>
    <row r="45" spans="1:15" ht="14.25" hidden="1" customHeight="1" thickBot="1">
      <c r="A45" s="3032" t="s">
        <v>2171</v>
      </c>
      <c r="B45" s="3033"/>
      <c r="C45" s="3034"/>
      <c r="D45" s="160">
        <f ca="1">ROUND(H101*F45,0)</f>
        <v>280892</v>
      </c>
      <c r="E45" s="161" t="s">
        <v>2172</v>
      </c>
      <c r="F45" s="162">
        <v>1</v>
      </c>
      <c r="G45" s="163" t="s">
        <v>2173</v>
      </c>
      <c r="H45" s="134"/>
      <c r="I45" s="134"/>
      <c r="J45" s="3092" t="s">
        <v>2174</v>
      </c>
      <c r="K45" s="3092"/>
      <c r="L45" s="3092"/>
      <c r="M45" s="3092"/>
      <c r="N45" s="3092"/>
      <c r="O45" s="3092"/>
    </row>
    <row r="46" spans="1:15" ht="14.25" hidden="1" customHeight="1">
      <c r="A46" s="3029" t="s">
        <v>2175</v>
      </c>
      <c r="B46" s="3030"/>
      <c r="C46" s="3030"/>
      <c r="D46" s="3030"/>
      <c r="E46" s="3030"/>
      <c r="F46" s="3030"/>
      <c r="G46" s="3031"/>
      <c r="H46" s="2474"/>
      <c r="I46" s="164"/>
      <c r="J46" s="1806">
        <v>1</v>
      </c>
      <c r="K46" s="3092" t="s">
        <v>2176</v>
      </c>
      <c r="L46" s="3092"/>
      <c r="M46" s="3112"/>
      <c r="N46" s="3112"/>
      <c r="O46" s="3112"/>
    </row>
    <row r="47" spans="1:15" ht="12" hidden="1" customHeight="1">
      <c r="A47" s="165" t="s">
        <v>2177</v>
      </c>
      <c r="B47" s="166"/>
      <c r="C47" s="167"/>
      <c r="D47" s="168" t="s">
        <v>2178</v>
      </c>
      <c r="E47" s="24" t="s">
        <v>2179</v>
      </c>
      <c r="F47" s="169" t="s">
        <v>2180</v>
      </c>
      <c r="G47" s="170" t="s">
        <v>2181</v>
      </c>
      <c r="H47" s="2474"/>
      <c r="I47" s="164"/>
      <c r="J47" s="1806">
        <v>2</v>
      </c>
      <c r="K47" s="3092" t="s">
        <v>2182</v>
      </c>
      <c r="L47" s="3092"/>
      <c r="M47" s="3113">
        <f>'数据-取费表'!B2</f>
        <v>43237</v>
      </c>
      <c r="N47" s="3113"/>
      <c r="O47" s="3113"/>
    </row>
    <row r="48" spans="1:15" ht="25.5" hidden="1">
      <c r="A48" s="3060" t="s">
        <v>2183</v>
      </c>
      <c r="B48" s="3043"/>
      <c r="C48" s="3043"/>
      <c r="D48" s="136">
        <f>IF(H48="情况1",0,IF(H48="情况2",D52,IF(H48="情况3",D53,IF(H48="情况4",D54))))</f>
        <v>0</v>
      </c>
      <c r="E48" s="1795" t="str">
        <f>IF(H48="情况4","(销售额-原购置价)×税（费）率","销售额×税（费）率")</f>
        <v>销售额×税（费）率</v>
      </c>
      <c r="F48" s="171" t="str">
        <f>IF(H48="情况1","免征",'数据-取费表'!B41)</f>
        <v>免征</v>
      </c>
      <c r="G48" s="2475" t="s">
        <v>2184</v>
      </c>
      <c r="H48" s="2476" t="s">
        <v>2185</v>
      </c>
      <c r="I48" s="2474"/>
      <c r="J48" s="1806">
        <v>3</v>
      </c>
      <c r="K48" s="3092" t="s">
        <v>2186</v>
      </c>
      <c r="L48" s="3092"/>
      <c r="M48" s="3114">
        <f ca="1">H101</f>
        <v>280892</v>
      </c>
      <c r="N48" s="3114"/>
      <c r="O48" s="3114"/>
    </row>
    <row r="49" spans="1:35" ht="25.5" hidden="1" customHeight="1">
      <c r="A49" s="172" t="s">
        <v>2187</v>
      </c>
      <c r="B49" s="3028" t="s">
        <v>2188</v>
      </c>
      <c r="C49" s="3028"/>
      <c r="D49" s="173">
        <v>0</v>
      </c>
      <c r="E49" s="23" t="s">
        <v>2189</v>
      </c>
      <c r="F49" s="28" t="s">
        <v>34</v>
      </c>
      <c r="G49" s="3098"/>
      <c r="H49" s="134"/>
      <c r="I49" s="2477"/>
      <c r="J49" s="1806">
        <v>4</v>
      </c>
      <c r="K49" s="3092" t="str">
        <f>IF(项目基本情况!E8="房地产抵押价值","房地产抵押价值","抵押担保权已注销时的房地产抵押价值")</f>
        <v>房地产抵押价值</v>
      </c>
      <c r="L49" s="3092"/>
      <c r="M49" s="3114">
        <f ca="1">IF(项目基本情况!E8="房地产抵押价值",H107,H109)</f>
        <v>280892</v>
      </c>
      <c r="N49" s="3114"/>
      <c r="O49" s="3114"/>
    </row>
    <row r="50" spans="1:35" ht="25.5" hidden="1" customHeight="1">
      <c r="A50" s="174"/>
      <c r="B50" s="3028" t="s">
        <v>2190</v>
      </c>
      <c r="C50" s="3028"/>
      <c r="D50" s="175"/>
      <c r="E50" s="31"/>
      <c r="F50" s="176"/>
      <c r="G50" s="3099"/>
      <c r="H50" s="134"/>
      <c r="I50" s="2477"/>
      <c r="J50" s="3092" t="s">
        <v>2191</v>
      </c>
      <c r="K50" s="3092"/>
      <c r="L50" s="3092"/>
      <c r="M50" s="3092"/>
      <c r="N50" s="3092"/>
      <c r="O50" s="3092"/>
    </row>
    <row r="51" spans="1:35" ht="12" hidden="1" customHeight="1">
      <c r="A51" s="177"/>
      <c r="B51" s="3028" t="s">
        <v>2192</v>
      </c>
      <c r="C51" s="3028"/>
      <c r="D51" s="178"/>
      <c r="E51" s="30"/>
      <c r="F51" s="176"/>
      <c r="G51" s="3100"/>
      <c r="H51" s="134"/>
      <c r="I51" s="2477"/>
      <c r="J51" s="2478" t="s">
        <v>2193</v>
      </c>
      <c r="K51" s="3092" t="s">
        <v>2194</v>
      </c>
      <c r="L51" s="3092"/>
      <c r="M51" s="2478" t="s">
        <v>2195</v>
      </c>
      <c r="N51" s="2478" t="s">
        <v>2196</v>
      </c>
      <c r="O51" s="2478" t="s">
        <v>2197</v>
      </c>
    </row>
    <row r="52" spans="1:35" ht="24" hidden="1" customHeight="1">
      <c r="A52" s="179" t="s">
        <v>2198</v>
      </c>
      <c r="B52" s="3028" t="s">
        <v>2199</v>
      </c>
      <c r="C52" s="3028"/>
      <c r="D52" s="178">
        <f ca="1">ROUND(D45*'数据-取费表'!B41/(1+'数据-取费表'!C42),0)</f>
        <v>14713</v>
      </c>
      <c r="E52" s="11" t="s">
        <v>2200</v>
      </c>
      <c r="F52" s="180">
        <f>'数据-取费表'!B41</f>
        <v>5.5000000000000007E-2</v>
      </c>
      <c r="G52" s="2479"/>
      <c r="H52" s="134"/>
      <c r="I52" s="2477"/>
      <c r="J52" s="1806">
        <v>1</v>
      </c>
      <c r="K52" s="3093" t="s">
        <v>2201</v>
      </c>
      <c r="L52" s="3093"/>
      <c r="M52" s="1748">
        <f>D48</f>
        <v>0</v>
      </c>
      <c r="N52" s="1806" t="str">
        <f>E48</f>
        <v>销售额×税（费）率</v>
      </c>
      <c r="O52" s="1749" t="str">
        <f>F48</f>
        <v>免征</v>
      </c>
    </row>
    <row r="53" spans="1:35" ht="12" hidden="1" customHeight="1">
      <c r="A53" s="179" t="s">
        <v>2202</v>
      </c>
      <c r="B53" s="3051" t="s">
        <v>2203</v>
      </c>
      <c r="C53" s="3052"/>
      <c r="D53" s="178">
        <f ca="1">ROUND(D45*'数据-取费表'!B41/(1+'数据-取费表'!C42),0)</f>
        <v>14713</v>
      </c>
      <c r="E53" s="11" t="s">
        <v>2200</v>
      </c>
      <c r="F53" s="180">
        <f>'数据-取费表'!B41</f>
        <v>5.5000000000000007E-2</v>
      </c>
      <c r="G53" s="2479"/>
      <c r="H53" s="134"/>
      <c r="I53" s="2477"/>
      <c r="J53" s="1806">
        <v>2</v>
      </c>
      <c r="K53" s="3093" t="s">
        <v>2204</v>
      </c>
      <c r="L53" s="3093"/>
      <c r="M53" s="1748">
        <f t="shared" ref="M53:O54" ca="1" si="0">D55</f>
        <v>140</v>
      </c>
      <c r="N53" s="1806" t="str">
        <f t="shared" si="0"/>
        <v>销售额×税（费）率</v>
      </c>
      <c r="O53" s="1749">
        <f t="shared" si="0"/>
        <v>5.0000000000000001E-4</v>
      </c>
    </row>
    <row r="54" spans="1:35" ht="12" hidden="1" customHeight="1">
      <c r="A54" s="179" t="s">
        <v>2205</v>
      </c>
      <c r="B54" s="3051" t="s">
        <v>2206</v>
      </c>
      <c r="C54" s="3052"/>
      <c r="D54" s="178">
        <f ca="1">C68</f>
        <v>14713</v>
      </c>
      <c r="E54" s="30" t="s">
        <v>2207</v>
      </c>
      <c r="F54" s="180">
        <f>'数据-取费表'!B41</f>
        <v>5.5000000000000007E-2</v>
      </c>
      <c r="G54" s="2479"/>
      <c r="H54" s="2480"/>
      <c r="I54" s="2477"/>
      <c r="J54" s="1806">
        <v>3</v>
      </c>
      <c r="K54" s="3093" t="s">
        <v>2208</v>
      </c>
      <c r="L54" s="3093"/>
      <c r="M54" s="1748">
        <f t="shared" ca="1" si="0"/>
        <v>159239</v>
      </c>
      <c r="N54" s="1806" t="str">
        <f t="shared" si="0"/>
        <v>增值额×税（费）率</v>
      </c>
      <c r="O54" s="1750" t="str">
        <f t="shared" si="0"/>
        <v>——</v>
      </c>
    </row>
    <row r="55" spans="1:35" ht="24" hidden="1" customHeight="1">
      <c r="A55" s="3042" t="s">
        <v>2209</v>
      </c>
      <c r="B55" s="3043"/>
      <c r="C55" s="3043"/>
      <c r="D55" s="181">
        <f ca="1">IF(H55="个人住宅",0,ROUND(D45*I55,0))</f>
        <v>140</v>
      </c>
      <c r="E55" s="11" t="s">
        <v>2210</v>
      </c>
      <c r="F55" s="180">
        <f>IF(H55="正常",I55,"免征")</f>
        <v>5.0000000000000001E-4</v>
      </c>
      <c r="G55" s="2479"/>
      <c r="H55" s="2476" t="s">
        <v>2211</v>
      </c>
      <c r="I55" s="182">
        <f>'数据-取费表'!B49</f>
        <v>5.0000000000000001E-4</v>
      </c>
      <c r="J55" s="1806" t="str">
        <f>IF(H59="非个人房产","",4)</f>
        <v/>
      </c>
      <c r="K55" s="3093" t="str">
        <f>IF(H59="非个人房产","——","个人所得税")</f>
        <v>——</v>
      </c>
      <c r="L55" s="3093"/>
      <c r="M55" s="1751" t="str">
        <f>D59</f>
        <v>——</v>
      </c>
      <c r="N55" s="1804" t="str">
        <f>E59</f>
        <v>——</v>
      </c>
      <c r="O55" s="1752" t="str">
        <f>F59</f>
        <v>——</v>
      </c>
    </row>
    <row r="56" spans="1:35" ht="24.75" hidden="1">
      <c r="A56" s="3042" t="s">
        <v>2212</v>
      </c>
      <c r="B56" s="3043"/>
      <c r="C56" s="3043"/>
      <c r="D56" s="181">
        <f ca="1">IF(H56="个人住宅",D57,D58)</f>
        <v>159239</v>
      </c>
      <c r="E56" s="11" t="s">
        <v>2213</v>
      </c>
      <c r="F56" s="180" t="str">
        <f>IF(H56="正常",F58,"免征")</f>
        <v>——</v>
      </c>
      <c r="G56" s="2481" t="s">
        <v>2214</v>
      </c>
      <c r="H56" s="2482" t="s">
        <v>2211</v>
      </c>
      <c r="I56" s="2483"/>
      <c r="J56" s="1806" t="str">
        <f>IF(项目基本情况!K6="上海银行",IF(J55="",4,J55+1),"")</f>
        <v/>
      </c>
      <c r="K56" s="3116" t="str">
        <f>IF(项目基本情况!K6="上海银行","其他处置费用","")</f>
        <v/>
      </c>
      <c r="L56" s="3117"/>
      <c r="M56" s="1748" t="str">
        <f>IF(项目基本情况!K6="上海银行",M69,"")</f>
        <v/>
      </c>
      <c r="N56" s="3119" t="str">
        <f>IF(项目基本情况!K6="上海银行","包含处置中涉及的律师、诉讼、拍卖、评估等费用","")</f>
        <v/>
      </c>
      <c r="O56" s="3120"/>
    </row>
    <row r="57" spans="1:35" ht="12.75" hidden="1">
      <c r="A57" s="179" t="s">
        <v>2187</v>
      </c>
      <c r="B57" s="3058" t="s">
        <v>2215</v>
      </c>
      <c r="C57" s="3067"/>
      <c r="D57" s="183">
        <v>0</v>
      </c>
      <c r="E57" s="23" t="s">
        <v>2189</v>
      </c>
      <c r="F57" s="151"/>
      <c r="G57" s="2479"/>
      <c r="H57" s="2483"/>
      <c r="I57" s="2483"/>
      <c r="J57" s="3093">
        <f>IF(AND(J55="",J56=""),4,IF(项目基本情况!K6="上海银行",结果表!J56+1,结果表!J55+1))</f>
        <v>4</v>
      </c>
      <c r="K57" s="3093" t="s">
        <v>2216</v>
      </c>
      <c r="L57" s="2484" t="s">
        <v>2217</v>
      </c>
      <c r="M57" s="1753"/>
      <c r="N57" s="1754">
        <f ca="1">SUMIF(M52:M56,"&lt;9e307")</f>
        <v>159379</v>
      </c>
      <c r="O57" s="2485"/>
      <c r="P57" s="1747">
        <f ca="1">N57/M49</f>
        <v>0.56740313002862308</v>
      </c>
    </row>
    <row r="58" spans="1:35" ht="24.75" hidden="1">
      <c r="A58" s="179" t="s">
        <v>2198</v>
      </c>
      <c r="B58" s="3058" t="s">
        <v>2218</v>
      </c>
      <c r="C58" s="3059"/>
      <c r="D58" s="181">
        <f ca="1">IF(H58="转让取得",C81,C97)</f>
        <v>159239</v>
      </c>
      <c r="E58" s="11" t="s">
        <v>2213</v>
      </c>
      <c r="F58" s="24" t="s">
        <v>34</v>
      </c>
      <c r="G58" s="2479"/>
      <c r="H58" s="2482" t="s">
        <v>2219</v>
      </c>
      <c r="I58" s="2483"/>
      <c r="J58" s="3093"/>
      <c r="K58" s="3093"/>
      <c r="L58" s="2484" t="s">
        <v>2220</v>
      </c>
      <c r="M58" s="1755"/>
      <c r="N58" s="2486" t="str">
        <f ca="1">NUMBERSTRING(INT(N57*10000),2)&amp;"元整"</f>
        <v>壹拾伍亿玖仟叁佰柒拾玖万元整</v>
      </c>
      <c r="O58" s="2487"/>
    </row>
    <row r="59" spans="1:35" ht="24.75" hidden="1" thickBot="1">
      <c r="A59" s="3096" t="s">
        <v>2221</v>
      </c>
      <c r="B59" s="3097"/>
      <c r="C59" s="3097"/>
      <c r="D59" s="184" t="str">
        <f>IF(H59="非个人房产","——",IF(H59="个人住宅",0,ROUND(D45*I59,0)))</f>
        <v>——</v>
      </c>
      <c r="E59" s="185" t="str">
        <f>IF(H59="非个人房产","——","销售额×税（费）率")</f>
        <v>——</v>
      </c>
      <c r="F59" s="186" t="str">
        <f>IF(H59="非个人房产","——",IF(H59="个人住宅","免征",I59))</f>
        <v>——</v>
      </c>
      <c r="G59" s="2488" t="s">
        <v>2214</v>
      </c>
      <c r="H59" s="2482" t="s">
        <v>2222</v>
      </c>
      <c r="I59" s="187">
        <v>0.01</v>
      </c>
      <c r="J59" s="3094">
        <f>J57+1</f>
        <v>5</v>
      </c>
      <c r="K59" s="3093" t="s">
        <v>2223</v>
      </c>
      <c r="L59" s="1806" t="s">
        <v>2217</v>
      </c>
      <c r="M59" s="1756"/>
      <c r="N59" s="1757">
        <f ca="1">M49-N57</f>
        <v>121513</v>
      </c>
      <c r="O59" s="2489"/>
    </row>
    <row r="60" spans="1:35" ht="12" hidden="1" customHeight="1">
      <c r="A60" s="2490"/>
      <c r="B60" s="2412"/>
      <c r="C60" s="2412"/>
      <c r="D60" s="2412"/>
      <c r="E60" s="2162"/>
      <c r="F60" s="2483"/>
      <c r="G60" s="2483"/>
      <c r="H60" s="2491"/>
      <c r="I60" s="134"/>
      <c r="J60" s="3095"/>
      <c r="K60" s="3093"/>
      <c r="L60" s="2484" t="s">
        <v>2220</v>
      </c>
      <c r="M60" s="1755"/>
      <c r="N60" s="2486" t="str">
        <f ca="1">NUMBERSTRING(INT(N59*10000),2)&amp;"元整"</f>
        <v>壹拾贰亿壹仟伍佰壹拾叁万元整</v>
      </c>
      <c r="O60" s="2487"/>
    </row>
    <row r="61" spans="1:35" ht="13.5" hidden="1" thickBot="1">
      <c r="A61" s="3040" t="s">
        <v>2224</v>
      </c>
      <c r="B61" s="3040"/>
      <c r="C61" s="3040"/>
      <c r="D61" s="3040"/>
      <c r="E61" s="3040"/>
      <c r="F61" s="2483"/>
      <c r="G61" s="2483"/>
      <c r="H61" s="2491"/>
      <c r="I61" s="134"/>
      <c r="J61" s="1806">
        <f>J59+1</f>
        <v>6</v>
      </c>
      <c r="K61" s="3093" t="s">
        <v>2225</v>
      </c>
      <c r="L61" s="3093"/>
      <c r="M61" s="1758"/>
      <c r="N61" s="1759">
        <f ca="1">ROUND(N59*10000/'数据-汇总表'!E3,0)</f>
        <v>6625</v>
      </c>
      <c r="O61" s="2492"/>
    </row>
    <row r="62" spans="1:35" ht="12.75" hidden="1">
      <c r="A62" s="3056" t="s">
        <v>2226</v>
      </c>
      <c r="B62" s="3057"/>
      <c r="C62" s="1798"/>
      <c r="D62" s="1798" t="s">
        <v>2227</v>
      </c>
      <c r="E62" s="188" t="s">
        <v>2228</v>
      </c>
      <c r="F62" s="2483"/>
      <c r="G62" s="2483"/>
      <c r="H62" s="2491"/>
      <c r="I62" s="134"/>
    </row>
    <row r="63" spans="1:35" ht="12.75" hidden="1">
      <c r="A63" s="199" t="s">
        <v>775</v>
      </c>
      <c r="B63" s="189" t="s">
        <v>2229</v>
      </c>
      <c r="C63" s="190">
        <f ca="1">ROUND((C64+C65)/(1+'数据-取费表'!C42),0)</f>
        <v>267516</v>
      </c>
      <c r="D63" s="191"/>
      <c r="E63" s="192"/>
      <c r="F63" s="2483"/>
      <c r="G63" s="2483"/>
      <c r="H63" s="2491"/>
      <c r="I63" s="134"/>
      <c r="J63" s="3118" t="s">
        <v>2230</v>
      </c>
      <c r="K63" s="2493" t="s">
        <v>2231</v>
      </c>
      <c r="L63" s="1746">
        <f ca="1">IF(M49&gt;10000,M49*0.5%,IF(AND(M49&gt;1000,M49&lt;=10000),M49*1%,IF(AND(M49&gt;100,M49&lt;=1000),M49*3%,IF(AND(M49&gt;10,M49&lt;=100),M49*5%,M49*8%))))</f>
        <v>1404.46</v>
      </c>
      <c r="M63" s="24">
        <f ca="1">ROUND(L63,1)</f>
        <v>1404.5</v>
      </c>
      <c r="Z63" s="2417"/>
      <c r="AI63" s="2418"/>
    </row>
    <row r="64" spans="1:35" ht="14.25" hidden="1" customHeight="1">
      <c r="A64" s="193" t="s">
        <v>770</v>
      </c>
      <c r="B64" s="194" t="s">
        <v>2232</v>
      </c>
      <c r="C64" s="195">
        <f ca="1">D45</f>
        <v>280892</v>
      </c>
      <c r="D64" s="196" t="s">
        <v>32</v>
      </c>
      <c r="E64" s="197"/>
      <c r="F64" s="2483"/>
      <c r="G64" s="2483"/>
      <c r="H64" s="2491"/>
      <c r="I64" s="134"/>
      <c r="J64" s="3118"/>
      <c r="K64" s="2493" t="s">
        <v>2233</v>
      </c>
      <c r="L64" s="1746">
        <f ca="1">IF(M49&gt;2000,M49*0.5%,IF(AND(M49&gt;1000,M49&lt;=2000),M49*0.6%,IF(AND(M49&gt;500,M49&lt;=1000),M49*0.7%,IF(AND(M49&gt;200,M49&lt;=500),M49*0.8%,IF(AND(M49&gt;100,M49&lt;=200),M49*0.9%,IF(AND(M49&gt;50,M49&lt;=100),M49*1%,IF(AND(M49&gt;20,M49&lt;=50),M49*1.5%,IF(AND(M49&gt;10,M49&lt;=20),M49*2%,IF(AND(M49&gt;1,M49&lt;=10),M49*2.5%)))))))))</f>
        <v>1404.46</v>
      </c>
      <c r="M64" s="24">
        <f t="shared" ref="M64:M65" ca="1" si="1">ROUND(L64,1)</f>
        <v>1404.5</v>
      </c>
      <c r="N64" s="134" t="s">
        <v>2234</v>
      </c>
      <c r="Z64" s="2417"/>
      <c r="AI64" s="2418"/>
    </row>
    <row r="65" spans="1:35" ht="14.25" hidden="1" customHeight="1">
      <c r="A65" s="193" t="s">
        <v>771</v>
      </c>
      <c r="B65" s="194" t="s">
        <v>2235</v>
      </c>
      <c r="C65" s="198"/>
      <c r="D65" s="196"/>
      <c r="E65" s="197"/>
      <c r="F65" s="2483"/>
      <c r="G65" s="2483"/>
      <c r="H65" s="2491"/>
      <c r="I65" s="134"/>
      <c r="J65" s="3118"/>
      <c r="K65" s="2493" t="s">
        <v>2236</v>
      </c>
      <c r="L65" s="1746">
        <f ca="1">IF(M49&gt;1000,M49*0.1%,IF(AND(M49&gt;500,M49&lt;=1000),M49*0.5%,IF(AND(M49&gt;50,M49&lt;=500),M49*1%,IF(AND(M49&gt;1,M49&lt;=50),M49*1.5%))))</f>
        <v>280.892</v>
      </c>
      <c r="M65" s="24">
        <f t="shared" ca="1" si="1"/>
        <v>280.89999999999998</v>
      </c>
      <c r="N65" s="134" t="s">
        <v>2234</v>
      </c>
      <c r="Z65" s="2417"/>
      <c r="AI65" s="2418"/>
    </row>
    <row r="66" spans="1:35" ht="14.25" hidden="1" customHeight="1">
      <c r="A66" s="199" t="s">
        <v>772</v>
      </c>
      <c r="B66" s="200" t="s">
        <v>2237</v>
      </c>
      <c r="C66" s="201"/>
      <c r="D66" s="202" t="s">
        <v>32</v>
      </c>
      <c r="E66" s="1770" t="s">
        <v>1371</v>
      </c>
      <c r="F66" s="2483"/>
      <c r="G66" s="2483"/>
      <c r="H66" s="2491"/>
      <c r="I66" s="134"/>
      <c r="J66" s="3118"/>
      <c r="K66" s="2493" t="s">
        <v>2238</v>
      </c>
      <c r="L66" s="1746">
        <f ca="1">M49*0.5%</f>
        <v>1404.46</v>
      </c>
      <c r="M66" s="24">
        <f ca="1">IF(L66&gt;0.5,0.5,ROUND(L66,0))</f>
        <v>0.5</v>
      </c>
      <c r="N66" s="134" t="s">
        <v>2239</v>
      </c>
      <c r="Z66" s="2417"/>
      <c r="AI66" s="2418"/>
    </row>
    <row r="67" spans="1:35" ht="14.25" hidden="1" customHeight="1">
      <c r="A67" s="199" t="s">
        <v>773</v>
      </c>
      <c r="B67" s="200" t="s">
        <v>2240</v>
      </c>
      <c r="C67" s="203">
        <f ca="1">C63-C66</f>
        <v>267516</v>
      </c>
      <c r="D67" s="196" t="s">
        <v>32</v>
      </c>
      <c r="E67" s="197"/>
      <c r="F67" s="2483"/>
      <c r="G67" s="2483"/>
      <c r="H67" s="2491"/>
      <c r="I67" s="134"/>
      <c r="J67" s="3118"/>
      <c r="K67" s="2493" t="s">
        <v>2241</v>
      </c>
      <c r="L67" s="1746">
        <f ca="1">IF(M49&gt;=10000,(8.25+(M49-10000)*0.01%),IF(AND(M49&gt;=8000,M49&lt;10000),(7.85+(M49-8000)*0.02%),IF(AND(M49&gt;=5000,M49&lt;8000),(6.65+(M49-5000)*0.04%),IF(AND(M49&gt;=2000,M49&lt;5000),(4.25+(PM49-2000)*0.08%),IF(AND(M49&gt;=1000,M49&lt;2000),(2.75+(M49-1000)*0.15%),IF(AND(M49&gt;=100,M49&lt;1000),(0.5+(M49-100)*0.25%),IF(AND(M49&gt;0,M49&lt;100),M49*0.5%)))))))</f>
        <v>35.339200000000005</v>
      </c>
      <c r="M67" s="24">
        <f ca="1">ROUND(L67*0.9,1)</f>
        <v>31.8</v>
      </c>
      <c r="Z67" s="2417"/>
      <c r="AI67" s="2418"/>
    </row>
    <row r="68" spans="1:35" ht="14.25" hidden="1" customHeight="1" thickBot="1">
      <c r="A68" s="204" t="s">
        <v>774</v>
      </c>
      <c r="B68" s="205" t="s">
        <v>2242</v>
      </c>
      <c r="C68" s="206">
        <f ca="1">IF(C67&lt;=0,0,ROUND(C67*D68,0))</f>
        <v>14713</v>
      </c>
      <c r="D68" s="207">
        <f>'数据-取费表'!B41</f>
        <v>5.5000000000000007E-2</v>
      </c>
      <c r="E68" s="208"/>
      <c r="F68" s="2483"/>
      <c r="G68" s="2483"/>
      <c r="H68" s="2491"/>
      <c r="I68" s="134"/>
      <c r="J68" s="3118"/>
      <c r="K68" s="2493" t="s">
        <v>2243</v>
      </c>
      <c r="L68" s="1746">
        <f ca="1">IF(M49&gt;10000,M49*0.5%,IF(AND(M49&gt;5000,M49&lt;=10000),M49*1%,IF(AND(M49&gt;1000,M49&lt;=5000),M49*2%,IF(AND(M49&gt;200,M49&lt;=1000),M49*3%,M49*5%))))</f>
        <v>1404.46</v>
      </c>
      <c r="M68" s="24">
        <f ca="1">ROUND(L68,1)</f>
        <v>1404.5</v>
      </c>
      <c r="Z68" s="2417"/>
      <c r="AI68" s="2418"/>
    </row>
    <row r="69" spans="1:35" s="2440" customFormat="1" ht="16.5" hidden="1" customHeight="1">
      <c r="A69" s="2494"/>
      <c r="B69" s="2495"/>
      <c r="C69" s="2496"/>
      <c r="D69" s="2497"/>
      <c r="E69" s="2498"/>
      <c r="F69" s="2162"/>
      <c r="G69" s="2162"/>
      <c r="H69" s="2161"/>
      <c r="I69" s="2412"/>
      <c r="J69" s="3118"/>
      <c r="K69" s="2493" t="s">
        <v>2244</v>
      </c>
      <c r="L69" s="2499"/>
      <c r="M69" s="24">
        <f ca="1">ROUND(SUM(M63:M68),0)</f>
        <v>4527</v>
      </c>
      <c r="N69" s="1747">
        <f ca="1">M69/M49</f>
        <v>1.611651453227575E-2</v>
      </c>
      <c r="O69" s="789"/>
      <c r="P69" s="789"/>
      <c r="Q69" s="789"/>
      <c r="R69" s="789"/>
      <c r="S69" s="789"/>
      <c r="T69" s="789"/>
      <c r="U69" s="789"/>
      <c r="V69" s="789"/>
      <c r="W69" s="789"/>
      <c r="X69" s="789"/>
      <c r="Y69" s="789"/>
      <c r="Z69" s="2417"/>
      <c r="AA69" s="2417"/>
      <c r="AB69" s="2417"/>
      <c r="AC69" s="2417"/>
      <c r="AD69" s="2417"/>
      <c r="AE69" s="2417"/>
      <c r="AF69" s="2417"/>
      <c r="AG69" s="2417"/>
      <c r="AH69" s="2417"/>
    </row>
    <row r="70" spans="1:35" s="2501" customFormat="1" ht="15" hidden="1" thickBot="1">
      <c r="A70" s="3077" t="s">
        <v>2245</v>
      </c>
      <c r="B70" s="3078"/>
      <c r="C70" s="3078"/>
      <c r="D70" s="3078"/>
      <c r="E70" s="3078"/>
      <c r="F70" s="3078"/>
      <c r="G70" s="3078"/>
      <c r="H70" s="307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056" t="s">
        <v>2226</v>
      </c>
      <c r="B71" s="3057"/>
      <c r="C71" s="1798"/>
      <c r="D71" s="1798" t="s">
        <v>2227</v>
      </c>
      <c r="E71" s="209" t="s">
        <v>2228</v>
      </c>
      <c r="F71" s="210"/>
      <c r="G71" s="210"/>
      <c r="H71" s="211"/>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199" t="s">
        <v>775</v>
      </c>
      <c r="B72" s="200" t="s">
        <v>2246</v>
      </c>
      <c r="C72" s="203">
        <f ca="1">ROUND(D45/(1+'数据-取费表'!C42),0)</f>
        <v>267516</v>
      </c>
      <c r="D72" s="196" t="s">
        <v>32</v>
      </c>
      <c r="E72" s="1797"/>
      <c r="F72" s="1791"/>
      <c r="G72" s="1791"/>
      <c r="H72" s="212"/>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199" t="s">
        <v>772</v>
      </c>
      <c r="B73" s="169" t="s">
        <v>2247</v>
      </c>
      <c r="C73" s="203">
        <f ca="1">C74+C78</f>
        <v>1338</v>
      </c>
      <c r="D73" s="196" t="s">
        <v>32</v>
      </c>
      <c r="E73" s="1797"/>
      <c r="F73" s="1791"/>
      <c r="G73" s="1791"/>
      <c r="H73" s="212"/>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3" t="s">
        <v>770</v>
      </c>
      <c r="B74" s="194" t="s">
        <v>2248</v>
      </c>
      <c r="C74" s="196">
        <f>ROUND(IF(G77="2016年5月1日后购买",C75/(1+'数据-取费表'!C42)+C76+C77,C75+C76+C77),0)</f>
        <v>0</v>
      </c>
      <c r="D74" s="196" t="s">
        <v>32</v>
      </c>
      <c r="E74" s="1797"/>
      <c r="F74" s="1791"/>
      <c r="G74" s="1791"/>
      <c r="H74" s="212"/>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3" t="s">
        <v>776</v>
      </c>
      <c r="B75" s="194" t="s">
        <v>2249</v>
      </c>
      <c r="C75" s="214"/>
      <c r="D75" s="196" t="s">
        <v>32</v>
      </c>
      <c r="E75" s="215" t="s">
        <v>2250</v>
      </c>
      <c r="F75" s="2505" t="s">
        <v>2251</v>
      </c>
      <c r="G75" s="215" t="s">
        <v>2252</v>
      </c>
      <c r="H75" s="216"/>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3" t="s">
        <v>777</v>
      </c>
      <c r="B76" s="217" t="s">
        <v>2253</v>
      </c>
      <c r="C76" s="196">
        <f>IF(F75="购房发票",ROUND(C75*H75*D76,0),0)</f>
        <v>0</v>
      </c>
      <c r="D76" s="218">
        <v>0.05</v>
      </c>
      <c r="E76" s="3051" t="s">
        <v>2254</v>
      </c>
      <c r="F76" s="3028"/>
      <c r="G76" s="3028"/>
      <c r="H76" s="307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3" t="s">
        <v>778</v>
      </c>
      <c r="B77" s="194" t="s">
        <v>2255</v>
      </c>
      <c r="C77" s="196">
        <f>ROUND(IF(G77="个人住宅",0,IF(G77="2016年5月1日前购买",C75*D77,C75*D77/(1+'数据-取费表'!C42))),0)</f>
        <v>0</v>
      </c>
      <c r="D77" s="219">
        <f>'数据-取费表'!B48+'数据-取费表'!B49</f>
        <v>3.0499999999999999E-2</v>
      </c>
      <c r="E77" s="15" t="s">
        <v>2256</v>
      </c>
      <c r="F77" s="220"/>
      <c r="G77" s="2507" t="s">
        <v>2257</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3" t="s">
        <v>771</v>
      </c>
      <c r="B78" s="194" t="s">
        <v>2258</v>
      </c>
      <c r="C78" s="221">
        <f ca="1">ROUND(D45*D78/(1+'数据-取费表'!C42),0)</f>
        <v>1338</v>
      </c>
      <c r="D78" s="222">
        <f>'数据-取费表'!B43</f>
        <v>5.000000000000001E-3</v>
      </c>
      <c r="E78" s="3037" t="s">
        <v>2259</v>
      </c>
      <c r="F78" s="3038"/>
      <c r="G78" s="3038"/>
      <c r="H78" s="304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0" t="s">
        <v>2260</v>
      </c>
      <c r="C79" s="203">
        <f ca="1">C72-C73</f>
        <v>266178</v>
      </c>
      <c r="D79" s="196" t="s">
        <v>32</v>
      </c>
      <c r="E79" s="1797"/>
      <c r="F79" s="1791"/>
      <c r="G79" s="1791"/>
      <c r="H79" s="212"/>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0" t="s">
        <v>2261</v>
      </c>
      <c r="C80" s="223">
        <f ca="1">IF(C79&lt;=0,0,C79/C73)</f>
        <v>198.93721973094171</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2"/>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5" t="s">
        <v>2262</v>
      </c>
      <c r="C81" s="224">
        <f ca="1">ROUND(IF(C79&lt;=0,0,IF(C80&gt;=200%,C79*60%-C73*35%,IF(C80&gt;=100%,C79*50%-C73*15%,IF(C80&gt;=50%,C79*40%-C73*5%,IF(C80&lt;50%,C79*30%,0))))),0)</f>
        <v>159239</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27"/>
      <c r="B82" s="728"/>
      <c r="C82" s="7"/>
      <c r="D82" s="7"/>
      <c r="E82" s="728"/>
      <c r="F82" s="728"/>
      <c r="G82" s="728"/>
      <c r="H82" s="729"/>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077" t="s">
        <v>2263</v>
      </c>
      <c r="B83" s="3078"/>
      <c r="C83" s="3078"/>
      <c r="D83" s="3078"/>
      <c r="E83" s="3078"/>
      <c r="F83" s="3078"/>
      <c r="G83" s="3078"/>
      <c r="H83" s="307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056" t="s">
        <v>2226</v>
      </c>
      <c r="B84" s="3057"/>
      <c r="C84" s="1798"/>
      <c r="D84" s="1798" t="s">
        <v>2227</v>
      </c>
      <c r="E84" s="209" t="s">
        <v>2228</v>
      </c>
      <c r="F84" s="210"/>
      <c r="G84" s="210"/>
      <c r="H84" s="229"/>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199" t="s">
        <v>775</v>
      </c>
      <c r="B85" s="200" t="s">
        <v>2246</v>
      </c>
      <c r="C85" s="203">
        <f ca="1">ROUND(D45/(1+'数据-取费表'!C42),0)</f>
        <v>267516</v>
      </c>
      <c r="D85" s="196" t="s">
        <v>32</v>
      </c>
      <c r="E85" s="1797"/>
      <c r="F85" s="1791"/>
      <c r="G85" s="1791"/>
      <c r="H85" s="230"/>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199" t="s">
        <v>772</v>
      </c>
      <c r="B86" s="169" t="s">
        <v>2247</v>
      </c>
      <c r="C86" s="203">
        <f ca="1">IF(H88="仅含出让金",C87+C90+C91+C92+C93+C94,C87+C91+C92+C93+C94)</f>
        <v>1338</v>
      </c>
      <c r="D86" s="231"/>
      <c r="E86" s="1797"/>
      <c r="F86" s="1791"/>
      <c r="G86" s="1791"/>
      <c r="H86" s="230"/>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3" t="s">
        <v>770</v>
      </c>
      <c r="B87" s="194" t="s">
        <v>2264</v>
      </c>
      <c r="C87" s="221">
        <f>C88+C89</f>
        <v>0</v>
      </c>
      <c r="D87" s="222"/>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3" t="s">
        <v>776</v>
      </c>
      <c r="B88" s="194" t="s">
        <v>2265</v>
      </c>
      <c r="C88" s="232"/>
      <c r="D88" s="222"/>
      <c r="E88" s="233" t="s">
        <v>2266</v>
      </c>
      <c r="F88" s="1794"/>
      <c r="G88" s="234"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3" t="s">
        <v>777</v>
      </c>
      <c r="B89" s="194" t="s">
        <v>2255</v>
      </c>
      <c r="C89" s="221">
        <f>ROUND(C88*D89,0)</f>
        <v>0</v>
      </c>
      <c r="D89" s="222">
        <f>'数据-取费表'!B48+'数据-取费表'!B49</f>
        <v>3.0499999999999999E-2</v>
      </c>
      <c r="E89" s="233" t="s">
        <v>2268</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3" t="s">
        <v>771</v>
      </c>
      <c r="B90" s="194" t="s">
        <v>2269</v>
      </c>
      <c r="C90" s="232"/>
      <c r="D90" s="222"/>
      <c r="E90" s="233"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3" t="s">
        <v>2270</v>
      </c>
      <c r="B91" s="194" t="s">
        <v>2271</v>
      </c>
      <c r="C91" s="221">
        <f>IF(H91="——",成本法!C33,I91)</f>
        <v>0</v>
      </c>
      <c r="D91" s="222"/>
      <c r="E91" s="3037" t="s">
        <v>2272</v>
      </c>
      <c r="F91" s="3038"/>
      <c r="G91" s="3038"/>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3" t="s">
        <v>2274</v>
      </c>
      <c r="B92" s="194" t="s">
        <v>2275</v>
      </c>
      <c r="C92" s="221">
        <f>ROUND((C87+C90+C91)*D92,0)</f>
        <v>0</v>
      </c>
      <c r="D92" s="222">
        <v>0.1</v>
      </c>
      <c r="E92" s="3037" t="s">
        <v>2276</v>
      </c>
      <c r="F92" s="3038"/>
      <c r="G92" s="3038"/>
      <c r="H92" s="304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3" t="s">
        <v>2277</v>
      </c>
      <c r="B93" s="194" t="s">
        <v>2258</v>
      </c>
      <c r="C93" s="221">
        <f ca="1">ROUND(D45*D93/(1+'数据-取费表'!C42),0)</f>
        <v>1338</v>
      </c>
      <c r="D93" s="222">
        <f>'数据-取费表'!B43</f>
        <v>5.000000000000001E-3</v>
      </c>
      <c r="E93" s="3037" t="s">
        <v>2259</v>
      </c>
      <c r="F93" s="3038"/>
      <c r="G93" s="3038"/>
      <c r="H93" s="304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3" t="s">
        <v>2278</v>
      </c>
      <c r="B94" s="194" t="s">
        <v>2279</v>
      </c>
      <c r="C94" s="232">
        <f>ROUND((C87+C90+C91)*D94,0)</f>
        <v>0</v>
      </c>
      <c r="D94" s="222">
        <v>0.2</v>
      </c>
      <c r="E94" s="3048" t="s">
        <v>2280</v>
      </c>
      <c r="F94" s="3049"/>
      <c r="G94" s="3049"/>
      <c r="H94" s="305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0" t="s">
        <v>2260</v>
      </c>
      <c r="C95" s="203">
        <f ca="1">ROUND(C85-C86,0)</f>
        <v>266178</v>
      </c>
      <c r="D95" s="196" t="s">
        <v>32</v>
      </c>
      <c r="E95" s="1797"/>
      <c r="F95" s="1791"/>
      <c r="G95" s="1791"/>
      <c r="H95" s="230"/>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0" t="s">
        <v>2261</v>
      </c>
      <c r="C96" s="223">
        <f ca="1">IF(C95&lt;=0,0,C95/C86)</f>
        <v>198.93721973094171</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0"/>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5" t="s">
        <v>2262</v>
      </c>
      <c r="C97" s="224">
        <f ca="1">ROUND(IF(C95&lt;=0,0,IF(C96&gt;=200%,C95*60%-C86*35%,IF(C96&gt;=100%,C95*50%-C86*15%,IF(C96&gt;=50%,C95*40%-C86*5%,IF(C96&lt;50%,C95*30%,0))))),0)</f>
        <v>159239</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2"/>
      <c r="F98" s="2162"/>
      <c r="G98" s="2162"/>
      <c r="H98" s="2161"/>
      <c r="I98" s="134"/>
    </row>
    <row r="99" spans="1:35" ht="21.75" customHeight="1" thickBot="1">
      <c r="A99" s="2468" t="s">
        <v>2281</v>
      </c>
      <c r="B99" s="2412"/>
      <c r="C99" s="2412"/>
      <c r="D99" s="2412"/>
      <c r="E99" s="2162"/>
      <c r="F99" s="2162"/>
      <c r="G99" s="2162"/>
      <c r="H99" s="2161"/>
      <c r="I99" s="134"/>
    </row>
    <row r="100" spans="1:35" ht="18.75" customHeight="1">
      <c r="A100" s="3022" t="s">
        <v>2282</v>
      </c>
      <c r="B100" s="3023"/>
      <c r="C100" s="3023"/>
      <c r="D100" s="3039"/>
      <c r="E100" s="3023" t="s">
        <v>2283</v>
      </c>
      <c r="F100" s="3023"/>
      <c r="G100" s="3023"/>
      <c r="H100" s="3039"/>
      <c r="I100" s="134"/>
    </row>
    <row r="101" spans="1:35" ht="18.75" customHeight="1">
      <c r="A101" s="3101" t="s">
        <v>2284</v>
      </c>
      <c r="B101" s="3102"/>
      <c r="C101" s="730" t="str">
        <f>C4</f>
        <v>成本法</v>
      </c>
      <c r="D101" s="731" t="str">
        <f>D4</f>
        <v>假设开发法</v>
      </c>
      <c r="E101" s="3115" t="s">
        <v>2285</v>
      </c>
      <c r="F101" s="3069"/>
      <c r="G101" s="2514" t="s">
        <v>2286</v>
      </c>
      <c r="H101" s="1042">
        <f ca="1">H118</f>
        <v>280892</v>
      </c>
      <c r="I101" s="134"/>
    </row>
    <row r="102" spans="1:35" ht="18.75" customHeight="1">
      <c r="A102" s="3071" t="s">
        <v>2287</v>
      </c>
      <c r="B102" s="2514" t="s">
        <v>2286</v>
      </c>
      <c r="C102" s="730">
        <f ca="1">C19</f>
        <v>460473</v>
      </c>
      <c r="D102" s="731">
        <f ca="1">D19</f>
        <v>203929</v>
      </c>
      <c r="E102" s="3115"/>
      <c r="F102" s="3069"/>
      <c r="G102" s="2514" t="s">
        <v>2288</v>
      </c>
      <c r="H102" s="367">
        <f ca="1">I118</f>
        <v>15315</v>
      </c>
      <c r="I102" s="134"/>
    </row>
    <row r="103" spans="1:35" ht="42.75" customHeight="1">
      <c r="A103" s="3071"/>
      <c r="B103" s="2514" t="s">
        <v>2288</v>
      </c>
      <c r="C103" s="732">
        <f ca="1">C20</f>
        <v>25107</v>
      </c>
      <c r="D103" s="733">
        <f ca="1">D20</f>
        <v>11119</v>
      </c>
      <c r="E103" s="3110" t="s">
        <v>2289</v>
      </c>
      <c r="F103" s="3111"/>
      <c r="G103" s="2515" t="s">
        <v>2290</v>
      </c>
      <c r="H103" s="1042">
        <f>IF(D36="正常操作",H104+H105+H106,H105+H106)</f>
        <v>0</v>
      </c>
      <c r="I103" s="134"/>
    </row>
    <row r="104" spans="1:35" ht="18.75" customHeight="1">
      <c r="A104" s="3071" t="s">
        <v>2291</v>
      </c>
      <c r="B104" s="2516" t="s">
        <v>2286</v>
      </c>
      <c r="C104" s="734">
        <f ca="1">H118</f>
        <v>280892</v>
      </c>
      <c r="D104" s="735"/>
      <c r="E104" s="2262" t="s">
        <v>2292</v>
      </c>
      <c r="F104" s="2254"/>
      <c r="G104" s="2515" t="s">
        <v>2290</v>
      </c>
      <c r="H104" s="1043">
        <f>IF(D36="同一抵押权人同一抵押物续贷",C36&amp;"（未扣减，详见特别提示）",C36)</f>
        <v>0</v>
      </c>
      <c r="I104" s="134"/>
    </row>
    <row r="105" spans="1:35" ht="18.75" customHeight="1" thickBot="1">
      <c r="A105" s="3072"/>
      <c r="B105" s="2517" t="s">
        <v>2288</v>
      </c>
      <c r="C105" s="736">
        <f ca="1">I118</f>
        <v>15315</v>
      </c>
      <c r="D105" s="737"/>
      <c r="E105" s="2262" t="s">
        <v>2293</v>
      </c>
      <c r="F105" s="2254"/>
      <c r="G105" s="2515" t="s">
        <v>2290</v>
      </c>
      <c r="H105" s="1043">
        <f>C37</f>
        <v>0</v>
      </c>
      <c r="I105" s="134"/>
    </row>
    <row r="106" spans="1:35" ht="18.75" customHeight="1">
      <c r="A106" s="2412" t="s">
        <v>2294</v>
      </c>
      <c r="B106" s="2412"/>
      <c r="C106" s="2412"/>
      <c r="D106" s="2412"/>
      <c r="E106" s="2518" t="s">
        <v>2295</v>
      </c>
      <c r="F106" s="2254"/>
      <c r="G106" s="2515" t="s">
        <v>2290</v>
      </c>
      <c r="H106" s="1043">
        <f>C38</f>
        <v>0</v>
      </c>
      <c r="I106" s="134"/>
    </row>
    <row r="107" spans="1:35" ht="18.75" customHeight="1">
      <c r="A107" s="134"/>
      <c r="B107" s="134"/>
      <c r="C107" s="134"/>
      <c r="D107" s="134"/>
      <c r="E107" s="3068" t="str">
        <f>IF(项目基本情况!E8="已注销","——","3.房地产抵押价值")</f>
        <v>3.房地产抵押价值</v>
      </c>
      <c r="F107" s="3069"/>
      <c r="G107" s="2514" t="s">
        <v>2286</v>
      </c>
      <c r="H107" s="1042">
        <f ca="1">IF(E107="——","——",H101-H103)</f>
        <v>280892</v>
      </c>
      <c r="I107" s="134"/>
    </row>
    <row r="108" spans="1:35" ht="18.75" customHeight="1" thickBot="1">
      <c r="A108" s="134"/>
      <c r="B108" s="134"/>
      <c r="C108" s="134"/>
      <c r="D108" s="134"/>
      <c r="E108" s="3068"/>
      <c r="F108" s="3069"/>
      <c r="G108" s="2514" t="s">
        <v>2288</v>
      </c>
      <c r="H108" s="367">
        <f ca="1">ROUND(H107*10000/'数据-汇总表'!E3,0)</f>
        <v>15315</v>
      </c>
      <c r="I108" s="134"/>
    </row>
    <row r="109" spans="1:35" ht="18.75" hidden="1" customHeight="1">
      <c r="A109" s="134"/>
      <c r="B109" s="134"/>
      <c r="C109" s="134"/>
      <c r="D109" s="134"/>
      <c r="E109" s="3068" t="str">
        <f>IF(项目基本情况!E8="已注销及未注销","4.抵押担保权已注销时的房地产抵押价值",IF(项目基本情况!E8="已注销","3.抵押担保权已注销时的房地产抵押价值","——"))</f>
        <v>——</v>
      </c>
      <c r="F109" s="3069"/>
      <c r="G109" s="2514" t="s">
        <v>2286</v>
      </c>
      <c r="H109" s="344" t="str">
        <f>IF(E109="——","——",H101-H105-H106)</f>
        <v>——</v>
      </c>
      <c r="I109" s="134"/>
    </row>
    <row r="110" spans="1:35" ht="18.75" hidden="1" customHeight="1">
      <c r="A110" s="134"/>
      <c r="B110" s="134"/>
      <c r="C110" s="134"/>
      <c r="D110" s="134"/>
      <c r="E110" s="3068"/>
      <c r="F110" s="3069"/>
      <c r="G110" s="2514" t="s">
        <v>2288</v>
      </c>
      <c r="H110" s="367" t="str">
        <f>IF(H109="——","——",ROUND(H109*10000/'数据-汇总表'!E3,0))</f>
        <v>——</v>
      </c>
      <c r="I110" s="134"/>
    </row>
    <row r="111" spans="1:35" ht="18.75" hidden="1" customHeight="1">
      <c r="A111" s="134"/>
      <c r="B111" s="134"/>
      <c r="C111" s="134"/>
      <c r="D111" s="134"/>
      <c r="E111" s="3103" t="str">
        <f>IF(项目基本情况!E9="抵押净值",IF(OR(项目基本情况!E8="已注销",项目基本情况!E8="房地产抵押价值"),"4.抵押净值","5.抵押净值"),"——")</f>
        <v>——</v>
      </c>
      <c r="F111" s="3104"/>
      <c r="G111" s="2514" t="s">
        <v>2286</v>
      </c>
      <c r="H111" s="1042" t="str">
        <f>IF(E111="——","——",N59)</f>
        <v>——</v>
      </c>
      <c r="I111" s="134"/>
    </row>
    <row r="112" spans="1:35" ht="18.75" hidden="1" customHeight="1" thickBot="1">
      <c r="A112" s="134"/>
      <c r="B112" s="134"/>
      <c r="C112" s="134"/>
      <c r="D112" s="134"/>
      <c r="E112" s="3105"/>
      <c r="F112" s="3106"/>
      <c r="G112" s="2519" t="s">
        <v>2288</v>
      </c>
      <c r="H112" s="784" t="str">
        <f>IF(E111="——","——",N61)</f>
        <v>——</v>
      </c>
      <c r="I112" s="134"/>
    </row>
    <row r="113" spans="1:11" ht="18.75" customHeight="1">
      <c r="A113" s="134"/>
      <c r="B113" s="134"/>
      <c r="C113" s="134"/>
      <c r="D113" s="134"/>
      <c r="E113" s="3073" t="s">
        <v>2294</v>
      </c>
      <c r="F113" s="3073"/>
      <c r="G113" s="3073"/>
      <c r="H113" s="3073"/>
      <c r="I113" s="134"/>
    </row>
    <row r="114" spans="1:11" ht="3.75" customHeight="1">
      <c r="A114" s="2412"/>
      <c r="B114" s="2412"/>
      <c r="C114" s="2412"/>
      <c r="D114" s="2412"/>
      <c r="E114" s="2490"/>
      <c r="F114" s="2490"/>
      <c r="G114" s="2490"/>
      <c r="H114" s="2490"/>
      <c r="I114" s="2412"/>
    </row>
    <row r="115" spans="1:11" ht="18.75" customHeight="1">
      <c r="A115" s="3086" t="s">
        <v>2296</v>
      </c>
      <c r="B115" s="3087"/>
      <c r="C115" s="3087"/>
      <c r="D115" s="3087"/>
      <c r="E115" s="3087"/>
      <c r="F115" s="3087"/>
      <c r="G115" s="3087"/>
      <c r="H115" s="3087"/>
      <c r="I115" s="3088"/>
    </row>
    <row r="116" spans="1:11" ht="27" customHeight="1">
      <c r="A116" s="2982" t="s">
        <v>2297</v>
      </c>
      <c r="B116" s="3074" t="s">
        <v>3267</v>
      </c>
      <c r="C116" s="3074" t="s">
        <v>3268</v>
      </c>
      <c r="D116" s="3090" t="s">
        <v>2298</v>
      </c>
      <c r="E116" s="3091"/>
      <c r="F116" s="3082" t="s">
        <v>2299</v>
      </c>
      <c r="G116" s="3082"/>
      <c r="H116" s="2982" t="s">
        <v>2300</v>
      </c>
      <c r="I116" s="2982"/>
    </row>
    <row r="117" spans="1:11" ht="18.75" customHeight="1">
      <c r="A117" s="2982"/>
      <c r="B117" s="3075"/>
      <c r="C117" s="3075"/>
      <c r="D117" s="1792" t="s">
        <v>2301</v>
      </c>
      <c r="E117" s="1792" t="s">
        <v>2302</v>
      </c>
      <c r="F117" s="1792" t="s">
        <v>2301</v>
      </c>
      <c r="G117" s="1792" t="s">
        <v>2303</v>
      </c>
      <c r="H117" s="1792" t="s">
        <v>2301</v>
      </c>
      <c r="I117" s="1792" t="s">
        <v>2303</v>
      </c>
    </row>
    <row r="118" spans="1:11" ht="24.75" customHeight="1">
      <c r="A118" s="2520" t="str">
        <f>项目基本情况!S2</f>
        <v>北京市大兴区北臧村生物医药基地DX00-0502-0013地块出让国有建设用地使用权及在建建筑物房地产</v>
      </c>
      <c r="B118" s="1792">
        <f>M18</f>
        <v>183405</v>
      </c>
      <c r="C118" s="1792">
        <f>M19</f>
        <v>43974.38</v>
      </c>
      <c r="D118" s="1792">
        <f ca="1">ROUND(IF(D32="总价",C34,E118*B118/10000),0)</f>
        <v>257297</v>
      </c>
      <c r="E118" s="1792">
        <f ca="1">ROUND(IF(C33="自定义",IF(D32="楼面单价",C34,D118*10000/B118),I118-G118),0)</f>
        <v>14029</v>
      </c>
      <c r="F118" s="1792">
        <f ca="1">ROUND(IF(D32="总价",C35,G118*B118/10000),0)</f>
        <v>23595</v>
      </c>
      <c r="G118" s="1792">
        <f ca="1">ROUND(IF(D32="楼面单价",C35,F118*10000/B118),0)</f>
        <v>1286</v>
      </c>
      <c r="H118" s="1792">
        <f ca="1">ROUND(IF(D32="总价",C32,I118*B118/10000),0)</f>
        <v>280892</v>
      </c>
      <c r="I118" s="1792">
        <f ca="1">ROUND(IF(D32="楼面单价",C32,H118*10000/B118),0)</f>
        <v>15315</v>
      </c>
    </row>
    <row r="119" spans="1:11" ht="18.75" customHeight="1">
      <c r="A119" s="2982" t="s">
        <v>2304</v>
      </c>
      <c r="B119" s="2982"/>
      <c r="C119" s="2982"/>
      <c r="D119" s="3079" t="str">
        <f ca="1">NUMBERSTRING(INT(D118*10000),2)&amp;"元整"</f>
        <v>贰拾伍亿柒仟贰佰玖拾柒万元整</v>
      </c>
      <c r="E119" s="3081"/>
      <c r="F119" s="3079" t="str">
        <f ca="1">NUMBERSTRING(INT(F118*10000),2)&amp;"元整"</f>
        <v>贰亿叁仟伍佰玖拾伍万元整</v>
      </c>
      <c r="G119" s="3081"/>
      <c r="H119" s="3079" t="str">
        <f ca="1">NUMBERSTRING(INT(H118*10000),2)&amp;"元整"</f>
        <v>贰拾捌亿零捌佰玖拾贰万元整</v>
      </c>
      <c r="I119" s="3081"/>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7" t="str">
        <f>IF(D120=0,"故，本次评估不存在"&amp;A120,"故，本次评估"&amp;A120&amp;"为人民币"&amp;D120&amp;"万元整。")</f>
        <v>故，本次评估不存在估价师知悉的法定优先受偿款</v>
      </c>
    </row>
    <row r="121" spans="1:11" ht="18.75" customHeight="1">
      <c r="A121" s="3083" t="s">
        <v>2304</v>
      </c>
      <c r="B121" s="3084"/>
      <c r="C121" s="3085"/>
      <c r="D121" s="3079" t="str">
        <f>IF(D120=0,"零元整",NUMBERSTRING(INT(D120*10000),2)&amp;"元整")</f>
        <v>零元整</v>
      </c>
      <c r="E121" s="3080"/>
      <c r="F121" s="3080"/>
      <c r="G121" s="3080"/>
      <c r="H121" s="3080"/>
      <c r="I121" s="3081"/>
    </row>
    <row r="122" spans="1:11" ht="18.75" customHeight="1">
      <c r="A122" s="3070" t="str">
        <f>IF(项目基本情况!B9="房地产市场价值","",MID(E107,3,LEN(E107)-2))</f>
        <v>房地产抵押价值</v>
      </c>
      <c r="B122" s="3070"/>
      <c r="C122" s="3070"/>
      <c r="D122" s="3107">
        <f ca="1">H107</f>
        <v>280892</v>
      </c>
      <c r="E122" s="3108"/>
      <c r="F122" s="3108"/>
      <c r="G122" s="3108"/>
      <c r="H122" s="3108"/>
      <c r="I122" s="3109"/>
    </row>
    <row r="123" spans="1:11" ht="18.75" customHeight="1">
      <c r="A123" s="2982" t="s">
        <v>2304</v>
      </c>
      <c r="B123" s="2982"/>
      <c r="C123" s="2982"/>
      <c r="D123" s="3079" t="str">
        <f ca="1">NUMBERSTRING(INT(D122*10000),2)&amp;"元整"</f>
        <v>贰拾捌亿零捌佰玖拾贰万元整</v>
      </c>
      <c r="E123" s="3080"/>
      <c r="F123" s="3080"/>
      <c r="G123" s="3080"/>
      <c r="H123" s="3080"/>
      <c r="I123" s="3081"/>
    </row>
    <row r="124" spans="1:11" ht="18.75" hidden="1" customHeight="1">
      <c r="A124" s="3070" t="str">
        <f>IF(项目基本情况!B9="房地产市场价值","",MID(E109,3,LEN(E109)-2))</f>
        <v/>
      </c>
      <c r="B124" s="3070"/>
      <c r="C124" s="3070"/>
      <c r="D124" s="3107" t="str">
        <f>H109</f>
        <v>——</v>
      </c>
      <c r="E124" s="3108"/>
      <c r="F124" s="3108"/>
      <c r="G124" s="3108"/>
      <c r="H124" s="3108"/>
      <c r="I124" s="3109"/>
    </row>
    <row r="125" spans="1:11" ht="18.75" hidden="1" customHeight="1">
      <c r="A125" s="2982" t="s">
        <v>2304</v>
      </c>
      <c r="B125" s="2982"/>
      <c r="C125" s="2982"/>
      <c r="D125" s="3079" t="e">
        <f>NUMBERSTRING(INT(D124*10000),2)&amp;"元整"</f>
        <v>#VALUE!</v>
      </c>
      <c r="E125" s="3080"/>
      <c r="F125" s="3080"/>
      <c r="G125" s="3080"/>
      <c r="H125" s="3080"/>
      <c r="I125" s="3081"/>
    </row>
    <row r="126" spans="1:11" ht="18.75" hidden="1" customHeight="1">
      <c r="A126" s="3070" t="str">
        <f>IF(项目基本情况!B9="房地产市场价值","",MID(E111,3,LEN(E111)-2))</f>
        <v/>
      </c>
      <c r="B126" s="3070"/>
      <c r="C126" s="3070"/>
      <c r="D126" s="3107" t="str">
        <f>H111</f>
        <v>——</v>
      </c>
      <c r="E126" s="3108"/>
      <c r="F126" s="3108"/>
      <c r="G126" s="3108"/>
      <c r="H126" s="3108"/>
      <c r="I126" s="3109"/>
    </row>
    <row r="127" spans="1:11" ht="18.75" hidden="1" customHeight="1">
      <c r="A127" s="2982" t="s">
        <v>2304</v>
      </c>
      <c r="B127" s="2982"/>
      <c r="C127" s="2982"/>
      <c r="D127" s="3079" t="e">
        <f>NUMBERSTRING(INT(D126*10000),2)&amp;"元整"</f>
        <v>#VALUE!</v>
      </c>
      <c r="E127" s="3080"/>
      <c r="F127" s="3080"/>
      <c r="G127" s="3080"/>
      <c r="H127" s="3080"/>
      <c r="I127" s="3081"/>
    </row>
    <row r="128" spans="1:11" ht="21.75" customHeight="1">
      <c r="A128" s="3089" t="s">
        <v>2305</v>
      </c>
      <c r="B128" s="3089"/>
      <c r="C128" s="3089"/>
      <c r="D128" s="3089"/>
      <c r="E128" s="3089"/>
      <c r="F128" s="3089"/>
      <c r="G128" s="3089"/>
      <c r="H128" s="3089"/>
      <c r="I128" s="3089"/>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89"/>
    </row>
    <row r="135" spans="1:35" ht="21.75" customHeight="1">
      <c r="A135" s="789"/>
      <c r="B135" s="789"/>
      <c r="C135" s="789"/>
      <c r="D135" s="789"/>
      <c r="E135" s="789"/>
      <c r="F135" s="2537" t="s">
        <v>2308</v>
      </c>
      <c r="G135" s="2538"/>
      <c r="H135" s="2538"/>
      <c r="I135" s="2539" t="s">
        <v>2309</v>
      </c>
    </row>
    <row r="136" spans="1:35" ht="21.75" customHeight="1">
      <c r="A136" s="789"/>
      <c r="B136" s="2540" t="s">
        <v>2310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8"/>
      <c r="C138" s="2538"/>
      <c r="D138" s="2538"/>
      <c r="E138" s="2538"/>
      <c r="F138" s="2538"/>
      <c r="G138" s="2538"/>
      <c r="H138" s="2538"/>
      <c r="I138" s="2539" t="s">
        <v>2311</v>
      </c>
    </row>
    <row r="139" spans="1:35" ht="21.75" customHeight="1">
      <c r="A139" s="789"/>
      <c r="B139" s="2540" t="s">
        <v>2312</v>
      </c>
      <c r="C139" s="789"/>
      <c r="D139" s="789"/>
      <c r="E139" s="789"/>
      <c r="F139" s="789"/>
      <c r="G139" s="789"/>
      <c r="H139" s="789"/>
      <c r="I139" s="789"/>
    </row>
    <row r="140" spans="1:35" ht="21.75" customHeight="1">
      <c r="A140" s="789"/>
      <c r="B140" s="2540"/>
      <c r="C140" s="789"/>
      <c r="D140" s="789"/>
      <c r="E140" s="789"/>
      <c r="F140" s="789"/>
      <c r="G140" s="789"/>
      <c r="H140" s="789"/>
      <c r="I140" s="789"/>
    </row>
    <row r="141" spans="1:35" ht="21.75" customHeight="1">
      <c r="A141" s="789"/>
      <c r="B141" s="2538"/>
      <c r="C141" s="2538"/>
      <c r="D141" s="2538"/>
      <c r="E141" s="2538"/>
      <c r="F141" s="2538"/>
      <c r="G141" s="2538"/>
      <c r="H141" s="2538"/>
      <c r="I141" s="2539" t="s">
        <v>2311</v>
      </c>
    </row>
    <row r="142" spans="1:35" ht="21.75" customHeight="1">
      <c r="A142" s="789"/>
      <c r="B142" s="2540"/>
      <c r="C142" s="2541"/>
      <c r="D142" s="2542"/>
      <c r="E142" s="2542"/>
      <c r="F142" s="2336"/>
      <c r="G142" s="789"/>
      <c r="H142" s="789"/>
      <c r="I142" s="789"/>
    </row>
    <row r="143" spans="1:35" s="135" customFormat="1" ht="21.75" customHeight="1">
      <c r="A143" s="789"/>
      <c r="B143" s="2540"/>
      <c r="C143" s="2541"/>
      <c r="D143" s="2542"/>
      <c r="E143" s="2542"/>
      <c r="F143" s="233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7"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7"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7"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7"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7"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7"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7"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7"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7"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7"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7"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7"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7"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7"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7"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7"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7"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7"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7"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7"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7"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7"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7"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7"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7"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7"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7"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7"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7"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7"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7"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7"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7"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7"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7"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7"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7"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7"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7"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7"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7"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7"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7"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7"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7"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7"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7"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7"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7"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7"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7"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7"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7"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7"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7"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7"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7"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7"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7"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7"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7"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7"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7"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7"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7"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7"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7"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7"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7"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7"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7"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7"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7"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7"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7"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7"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7"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7"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7"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7"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7"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7"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7"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7"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7"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7"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7"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7"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7"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7"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7"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7"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7"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7"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7"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7"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7"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7"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7"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7"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7"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7"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7"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7"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L51" sqref="L51"/>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2729</v>
      </c>
      <c r="B1" s="391"/>
      <c r="C1" s="392" t="s">
        <v>2730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2314</v>
      </c>
      <c r="B2" s="667">
        <f>F66</f>
        <v>325651</v>
      </c>
      <c r="C2" s="1121"/>
      <c r="D2" s="1121"/>
      <c r="E2" s="1122"/>
      <c r="F2" s="1123"/>
      <c r="G2" s="1122"/>
      <c r="H2" s="1122"/>
      <c r="I2" s="1122"/>
      <c r="J2" s="1122"/>
      <c r="K2" s="1124"/>
      <c r="L2" s="1125"/>
      <c r="M2" s="1126"/>
      <c r="N2" s="1126"/>
      <c r="O2" s="1126"/>
      <c r="P2" s="762"/>
      <c r="Q2" s="762"/>
      <c r="R2" s="762"/>
      <c r="S2" s="762"/>
      <c r="T2" s="762"/>
      <c r="U2" s="762"/>
      <c r="V2" s="762"/>
      <c r="W2" s="762"/>
      <c r="X2" s="762"/>
      <c r="Y2" s="762"/>
      <c r="Z2" s="762"/>
      <c r="AA2" s="762"/>
      <c r="AB2" s="762"/>
      <c r="AC2" s="763"/>
      <c r="AD2" s="393"/>
    </row>
    <row r="3" spans="1:30" s="394" customFormat="1" ht="28.5" customHeight="1" thickBot="1">
      <c r="A3" s="243" t="s">
        <v>2316</v>
      </c>
      <c r="B3" s="605">
        <f>ROUND(IF(D3="",B2*10000/'数据-汇总表'!E3,B2*10000/D3),0)</f>
        <v>17756</v>
      </c>
      <c r="C3" s="243" t="s">
        <v>2731</v>
      </c>
      <c r="D3" s="1580"/>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30" ht="15">
      <c r="A4" s="397" t="s">
        <v>2630</v>
      </c>
      <c r="B4" s="398"/>
      <c r="C4" s="3169" t="s">
        <v>2631</v>
      </c>
      <c r="D4" s="3170"/>
      <c r="E4" s="3171" t="s">
        <v>2632</v>
      </c>
      <c r="F4" s="3172"/>
      <c r="G4" s="3169" t="s">
        <v>2633</v>
      </c>
      <c r="H4" s="3170"/>
      <c r="I4" s="3169" t="s">
        <v>2634</v>
      </c>
      <c r="J4" s="3170"/>
      <c r="K4" s="606" t="s">
        <v>2635</v>
      </c>
      <c r="L4" s="1127"/>
      <c r="M4" s="1128"/>
      <c r="N4" s="1128"/>
      <c r="O4" s="1128"/>
      <c r="P4" s="3173" t="s">
        <v>2636</v>
      </c>
      <c r="Q4" s="3174"/>
      <c r="R4" s="3179" t="s">
        <v>2632</v>
      </c>
      <c r="S4" s="3180"/>
      <c r="T4" s="3179" t="s">
        <v>2633</v>
      </c>
      <c r="U4" s="3180"/>
      <c r="V4" s="3185" t="s">
        <v>2634</v>
      </c>
      <c r="W4" s="3185"/>
      <c r="X4" s="1810"/>
      <c r="Y4" s="3179" t="s">
        <v>2636</v>
      </c>
      <c r="Z4" s="3180"/>
      <c r="AA4" s="3166" t="s">
        <v>2632</v>
      </c>
      <c r="AB4" s="3167" t="s">
        <v>2633</v>
      </c>
      <c r="AC4" s="3166" t="s">
        <v>2634</v>
      </c>
    </row>
    <row r="5" spans="1:30" ht="51" customHeight="1">
      <c r="A5" s="400"/>
      <c r="B5" s="401"/>
      <c r="C5" s="3285" t="str">
        <f>项目基本情况!F10</f>
        <v>大兴区北臧村生物医药基地DX00-0502-0013地块</v>
      </c>
      <c r="D5" s="3284"/>
      <c r="E5" s="3283" t="str">
        <f>土地案例!A2</f>
        <v>大兴开发区北区1号地DX00-0301-0145地块</v>
      </c>
      <c r="F5" s="3284"/>
      <c r="G5" s="3283" t="str">
        <f>土地案例!A3</f>
        <v>房山区长阳镇FS00-LX10-0042等地块</v>
      </c>
      <c r="H5" s="3284"/>
      <c r="I5" s="3283" t="str">
        <f>土地案例!A4</f>
        <v>大兴区黄村镇兴华大街DX00-0202-0307地块</v>
      </c>
      <c r="J5" s="3284"/>
      <c r="K5" s="606"/>
      <c r="L5" s="1127"/>
      <c r="M5" s="1128"/>
      <c r="N5" s="1128"/>
      <c r="O5" s="1128"/>
      <c r="P5" s="3175"/>
      <c r="Q5" s="3176"/>
      <c r="R5" s="3181"/>
      <c r="S5" s="3182"/>
      <c r="T5" s="3181"/>
      <c r="U5" s="3182"/>
      <c r="V5" s="3185"/>
      <c r="W5" s="3185"/>
      <c r="X5" s="1810"/>
      <c r="Y5" s="3181"/>
      <c r="Z5" s="3182"/>
      <c r="AA5" s="3167"/>
      <c r="AB5" s="3167"/>
      <c r="AC5" s="3167"/>
    </row>
    <row r="6" spans="1:30" ht="15.75" thickBot="1">
      <c r="A6" s="402"/>
      <c r="B6" s="403"/>
      <c r="C6" s="3186" t="s">
        <v>2531</v>
      </c>
      <c r="D6" s="3187"/>
      <c r="E6" s="3193" t="s">
        <v>2531</v>
      </c>
      <c r="F6" s="3194"/>
      <c r="G6" s="3186" t="s">
        <v>2531</v>
      </c>
      <c r="H6" s="3187"/>
      <c r="I6" s="3186" t="s">
        <v>2531</v>
      </c>
      <c r="J6" s="3187"/>
      <c r="K6" s="606" t="s">
        <v>2532</v>
      </c>
      <c r="L6" s="1127"/>
      <c r="M6" s="1128"/>
      <c r="N6" s="1128"/>
      <c r="O6" s="1128"/>
      <c r="P6" s="3177"/>
      <c r="Q6" s="3178"/>
      <c r="R6" s="3181"/>
      <c r="S6" s="3182"/>
      <c r="T6" s="3183"/>
      <c r="U6" s="3184"/>
      <c r="V6" s="3185"/>
      <c r="W6" s="3185"/>
      <c r="X6" s="1810"/>
      <c r="Y6" s="3183"/>
      <c r="Z6" s="3184"/>
      <c r="AA6" s="3168"/>
      <c r="AB6" s="3168"/>
      <c r="AC6" s="3168"/>
    </row>
    <row r="7" spans="1:30" s="114" customFormat="1" ht="15.75" thickBot="1">
      <c r="A7" s="404" t="s">
        <v>2533</v>
      </c>
      <c r="B7" s="405"/>
      <c r="C7" s="406">
        <f>'数据-取费表'!B2</f>
        <v>43237</v>
      </c>
      <c r="D7" s="407">
        <v>100</v>
      </c>
      <c r="E7" s="408" t="str">
        <f>土地案例!X2</f>
        <v>2017-04-06</v>
      </c>
      <c r="F7" s="409">
        <f>SUMIF(70:70,YEAR(E7)&amp;"-"&amp;INT((MONTH(E7)+2)/3),71:71)</f>
        <v>98</v>
      </c>
      <c r="G7" s="2692" t="str">
        <f>土地案例!X3</f>
        <v>2016-11-28</v>
      </c>
      <c r="H7" s="407">
        <f>SUMIF(70:70,YEAR(G7)&amp;"-"&amp;INT((MONTH(G7)+2)/3),71:71)</f>
        <v>97</v>
      </c>
      <c r="I7" s="2692" t="str">
        <f>土地案例!X4</f>
        <v>2016-05-05</v>
      </c>
      <c r="J7" s="407">
        <f>SUMIF(70:70,YEAR(I7)&amp;"-"&amp;INT((MONTH(I7)+2)/3),71:71)</f>
        <v>96</v>
      </c>
      <c r="K7" s="607"/>
      <c r="L7" s="1129"/>
      <c r="M7" s="1130"/>
      <c r="N7" s="1130"/>
      <c r="O7" s="1130"/>
      <c r="P7" s="3190" t="s">
        <v>2534</v>
      </c>
      <c r="Q7" s="3192"/>
      <c r="R7" s="764" t="s">
        <v>17</v>
      </c>
      <c r="S7" s="765">
        <f t="shared" ref="S7:S15" si="0">F7</f>
        <v>98</v>
      </c>
      <c r="T7" s="764" t="s">
        <v>17</v>
      </c>
      <c r="U7" s="765">
        <f t="shared" ref="U7:U15" si="1">H7</f>
        <v>97</v>
      </c>
      <c r="V7" s="764" t="s">
        <v>17</v>
      </c>
      <c r="W7" s="765">
        <f t="shared" ref="W7:W15" si="2">J7</f>
        <v>96</v>
      </c>
      <c r="X7" s="766"/>
      <c r="Y7" s="3190" t="s">
        <v>2534</v>
      </c>
      <c r="Z7" s="3191"/>
      <c r="AA7" s="767">
        <f>D7/F7</f>
        <v>1.0204081632653061</v>
      </c>
      <c r="AB7" s="767">
        <f>D7/H7</f>
        <v>1.0309278350515463</v>
      </c>
      <c r="AC7" s="767">
        <f>D7/J7</f>
        <v>1.0416666666666667</v>
      </c>
    </row>
    <row r="8" spans="1:30" s="114" customFormat="1" ht="15.75" thickBot="1">
      <c r="A8" s="404" t="s">
        <v>2535</v>
      </c>
      <c r="B8" s="405"/>
      <c r="C8" s="410" t="s">
        <v>2536</v>
      </c>
      <c r="D8" s="407">
        <v>100</v>
      </c>
      <c r="E8" s="410" t="s">
        <v>2536</v>
      </c>
      <c r="F8" s="409">
        <f>SUMIF(73:73,E8,74:74)-SUMIF(73:73,C8,74:74)+100</f>
        <v>100</v>
      </c>
      <c r="G8" s="410" t="s">
        <v>2536</v>
      </c>
      <c r="H8" s="407">
        <f>SUMIF(73:73,G8,74:74)-SUMIF(73:73,C8,74:74)+100</f>
        <v>100</v>
      </c>
      <c r="I8" s="410" t="s">
        <v>2536</v>
      </c>
      <c r="J8" s="407">
        <f>SUMIF(73:73,I8,74:74)-SUMIF(73:73,C8,74:74)+100</f>
        <v>100</v>
      </c>
      <c r="K8" s="607"/>
      <c r="L8" s="1129"/>
      <c r="M8" s="1130"/>
      <c r="N8" s="1130"/>
      <c r="O8" s="1130"/>
      <c r="P8" s="3190" t="s">
        <v>2537</v>
      </c>
      <c r="Q8" s="3191"/>
      <c r="R8" s="764" t="s">
        <v>17</v>
      </c>
      <c r="S8" s="765">
        <f t="shared" si="0"/>
        <v>100</v>
      </c>
      <c r="T8" s="764" t="s">
        <v>17</v>
      </c>
      <c r="U8" s="765">
        <f t="shared" si="1"/>
        <v>100</v>
      </c>
      <c r="V8" s="764" t="s">
        <v>17</v>
      </c>
      <c r="W8" s="765">
        <f t="shared" si="2"/>
        <v>100</v>
      </c>
      <c r="X8" s="766"/>
      <c r="Y8" s="3190" t="s">
        <v>2537</v>
      </c>
      <c r="Z8" s="3191"/>
      <c r="AA8" s="767">
        <f t="shared" ref="AA8:AA45" si="3">D8/F8</f>
        <v>1</v>
      </c>
      <c r="AB8" s="767">
        <f t="shared" ref="AB8:AB45" si="4">D8/H8</f>
        <v>1</v>
      </c>
      <c r="AC8" s="767">
        <f t="shared" ref="AC8:AC45" si="5">D8/J8</f>
        <v>1</v>
      </c>
    </row>
    <row r="9" spans="1:30" s="114" customFormat="1">
      <c r="A9" s="411" t="s">
        <v>2538</v>
      </c>
      <c r="B9" s="69" t="s">
        <v>2539</v>
      </c>
      <c r="C9" s="2695" t="s">
        <v>3157</v>
      </c>
      <c r="D9" s="131">
        <v>100</v>
      </c>
      <c r="E9" s="2695" t="s">
        <v>3157</v>
      </c>
      <c r="F9" s="131">
        <f>SUMIF(75:75,E9,76:76)-SUMIF(75:75,C9,76:76)+100</f>
        <v>100</v>
      </c>
      <c r="G9" s="2695" t="s">
        <v>3157</v>
      </c>
      <c r="H9" s="131">
        <f>SUMIF(75:75,G9,76:76)-SUMIF(75:75,C9,76:76)+100</f>
        <v>100</v>
      </c>
      <c r="I9" s="2695" t="s">
        <v>3157</v>
      </c>
      <c r="J9" s="131">
        <f>SUMIF(75:75,I9,76:76)-SUMIF(75:75,C9,76:76)+100</f>
        <v>100</v>
      </c>
      <c r="K9" s="607"/>
      <c r="L9" s="1129"/>
      <c r="M9" s="1130"/>
      <c r="N9" s="1130"/>
      <c r="O9" s="1131"/>
      <c r="P9" s="3154" t="s">
        <v>2540</v>
      </c>
      <c r="Q9" s="1792" t="str">
        <f t="shared" ref="Q9:Q15" si="6">B9</f>
        <v>用途</v>
      </c>
      <c r="R9" s="764" t="s">
        <v>17</v>
      </c>
      <c r="S9" s="765">
        <f t="shared" si="0"/>
        <v>100</v>
      </c>
      <c r="T9" s="764" t="s">
        <v>17</v>
      </c>
      <c r="U9" s="765">
        <f t="shared" si="1"/>
        <v>100</v>
      </c>
      <c r="V9" s="764" t="s">
        <v>17</v>
      </c>
      <c r="W9" s="765">
        <f t="shared" si="2"/>
        <v>100</v>
      </c>
      <c r="X9" s="766"/>
      <c r="Y9" s="2982" t="s">
        <v>2541</v>
      </c>
      <c r="Z9" s="55" t="str">
        <f t="shared" ref="Z9:Z15" si="7">Q9</f>
        <v>用途</v>
      </c>
      <c r="AA9" s="767">
        <f t="shared" si="3"/>
        <v>1</v>
      </c>
      <c r="AB9" s="767">
        <f t="shared" si="4"/>
        <v>1</v>
      </c>
      <c r="AC9" s="767">
        <f t="shared" si="5"/>
        <v>1</v>
      </c>
    </row>
    <row r="10" spans="1:30" s="423" customFormat="1" ht="27">
      <c r="A10" s="417"/>
      <c r="B10" s="418" t="s">
        <v>2542</v>
      </c>
      <c r="C10" s="428" t="s">
        <v>3159</v>
      </c>
      <c r="D10" s="132">
        <v>100</v>
      </c>
      <c r="E10" s="461" t="s">
        <v>3160</v>
      </c>
      <c r="F10" s="132">
        <f>ROUND(100/'数据-取费表'!G16,0)</f>
        <v>101</v>
      </c>
      <c r="G10" s="461" t="s">
        <v>3160</v>
      </c>
      <c r="H10" s="132">
        <f>ROUND(100/'数据-取费表'!G16,0)</f>
        <v>101</v>
      </c>
      <c r="I10" s="461" t="s">
        <v>3160</v>
      </c>
      <c r="J10" s="132">
        <f>ROUND(100/'数据-取费表'!G16,0)</f>
        <v>101</v>
      </c>
      <c r="K10" s="668"/>
      <c r="L10" s="1132"/>
      <c r="M10" s="1133"/>
      <c r="N10" s="1133"/>
      <c r="O10" s="1134"/>
      <c r="P10" s="3154"/>
      <c r="Q10" s="1792" t="str">
        <f t="shared" si="6"/>
        <v>土地使用年限（年）</v>
      </c>
      <c r="R10" s="764" t="s">
        <v>17</v>
      </c>
      <c r="S10" s="765">
        <f t="shared" si="0"/>
        <v>101</v>
      </c>
      <c r="T10" s="764" t="s">
        <v>17</v>
      </c>
      <c r="U10" s="765">
        <f t="shared" si="1"/>
        <v>101</v>
      </c>
      <c r="V10" s="764" t="s">
        <v>17</v>
      </c>
      <c r="W10" s="765">
        <f t="shared" si="2"/>
        <v>101</v>
      </c>
      <c r="X10" s="766"/>
      <c r="Y10" s="2982"/>
      <c r="Z10" s="55" t="str">
        <f t="shared" si="7"/>
        <v>土地使用年限（年）</v>
      </c>
      <c r="AA10" s="767">
        <f t="shared" si="3"/>
        <v>0.99009900990099009</v>
      </c>
      <c r="AB10" s="767">
        <f t="shared" si="4"/>
        <v>0.99009900990099009</v>
      </c>
      <c r="AC10" s="767">
        <f t="shared" si="5"/>
        <v>0.99009900990099009</v>
      </c>
    </row>
    <row r="11" spans="1:30" ht="15">
      <c r="A11" s="424"/>
      <c r="B11" s="418" t="s">
        <v>2543</v>
      </c>
      <c r="C11" s="425">
        <f>'数据-汇总表'!I4</f>
        <v>3</v>
      </c>
      <c r="D11" s="132">
        <v>100</v>
      </c>
      <c r="E11" s="425">
        <f>土地案例!L2</f>
        <v>3.2</v>
      </c>
      <c r="F11" s="132">
        <f>LOOKUP(E11,80:80,81:81)-LOOKUP(C11,80:80,81:81)+100</f>
        <v>100</v>
      </c>
      <c r="G11" s="426">
        <f>土地案例!L3</f>
        <v>2.09</v>
      </c>
      <c r="H11" s="132">
        <f>LOOKUP(G11,80:80,81:81)-LOOKUP(C11,80:80,81:81)+100</f>
        <v>101</v>
      </c>
      <c r="I11" s="425">
        <f>土地案例!L4</f>
        <v>4</v>
      </c>
      <c r="J11" s="132">
        <f>LOOKUP(I11,80:80,81:81)-LOOKUP(C11,80:80,81:81)+100</f>
        <v>99</v>
      </c>
      <c r="K11" s="669">
        <v>1</v>
      </c>
      <c r="L11" s="1135"/>
      <c r="M11" s="1128"/>
      <c r="N11" s="1128"/>
      <c r="O11" s="1136"/>
      <c r="P11" s="3154"/>
      <c r="Q11" s="1792" t="str">
        <f t="shared" si="6"/>
        <v>容积率</v>
      </c>
      <c r="R11" s="764" t="s">
        <v>17</v>
      </c>
      <c r="S11" s="765">
        <f t="shared" si="0"/>
        <v>100</v>
      </c>
      <c r="T11" s="764" t="s">
        <v>17</v>
      </c>
      <c r="U11" s="765">
        <f t="shared" si="1"/>
        <v>101</v>
      </c>
      <c r="V11" s="764" t="s">
        <v>17</v>
      </c>
      <c r="W11" s="765">
        <f t="shared" si="2"/>
        <v>99</v>
      </c>
      <c r="X11" s="766"/>
      <c r="Y11" s="2982"/>
      <c r="Z11" s="55" t="str">
        <f t="shared" si="7"/>
        <v>容积率</v>
      </c>
      <c r="AA11" s="767">
        <f t="shared" si="3"/>
        <v>1</v>
      </c>
      <c r="AB11" s="767">
        <f t="shared" si="4"/>
        <v>0.99009900990099009</v>
      </c>
      <c r="AC11" s="767">
        <f t="shared" si="5"/>
        <v>1.0101010101010102</v>
      </c>
    </row>
    <row r="12" spans="1:30" s="114" customFormat="1" ht="15" hidden="1">
      <c r="A12" s="427"/>
      <c r="B12" s="2596" t="s">
        <v>2732</v>
      </c>
      <c r="C12" s="428"/>
      <c r="D12" s="429">
        <v>100</v>
      </c>
      <c r="E12" s="461"/>
      <c r="F12" s="132">
        <f>SUMIF(82:82,E12,83:83)-SUMIF(82:82,C12,83:83)+100</f>
        <v>100</v>
      </c>
      <c r="G12" s="459"/>
      <c r="H12" s="132">
        <f>SUMIF(82:82,G12,83:83)-SUMIF(82:82,C12,83:83)+100</f>
        <v>100</v>
      </c>
      <c r="I12" s="461"/>
      <c r="J12" s="132">
        <f>SUMIF(82:82,I12,83:83)-SUMIF(82:82,C12,83:83)+100</f>
        <v>100</v>
      </c>
      <c r="K12" s="668"/>
      <c r="L12" s="1129"/>
      <c r="M12" s="1130"/>
      <c r="N12" s="1130"/>
      <c r="O12" s="1131"/>
      <c r="P12" s="3154"/>
      <c r="Q12" s="1792" t="str">
        <f t="shared" si="6"/>
        <v>配建</v>
      </c>
      <c r="R12" s="764" t="s">
        <v>17</v>
      </c>
      <c r="S12" s="765">
        <f t="shared" si="0"/>
        <v>100</v>
      </c>
      <c r="T12" s="764" t="s">
        <v>17</v>
      </c>
      <c r="U12" s="765">
        <f t="shared" si="1"/>
        <v>100</v>
      </c>
      <c r="V12" s="764" t="s">
        <v>17</v>
      </c>
      <c r="W12" s="765">
        <f t="shared" si="2"/>
        <v>100</v>
      </c>
      <c r="X12" s="766"/>
      <c r="Y12" s="2982"/>
      <c r="Z12" s="55" t="str">
        <f t="shared" si="7"/>
        <v>配建</v>
      </c>
      <c r="AA12" s="767">
        <f>D12/F12</f>
        <v>1</v>
      </c>
      <c r="AB12" s="767">
        <f>D12/H12</f>
        <v>1</v>
      </c>
      <c r="AC12" s="767">
        <f>D12/J12</f>
        <v>1</v>
      </c>
    </row>
    <row r="13" spans="1:30" ht="15" hidden="1">
      <c r="A13" s="424"/>
      <c r="B13" s="2596">
        <v>111</v>
      </c>
      <c r="C13" s="430"/>
      <c r="D13" s="431">
        <v>100</v>
      </c>
      <c r="E13" s="545"/>
      <c r="F13" s="132">
        <f>SUMIF(84:84,E13,85:85)-SUMIF(84:84,C13,85:85)+100</f>
        <v>100</v>
      </c>
      <c r="G13" s="670"/>
      <c r="H13" s="431">
        <f>SUMIF(84:84,G13,85:85)-SUMIF(84:84,C13,85:85)+100</f>
        <v>100</v>
      </c>
      <c r="I13" s="670"/>
      <c r="J13" s="431">
        <f>SUMIF(84:84,I13,85:85)-SUMIF(84:84,C13,85:85)+100</f>
        <v>100</v>
      </c>
      <c r="K13" s="668"/>
      <c r="L13" s="1137"/>
      <c r="M13" s="1128"/>
      <c r="N13" s="1128"/>
      <c r="O13" s="1136"/>
      <c r="P13" s="3154"/>
      <c r="Q13" s="1792">
        <f t="shared" si="6"/>
        <v>111</v>
      </c>
      <c r="R13" s="764" t="s">
        <v>17</v>
      </c>
      <c r="S13" s="765">
        <f t="shared" si="0"/>
        <v>100</v>
      </c>
      <c r="T13" s="764" t="s">
        <v>17</v>
      </c>
      <c r="U13" s="765">
        <f t="shared" si="1"/>
        <v>100</v>
      </c>
      <c r="V13" s="764" t="s">
        <v>17</v>
      </c>
      <c r="W13" s="765">
        <f t="shared" si="2"/>
        <v>100</v>
      </c>
      <c r="X13" s="766"/>
      <c r="Y13" s="2982"/>
      <c r="Z13" s="55">
        <f t="shared" si="7"/>
        <v>111</v>
      </c>
      <c r="AA13" s="767">
        <f>D13/F13</f>
        <v>1</v>
      </c>
      <c r="AB13" s="767">
        <f>D13/H13</f>
        <v>1</v>
      </c>
      <c r="AC13" s="767">
        <f>D13/J13</f>
        <v>1</v>
      </c>
    </row>
    <row r="14" spans="1:30" ht="15.75" hidden="1" thickBot="1">
      <c r="A14" s="432"/>
      <c r="B14" s="2598">
        <v>111</v>
      </c>
      <c r="C14" s="433"/>
      <c r="D14" s="434">
        <v>100</v>
      </c>
      <c r="E14" s="545"/>
      <c r="F14" s="434">
        <f>SUMIF(86:86,E14,87:87)-SUMIF(86:86,C14,87:87)+100</f>
        <v>100</v>
      </c>
      <c r="G14" s="670"/>
      <c r="H14" s="434">
        <f>SUMIF(86:86,G14,87:87)-SUMIF(86:86,C14,87:87)+100</f>
        <v>100</v>
      </c>
      <c r="I14" s="670"/>
      <c r="J14" s="434">
        <f>SUMIF(86:86,I14,87:87)-SUMIF(86:86,C14,87:87)+100</f>
        <v>100</v>
      </c>
      <c r="K14" s="668"/>
      <c r="L14" s="1137"/>
      <c r="M14" s="1128"/>
      <c r="N14" s="1128"/>
      <c r="O14" s="1136"/>
      <c r="P14" s="3154"/>
      <c r="Q14" s="1792">
        <f t="shared" si="6"/>
        <v>111</v>
      </c>
      <c r="R14" s="764" t="s">
        <v>17</v>
      </c>
      <c r="S14" s="765">
        <f t="shared" si="0"/>
        <v>100</v>
      </c>
      <c r="T14" s="764" t="s">
        <v>17</v>
      </c>
      <c r="U14" s="765">
        <f t="shared" si="1"/>
        <v>100</v>
      </c>
      <c r="V14" s="764" t="s">
        <v>17</v>
      </c>
      <c r="W14" s="765">
        <f t="shared" si="2"/>
        <v>100</v>
      </c>
      <c r="X14" s="766"/>
      <c r="Y14" s="2982"/>
      <c r="Z14" s="55">
        <f t="shared" si="7"/>
        <v>111</v>
      </c>
      <c r="AA14" s="767">
        <f>D14/F14</f>
        <v>1</v>
      </c>
      <c r="AB14" s="767">
        <f>D14/H14</f>
        <v>1</v>
      </c>
      <c r="AC14" s="767">
        <f>D14/J14</f>
        <v>1</v>
      </c>
    </row>
    <row r="15" spans="1:30" ht="99.75" hidden="1">
      <c r="A15" s="436" t="s">
        <v>2544</v>
      </c>
      <c r="B15" s="67" t="s">
        <v>2081</v>
      </c>
      <c r="C15" s="2599">
        <f>估价对象房地状况!C15</f>
        <v>0</v>
      </c>
      <c r="D15" s="437">
        <v>100</v>
      </c>
      <c r="E15" s="438"/>
      <c r="F15" s="437">
        <f>SUMIF(88:88,E16,89:89)-SUMIF(88:88,C16,89:89)+100</f>
        <v>100</v>
      </c>
      <c r="G15" s="438"/>
      <c r="H15" s="437">
        <f>SUMIF(88:88,G16,89:89)-SUMIF(88:88,C16,89:89)+100</f>
        <v>100</v>
      </c>
      <c r="I15" s="440"/>
      <c r="J15" s="437">
        <f>SUMIF(88:88,I16,89:89)-SUMIF(88:88,C16,89:89)+100</f>
        <v>100</v>
      </c>
      <c r="K15" s="669"/>
      <c r="L15" s="1137"/>
      <c r="M15" s="1128"/>
      <c r="N15" s="1128"/>
      <c r="O15" s="1136"/>
      <c r="P15" s="3156" t="s">
        <v>2545</v>
      </c>
      <c r="Q15" s="1807" t="str">
        <f t="shared" si="6"/>
        <v>居住社区成熟度</v>
      </c>
      <c r="R15" s="768" t="s">
        <v>17</v>
      </c>
      <c r="S15" s="769">
        <f t="shared" si="0"/>
        <v>100</v>
      </c>
      <c r="T15" s="768" t="s">
        <v>17</v>
      </c>
      <c r="U15" s="769">
        <f t="shared" si="1"/>
        <v>100</v>
      </c>
      <c r="V15" s="768" t="s">
        <v>17</v>
      </c>
      <c r="W15" s="769">
        <f t="shared" si="2"/>
        <v>100</v>
      </c>
      <c r="X15" s="1810"/>
      <c r="Y15" s="3156" t="s">
        <v>2545</v>
      </c>
      <c r="Z15" s="1811" t="str">
        <f t="shared" si="7"/>
        <v>居住社区成熟度</v>
      </c>
      <c r="AA15" s="1808">
        <f t="shared" si="3"/>
        <v>1</v>
      </c>
      <c r="AB15" s="1808">
        <f t="shared" si="4"/>
        <v>1</v>
      </c>
      <c r="AC15" s="1808">
        <f t="shared" si="5"/>
        <v>1</v>
      </c>
    </row>
    <row r="16" spans="1:30" ht="15" hidden="1">
      <c r="A16" s="424"/>
      <c r="B16" s="442"/>
      <c r="C16" s="443"/>
      <c r="D16" s="444"/>
      <c r="E16" s="2601"/>
      <c r="F16" s="444"/>
      <c r="G16" s="2601"/>
      <c r="H16" s="446"/>
      <c r="I16" s="2600"/>
      <c r="J16" s="444"/>
      <c r="K16" s="668"/>
      <c r="L16" s="1137"/>
      <c r="M16" s="1128"/>
      <c r="N16" s="1128"/>
      <c r="O16" s="1136"/>
      <c r="P16" s="3157"/>
      <c r="Q16" s="1807"/>
      <c r="R16" s="768"/>
      <c r="S16" s="769"/>
      <c r="T16" s="768"/>
      <c r="U16" s="769"/>
      <c r="V16" s="768"/>
      <c r="W16" s="769"/>
      <c r="X16" s="1810"/>
      <c r="Y16" s="3157"/>
      <c r="Z16" s="1811"/>
      <c r="AA16" s="1808">
        <v>1</v>
      </c>
      <c r="AB16" s="1808">
        <v>1</v>
      </c>
      <c r="AC16" s="1808">
        <v>1</v>
      </c>
    </row>
    <row r="17" spans="1:29" ht="85.5">
      <c r="A17" s="424"/>
      <c r="B17" s="447" t="s">
        <v>2638</v>
      </c>
      <c r="C17" s="2660" t="str">
        <f>估价对象房地状况!C16</f>
        <v>估价对象周边2公里无购物中心，仅有少量住宅配套商业，人流量较小，商业繁华度一般</v>
      </c>
      <c r="D17" s="446">
        <v>100</v>
      </c>
      <c r="E17" s="448"/>
      <c r="F17" s="446">
        <f>SUMIF(90:90,E18,91:91)-SUMIF(90:90,C18,91:91)+100</f>
        <v>100</v>
      </c>
      <c r="G17" s="448"/>
      <c r="H17" s="451">
        <f>SUMIF(90:90,G18,91:91)-SUMIF(90:90,C18,91:91)+100</f>
        <v>100</v>
      </c>
      <c r="I17" s="450"/>
      <c r="J17" s="451">
        <f>SUMIF(90:90,I18,91:91)-SUMIF(90:90,C18,91:91)+100</f>
        <v>100</v>
      </c>
      <c r="K17" s="669">
        <v>2</v>
      </c>
      <c r="L17" s="1137"/>
      <c r="M17" s="1128"/>
      <c r="N17" s="1128"/>
      <c r="O17" s="1136"/>
      <c r="P17" s="3157"/>
      <c r="Q17" s="1807" t="str">
        <f>B17</f>
        <v>商业繁华度</v>
      </c>
      <c r="R17" s="768" t="s">
        <v>17</v>
      </c>
      <c r="S17" s="769">
        <f>F17</f>
        <v>100</v>
      </c>
      <c r="T17" s="768" t="s">
        <v>17</v>
      </c>
      <c r="U17" s="769">
        <f>H17</f>
        <v>100</v>
      </c>
      <c r="V17" s="768" t="s">
        <v>17</v>
      </c>
      <c r="W17" s="769">
        <f>J17</f>
        <v>100</v>
      </c>
      <c r="X17" s="1810"/>
      <c r="Y17" s="3157"/>
      <c r="Z17" s="1811" t="str">
        <f>Q17</f>
        <v>商业繁华度</v>
      </c>
      <c r="AA17" s="1808">
        <f t="shared" si="3"/>
        <v>1</v>
      </c>
      <c r="AB17" s="1808">
        <f t="shared" si="4"/>
        <v>1</v>
      </c>
      <c r="AC17" s="1808">
        <f t="shared" si="5"/>
        <v>1</v>
      </c>
    </row>
    <row r="18" spans="1:29" ht="15">
      <c r="A18" s="424"/>
      <c r="B18" s="452"/>
      <c r="C18" s="3292" t="s">
        <v>3187</v>
      </c>
      <c r="D18" s="446"/>
      <c r="E18" s="2604" t="s">
        <v>3178</v>
      </c>
      <c r="F18" s="446"/>
      <c r="G18" s="2604" t="s">
        <v>3178</v>
      </c>
      <c r="H18" s="444"/>
      <c r="I18" s="2604" t="s">
        <v>3178</v>
      </c>
      <c r="J18" s="444"/>
      <c r="K18" s="668"/>
      <c r="L18" s="1137"/>
      <c r="M18" s="1128"/>
      <c r="N18" s="1128"/>
      <c r="O18" s="1136"/>
      <c r="P18" s="3157"/>
      <c r="Q18" s="1807"/>
      <c r="R18" s="768"/>
      <c r="S18" s="769"/>
      <c r="T18" s="768"/>
      <c r="U18" s="769"/>
      <c r="V18" s="768"/>
      <c r="W18" s="769"/>
      <c r="X18" s="1810"/>
      <c r="Y18" s="3157"/>
      <c r="Z18" s="1811"/>
      <c r="AA18" s="1808">
        <v>1</v>
      </c>
      <c r="AB18" s="1808">
        <v>1</v>
      </c>
      <c r="AC18" s="1808">
        <v>1</v>
      </c>
    </row>
    <row r="19" spans="1:29" ht="85.5">
      <c r="A19" s="424"/>
      <c r="B19" s="447" t="s">
        <v>2672</v>
      </c>
      <c r="C19" s="2660" t="str">
        <f>估价对象房地状况!C17</f>
        <v>估价对象周边2公里办公项目有绿地启航国际、世农大厦等少量办公项目，办公集聚程度较差</v>
      </c>
      <c r="D19" s="451">
        <v>100</v>
      </c>
      <c r="E19" s="453"/>
      <c r="F19" s="451">
        <f>SUMIF(92:92,E20,93:93)-SUMIF(92:92,C20,93:93)+100</f>
        <v>100</v>
      </c>
      <c r="G19" s="453"/>
      <c r="H19" s="446">
        <f>SUMIF(92:92,G20,93:93)-SUMIF(92:92,C20,93:93)+100</f>
        <v>100</v>
      </c>
      <c r="I19" s="455"/>
      <c r="J19" s="446">
        <f>SUMIF(92:92,I20,93:93)-SUMIF(92:92,C20,93:93)+100</f>
        <v>100</v>
      </c>
      <c r="K19" s="669">
        <v>2</v>
      </c>
      <c r="L19" s="1137"/>
      <c r="M19" s="1128"/>
      <c r="N19" s="1128"/>
      <c r="O19" s="1136"/>
      <c r="P19" s="3157"/>
      <c r="Q19" s="1807" t="str">
        <f>B19</f>
        <v>办公集聚程度</v>
      </c>
      <c r="R19" s="768" t="s">
        <v>17</v>
      </c>
      <c r="S19" s="769">
        <f>F19</f>
        <v>100</v>
      </c>
      <c r="T19" s="768" t="s">
        <v>17</v>
      </c>
      <c r="U19" s="769">
        <f>H19</f>
        <v>100</v>
      </c>
      <c r="V19" s="768" t="s">
        <v>17</v>
      </c>
      <c r="W19" s="769">
        <f>J19</f>
        <v>100</v>
      </c>
      <c r="X19" s="1810"/>
      <c r="Y19" s="3157"/>
      <c r="Z19" s="1811" t="str">
        <f>Q19</f>
        <v>办公集聚程度</v>
      </c>
      <c r="AA19" s="1808">
        <f t="shared" si="3"/>
        <v>1</v>
      </c>
      <c r="AB19" s="1808">
        <f t="shared" si="4"/>
        <v>1</v>
      </c>
      <c r="AC19" s="1808">
        <f t="shared" si="5"/>
        <v>1</v>
      </c>
    </row>
    <row r="20" spans="1:29" ht="15">
      <c r="A20" s="424"/>
      <c r="B20" s="452"/>
      <c r="C20" s="3293" t="s">
        <v>3188</v>
      </c>
      <c r="D20" s="444"/>
      <c r="E20" s="443" t="s">
        <v>3179</v>
      </c>
      <c r="F20" s="444"/>
      <c r="G20" s="443" t="s">
        <v>3179</v>
      </c>
      <c r="H20" s="444"/>
      <c r="I20" s="443" t="s">
        <v>3179</v>
      </c>
      <c r="J20" s="444"/>
      <c r="K20" s="668"/>
      <c r="L20" s="1137"/>
      <c r="M20" s="1128"/>
      <c r="N20" s="1128"/>
      <c r="O20" s="1136"/>
      <c r="P20" s="3157"/>
      <c r="Q20" s="1807"/>
      <c r="R20" s="768"/>
      <c r="S20" s="769"/>
      <c r="T20" s="768"/>
      <c r="U20" s="769"/>
      <c r="V20" s="768"/>
      <c r="W20" s="769"/>
      <c r="X20" s="1810"/>
      <c r="Y20" s="3157"/>
      <c r="Z20" s="1811"/>
      <c r="AA20" s="1808">
        <v>1</v>
      </c>
      <c r="AB20" s="1808">
        <v>1</v>
      </c>
      <c r="AC20" s="1808">
        <v>1</v>
      </c>
    </row>
    <row r="21" spans="1:29" ht="71.25">
      <c r="A21" s="424"/>
      <c r="B21" s="447" t="s">
        <v>2694</v>
      </c>
      <c r="C21" s="2603" t="str">
        <f>估价对象房地状况!C18</f>
        <v>估价对象周边仅有829、兴52路公交线路，综合评价交通便捷度一般</v>
      </c>
      <c r="D21" s="446">
        <v>100</v>
      </c>
      <c r="E21" s="448"/>
      <c r="F21" s="451">
        <f>SUMIF(94:94,E22,95:95)-SUMIF(94:94,C22,95:95)+100</f>
        <v>100</v>
      </c>
      <c r="G21" s="3290" t="s">
        <v>3180</v>
      </c>
      <c r="H21" s="446">
        <f>SUMIF(94:94,G22,95:95)-SUMIF(94:94,C22,95:95)+100</f>
        <v>102</v>
      </c>
      <c r="I21" s="3290" t="s">
        <v>3180</v>
      </c>
      <c r="J21" s="446">
        <f>SUMIF(94:94,I22,95:95)-SUMIF(94:94,C22,95:95)+100</f>
        <v>102</v>
      </c>
      <c r="K21" s="669">
        <v>2</v>
      </c>
      <c r="L21" s="1137"/>
      <c r="M21" s="1128"/>
      <c r="N21" s="1128"/>
      <c r="O21" s="1136"/>
      <c r="P21" s="3157"/>
      <c r="Q21" s="1807" t="str">
        <f>B21</f>
        <v>交通便捷度</v>
      </c>
      <c r="R21" s="768" t="s">
        <v>17</v>
      </c>
      <c r="S21" s="769">
        <f>F21</f>
        <v>100</v>
      </c>
      <c r="T21" s="768" t="s">
        <v>17</v>
      </c>
      <c r="U21" s="769">
        <f>H21</f>
        <v>102</v>
      </c>
      <c r="V21" s="768" t="s">
        <v>17</v>
      </c>
      <c r="W21" s="769">
        <f>J21</f>
        <v>102</v>
      </c>
      <c r="X21" s="1810"/>
      <c r="Y21" s="3157"/>
      <c r="Z21" s="1811" t="str">
        <f>Q21</f>
        <v>交通便捷度</v>
      </c>
      <c r="AA21" s="1808">
        <f t="shared" si="3"/>
        <v>1</v>
      </c>
      <c r="AB21" s="1808">
        <f t="shared" si="4"/>
        <v>0.98039215686274506</v>
      </c>
      <c r="AC21" s="1808">
        <f t="shared" si="5"/>
        <v>0.98039215686274506</v>
      </c>
    </row>
    <row r="22" spans="1:29" ht="15">
      <c r="A22" s="424"/>
      <c r="B22" s="1381"/>
      <c r="C22" s="3293" t="s">
        <v>3187</v>
      </c>
      <c r="D22" s="446"/>
      <c r="E22" s="2601" t="s">
        <v>3178</v>
      </c>
      <c r="F22" s="444"/>
      <c r="G22" s="2601" t="s">
        <v>3085</v>
      </c>
      <c r="H22" s="444"/>
      <c r="I22" s="2600" t="s">
        <v>3085</v>
      </c>
      <c r="J22" s="444"/>
      <c r="K22" s="668"/>
      <c r="L22" s="1137"/>
      <c r="M22" s="1128"/>
      <c r="N22" s="1128"/>
      <c r="O22" s="1136"/>
      <c r="P22" s="3157"/>
      <c r="Q22" s="1807"/>
      <c r="R22" s="768"/>
      <c r="S22" s="769"/>
      <c r="T22" s="768"/>
      <c r="U22" s="769"/>
      <c r="V22" s="768"/>
      <c r="W22" s="769"/>
      <c r="X22" s="1810"/>
      <c r="Y22" s="3157"/>
      <c r="Z22" s="1811"/>
      <c r="AA22" s="1808">
        <v>1</v>
      </c>
      <c r="AB22" s="1808">
        <v>1</v>
      </c>
      <c r="AC22" s="1808">
        <v>1</v>
      </c>
    </row>
    <row r="23" spans="1:29" ht="15">
      <c r="A23" s="400"/>
      <c r="B23" s="447" t="s">
        <v>2733</v>
      </c>
      <c r="C23" s="1386"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1</v>
      </c>
      <c r="L23" s="1137"/>
      <c r="M23" s="1128"/>
      <c r="N23" s="1128"/>
      <c r="O23" s="1136"/>
      <c r="P23" s="3157"/>
      <c r="Q23" s="1807" t="str">
        <f t="shared" ref="Q23:Q37" si="8">B23</f>
        <v>区域土地利用方向</v>
      </c>
      <c r="R23" s="768" t="s">
        <v>17</v>
      </c>
      <c r="S23" s="769">
        <f>F23</f>
        <v>100</v>
      </c>
      <c r="T23" s="768" t="s">
        <v>17</v>
      </c>
      <c r="U23" s="769">
        <f>H23</f>
        <v>100</v>
      </c>
      <c r="V23" s="768" t="s">
        <v>17</v>
      </c>
      <c r="W23" s="769">
        <f>J23</f>
        <v>100</v>
      </c>
      <c r="X23" s="1810"/>
      <c r="Y23" s="3157"/>
      <c r="Z23" s="1811" t="str">
        <f>Q23</f>
        <v>区域土地利用方向</v>
      </c>
      <c r="AA23" s="1808">
        <f t="shared" si="3"/>
        <v>1</v>
      </c>
      <c r="AB23" s="1808">
        <f t="shared" si="4"/>
        <v>1</v>
      </c>
      <c r="AC23" s="1808">
        <f t="shared" si="5"/>
        <v>1</v>
      </c>
    </row>
    <row r="24" spans="1:29" ht="15">
      <c r="A24" s="400"/>
      <c r="B24" s="452"/>
      <c r="C24" s="3294" t="s">
        <v>3189</v>
      </c>
      <c r="D24" s="444"/>
      <c r="E24" s="612" t="s">
        <v>3085</v>
      </c>
      <c r="F24" s="444"/>
      <c r="G24" s="612" t="s">
        <v>3085</v>
      </c>
      <c r="H24" s="444"/>
      <c r="I24" s="612" t="s">
        <v>3085</v>
      </c>
      <c r="J24" s="444"/>
      <c r="K24" s="806"/>
      <c r="L24" s="1137"/>
      <c r="M24" s="1128"/>
      <c r="N24" s="1128"/>
      <c r="O24" s="1136"/>
      <c r="P24" s="3157"/>
      <c r="Q24" s="1807"/>
      <c r="R24" s="768"/>
      <c r="S24" s="769"/>
      <c r="T24" s="768"/>
      <c r="U24" s="769"/>
      <c r="V24" s="768"/>
      <c r="W24" s="769"/>
      <c r="X24" s="1810"/>
      <c r="Y24" s="3157"/>
      <c r="Z24" s="1811"/>
      <c r="AA24" s="1808"/>
      <c r="AB24" s="1808"/>
      <c r="AC24" s="1808"/>
    </row>
    <row r="25" spans="1:29" ht="71.25">
      <c r="A25" s="400"/>
      <c r="B25" s="1381" t="s">
        <v>2734</v>
      </c>
      <c r="C25" s="2660" t="str">
        <f>估价对象房地状况!C20</f>
        <v>周边仅有住宅配套绿化，无大型公园及高等教育机构；综合评价环境状况较差</v>
      </c>
      <c r="D25" s="446">
        <v>100</v>
      </c>
      <c r="E25" s="448"/>
      <c r="F25" s="446">
        <f>SUMIF(98:98,E26,99:99)-SUMIF(98:98,C26,99:99)+100</f>
        <v>104</v>
      </c>
      <c r="G25" s="448"/>
      <c r="H25" s="446">
        <f>SUMIF(98:98,G26,99:99)-SUMIF(98:98,C26,99:99)+100</f>
        <v>104</v>
      </c>
      <c r="I25" s="450"/>
      <c r="J25" s="446">
        <f>SUMIF(98:98,I26,99:99)-SUMIF(98:98,C26,99:99)+100</f>
        <v>104</v>
      </c>
      <c r="K25" s="669">
        <v>2</v>
      </c>
      <c r="L25" s="1137"/>
      <c r="M25" s="1128"/>
      <c r="N25" s="1128"/>
      <c r="O25" s="1136"/>
      <c r="P25" s="3157"/>
      <c r="Q25" s="1807" t="str">
        <f t="shared" si="8"/>
        <v>自然及人文环境状况</v>
      </c>
      <c r="R25" s="768" t="s">
        <v>17</v>
      </c>
      <c r="S25" s="769">
        <f>F25</f>
        <v>104</v>
      </c>
      <c r="T25" s="768" t="s">
        <v>17</v>
      </c>
      <c r="U25" s="769">
        <f>H25</f>
        <v>104</v>
      </c>
      <c r="V25" s="768" t="s">
        <v>17</v>
      </c>
      <c r="W25" s="769">
        <f>J25</f>
        <v>104</v>
      </c>
      <c r="X25" s="1810"/>
      <c r="Y25" s="3157"/>
      <c r="Z25" s="1811" t="str">
        <f>Q25</f>
        <v>自然及人文环境状况</v>
      </c>
      <c r="AA25" s="1808">
        <f t="shared" si="3"/>
        <v>0.96153846153846156</v>
      </c>
      <c r="AB25" s="1808">
        <f t="shared" si="4"/>
        <v>0.96153846153846156</v>
      </c>
      <c r="AC25" s="1808">
        <f t="shared" si="5"/>
        <v>0.96153846153846156</v>
      </c>
    </row>
    <row r="26" spans="1:29" ht="15">
      <c r="A26" s="400"/>
      <c r="B26" s="452"/>
      <c r="C26" s="3293" t="s">
        <v>3190</v>
      </c>
      <c r="D26" s="444"/>
      <c r="E26" s="443" t="s">
        <v>3085</v>
      </c>
      <c r="F26" s="444"/>
      <c r="G26" s="443" t="s">
        <v>3085</v>
      </c>
      <c r="H26" s="444"/>
      <c r="I26" s="443" t="s">
        <v>3085</v>
      </c>
      <c r="J26" s="444"/>
      <c r="K26" s="668"/>
      <c r="L26" s="1137"/>
      <c r="M26" s="1128"/>
      <c r="N26" s="1128"/>
      <c r="O26" s="1136"/>
      <c r="P26" s="3157"/>
      <c r="Q26" s="1807"/>
      <c r="R26" s="768"/>
      <c r="S26" s="769"/>
      <c r="T26" s="768"/>
      <c r="U26" s="769"/>
      <c r="V26" s="768"/>
      <c r="W26" s="769"/>
      <c r="X26" s="1810"/>
      <c r="Y26" s="3157"/>
      <c r="Z26" s="1811"/>
      <c r="AA26" s="1808">
        <v>1</v>
      </c>
      <c r="AB26" s="1808">
        <v>1</v>
      </c>
      <c r="AC26" s="1808">
        <v>1</v>
      </c>
    </row>
    <row r="27" spans="1:29" s="114" customFormat="1" ht="42.75">
      <c r="A27" s="645"/>
      <c r="B27" s="1381" t="s">
        <v>2639</v>
      </c>
      <c r="C27" s="2603" t="str">
        <f>估价对象房地状况!C21</f>
        <v>估价对象所在区域公共配套设施齐备度一般</v>
      </c>
      <c r="D27" s="446">
        <v>100</v>
      </c>
      <c r="E27" s="448"/>
      <c r="F27" s="446">
        <f>SUMIF(100:100,E28,101:101)-SUMIF(100:100,C28,101:101)+100</f>
        <v>102</v>
      </c>
      <c r="G27" s="448"/>
      <c r="H27" s="446">
        <f>SUMIF(100:100,G28,101:101)-SUMIF(100:100,C28,101:101)+100</f>
        <v>102</v>
      </c>
      <c r="I27" s="450"/>
      <c r="J27" s="446">
        <f>SUMIF(100:100,I28,101:101)-SUMIF(100:100,C28,101:101)+100</f>
        <v>102</v>
      </c>
      <c r="K27" s="669">
        <v>2</v>
      </c>
      <c r="L27" s="1129"/>
      <c r="M27" s="1130"/>
      <c r="N27" s="1130"/>
      <c r="O27" s="1131"/>
      <c r="P27" s="3157"/>
      <c r="Q27" s="1792" t="str">
        <f t="shared" si="8"/>
        <v>公共配套设施</v>
      </c>
      <c r="R27" s="764" t="s">
        <v>17</v>
      </c>
      <c r="S27" s="765">
        <f>F27</f>
        <v>102</v>
      </c>
      <c r="T27" s="764" t="s">
        <v>17</v>
      </c>
      <c r="U27" s="765">
        <f>H27</f>
        <v>102</v>
      </c>
      <c r="V27" s="764" t="s">
        <v>17</v>
      </c>
      <c r="W27" s="765">
        <f>J27</f>
        <v>102</v>
      </c>
      <c r="X27" s="766"/>
      <c r="Y27" s="3157"/>
      <c r="Z27" s="55" t="str">
        <f>Q27</f>
        <v>公共配套设施</v>
      </c>
      <c r="AA27" s="1808">
        <f>D27/F27</f>
        <v>0.98039215686274506</v>
      </c>
      <c r="AB27" s="1808">
        <f>D27/H27</f>
        <v>0.98039215686274506</v>
      </c>
      <c r="AC27" s="1808">
        <f>D27/J27</f>
        <v>0.98039215686274506</v>
      </c>
    </row>
    <row r="28" spans="1:29" s="114" customFormat="1" ht="15">
      <c r="A28" s="645"/>
      <c r="B28" s="452"/>
      <c r="C28" s="3295" t="s">
        <v>3187</v>
      </c>
      <c r="D28" s="444"/>
      <c r="E28" s="2696" t="s">
        <v>3085</v>
      </c>
      <c r="F28" s="444"/>
      <c r="G28" s="2696" t="s">
        <v>3085</v>
      </c>
      <c r="H28" s="444"/>
      <c r="I28" s="2696" t="s">
        <v>3085</v>
      </c>
      <c r="J28" s="444"/>
      <c r="K28" s="668"/>
      <c r="L28" s="1129"/>
      <c r="M28" s="1130"/>
      <c r="N28" s="1130"/>
      <c r="O28" s="1131"/>
      <c r="P28" s="3157"/>
      <c r="Q28" s="1792"/>
      <c r="R28" s="764"/>
      <c r="S28" s="765"/>
      <c r="T28" s="764"/>
      <c r="U28" s="765"/>
      <c r="V28" s="764"/>
      <c r="W28" s="765"/>
      <c r="X28" s="766"/>
      <c r="Y28" s="3157"/>
      <c r="Z28" s="55"/>
      <c r="AA28" s="1808">
        <v>1</v>
      </c>
      <c r="AB28" s="1808">
        <v>1</v>
      </c>
      <c r="AC28" s="1808">
        <v>1</v>
      </c>
    </row>
    <row r="29" spans="1:29" s="114" customFormat="1" ht="42.75">
      <c r="A29" s="645"/>
      <c r="B29" s="1381" t="s">
        <v>2640</v>
      </c>
      <c r="C29" s="2603" t="str">
        <f>估价对象房地状况!C22</f>
        <v>估价对象所在区域基础设施水平达七通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29"/>
      <c r="M29" s="1130"/>
      <c r="N29" s="1130"/>
      <c r="O29" s="1131"/>
      <c r="P29" s="3157"/>
      <c r="Q29" s="1792" t="str">
        <f t="shared" ref="Q29" si="9">B29</f>
        <v>基础设施水平</v>
      </c>
      <c r="R29" s="764" t="s">
        <v>17</v>
      </c>
      <c r="S29" s="765">
        <f>F29</f>
        <v>100</v>
      </c>
      <c r="T29" s="764" t="s">
        <v>17</v>
      </c>
      <c r="U29" s="765">
        <f>H29</f>
        <v>100</v>
      </c>
      <c r="V29" s="764" t="s">
        <v>17</v>
      </c>
      <c r="W29" s="765">
        <f>J29</f>
        <v>100</v>
      </c>
      <c r="X29" s="766"/>
      <c r="Y29" s="3157"/>
      <c r="Z29" s="55" t="str">
        <f>Q29</f>
        <v>基础设施水平</v>
      </c>
      <c r="AA29" s="1808">
        <f>D29/F29</f>
        <v>1</v>
      </c>
      <c r="AB29" s="1808">
        <f>D29/H29</f>
        <v>1</v>
      </c>
      <c r="AC29" s="1808">
        <f>D29/J29</f>
        <v>1</v>
      </c>
    </row>
    <row r="30" spans="1:29" s="114" customFormat="1" ht="15">
      <c r="A30" s="645"/>
      <c r="B30" s="452"/>
      <c r="C30" s="3295" t="s">
        <v>3191</v>
      </c>
      <c r="D30" s="444"/>
      <c r="E30" s="2696" t="s">
        <v>3181</v>
      </c>
      <c r="F30" s="444"/>
      <c r="G30" s="2696" t="s">
        <v>3181</v>
      </c>
      <c r="H30" s="444"/>
      <c r="I30" s="2696" t="s">
        <v>3181</v>
      </c>
      <c r="J30" s="444"/>
      <c r="K30" s="668"/>
      <c r="L30" s="1129"/>
      <c r="M30" s="1130"/>
      <c r="N30" s="1130"/>
      <c r="O30" s="1131"/>
      <c r="P30" s="3157"/>
      <c r="Q30" s="1792"/>
      <c r="R30" s="764"/>
      <c r="S30" s="765"/>
      <c r="T30" s="764"/>
      <c r="U30" s="765"/>
      <c r="V30" s="764"/>
      <c r="W30" s="765"/>
      <c r="X30" s="766"/>
      <c r="Y30" s="3157"/>
      <c r="Z30" s="55"/>
      <c r="AA30" s="1808">
        <v>1</v>
      </c>
      <c r="AB30" s="1808">
        <v>1</v>
      </c>
      <c r="AC30" s="1808">
        <v>1</v>
      </c>
    </row>
    <row r="31" spans="1:29" ht="15">
      <c r="A31" s="424"/>
      <c r="B31" s="452" t="s">
        <v>2641</v>
      </c>
      <c r="C31" s="612" t="s">
        <v>3084</v>
      </c>
      <c r="D31" s="431">
        <v>100</v>
      </c>
      <c r="E31" s="630" t="s">
        <v>3084</v>
      </c>
      <c r="F31" s="431">
        <f>SUMIF(104:104,E31,105:105)-SUMIF(104:104,C31,105:105)+100</f>
        <v>100</v>
      </c>
      <c r="G31" s="630" t="s">
        <v>3084</v>
      </c>
      <c r="H31" s="431">
        <f>SUMIF(104:104,G31,105:105)-SUMIF(104:104,C31,105:105)+100</f>
        <v>100</v>
      </c>
      <c r="I31" s="630" t="s">
        <v>3084</v>
      </c>
      <c r="J31" s="431">
        <f>SUMIF(104:104,I31,105:105)-SUMIF(104:104,C31,105:105)+100</f>
        <v>100</v>
      </c>
      <c r="K31" s="669">
        <v>1</v>
      </c>
      <c r="L31" s="1137"/>
      <c r="M31" s="1128"/>
      <c r="N31" s="1128"/>
      <c r="O31" s="1136"/>
      <c r="P31" s="3157"/>
      <c r="Q31" s="1807" t="str">
        <f t="shared" si="8"/>
        <v>临街状况</v>
      </c>
      <c r="R31" s="768" t="s">
        <v>17</v>
      </c>
      <c r="S31" s="769">
        <f t="shared" ref="S31:S45" si="10">F31</f>
        <v>100</v>
      </c>
      <c r="T31" s="768" t="s">
        <v>17</v>
      </c>
      <c r="U31" s="769">
        <f t="shared" ref="U31:U45" si="11">H31</f>
        <v>100</v>
      </c>
      <c r="V31" s="768" t="s">
        <v>17</v>
      </c>
      <c r="W31" s="769">
        <f t="shared" ref="W31:W45" si="12">J31</f>
        <v>100</v>
      </c>
      <c r="X31" s="1810"/>
      <c r="Y31" s="3157"/>
      <c r="Z31" s="1811" t="str">
        <f t="shared" ref="Z31:Z45" si="13">Q31</f>
        <v>临街状况</v>
      </c>
      <c r="AA31" s="1808">
        <f t="shared" si="3"/>
        <v>1</v>
      </c>
      <c r="AB31" s="1808">
        <f t="shared" si="4"/>
        <v>1</v>
      </c>
      <c r="AC31" s="1808">
        <f t="shared" si="5"/>
        <v>1</v>
      </c>
    </row>
    <row r="32" spans="1:29" ht="27">
      <c r="A32" s="424"/>
      <c r="B32" s="1381" t="s">
        <v>2676</v>
      </c>
      <c r="C32" s="3296" t="s">
        <v>3192</v>
      </c>
      <c r="D32" s="446">
        <v>100</v>
      </c>
      <c r="E32" s="448"/>
      <c r="F32" s="446">
        <f>SUMIF(106:106,E33,107:107)-SUMIF(106:106,C33,107:107)+100</f>
        <v>99</v>
      </c>
      <c r="G32" s="448"/>
      <c r="H32" s="446">
        <f>SUMIF(106:106,G33,107:107)-SUMIF(106:106,C33,107:107)+100</f>
        <v>99</v>
      </c>
      <c r="I32" s="3291" t="s">
        <v>3185</v>
      </c>
      <c r="J32" s="446">
        <f>SUMIF(106:106,I33,107:107)-SUMIF(106:106,C33,107:107)+100</f>
        <v>100</v>
      </c>
      <c r="K32" s="669">
        <v>1</v>
      </c>
      <c r="L32" s="1137"/>
      <c r="M32" s="1128"/>
      <c r="N32" s="1128"/>
      <c r="O32" s="1136"/>
      <c r="P32" s="3157"/>
      <c r="Q32" s="1807" t="str">
        <f t="shared" si="8"/>
        <v>毗邻道路的类型与等级</v>
      </c>
      <c r="R32" s="768" t="s">
        <v>17</v>
      </c>
      <c r="S32" s="769">
        <f t="shared" si="10"/>
        <v>99</v>
      </c>
      <c r="T32" s="768" t="s">
        <v>17</v>
      </c>
      <c r="U32" s="769">
        <f t="shared" si="11"/>
        <v>99</v>
      </c>
      <c r="V32" s="768" t="s">
        <v>17</v>
      </c>
      <c r="W32" s="769">
        <f t="shared" si="12"/>
        <v>100</v>
      </c>
      <c r="X32" s="1810"/>
      <c r="Y32" s="3157"/>
      <c r="Z32" s="1811" t="str">
        <f t="shared" si="13"/>
        <v>毗邻道路的类型与等级</v>
      </c>
      <c r="AA32" s="1808">
        <f t="shared" si="3"/>
        <v>1.0101010101010102</v>
      </c>
      <c r="AB32" s="1808">
        <f t="shared" si="4"/>
        <v>1.0101010101010102</v>
      </c>
      <c r="AC32" s="1808">
        <f t="shared" si="5"/>
        <v>1</v>
      </c>
    </row>
    <row r="33" spans="1:29" ht="15">
      <c r="A33" s="424"/>
      <c r="B33" s="452"/>
      <c r="C33" s="443" t="s">
        <v>3186</v>
      </c>
      <c r="D33" s="444"/>
      <c r="E33" s="2607" t="s">
        <v>3182</v>
      </c>
      <c r="F33" s="444"/>
      <c r="G33" s="2607" t="s">
        <v>3182</v>
      </c>
      <c r="H33" s="444"/>
      <c r="I33" s="2607" t="s">
        <v>3186</v>
      </c>
      <c r="J33" s="444"/>
      <c r="K33" s="609"/>
      <c r="L33" s="1137"/>
      <c r="M33" s="1128"/>
      <c r="N33" s="1128"/>
      <c r="O33" s="1136"/>
      <c r="P33" s="3157"/>
      <c r="Q33" s="1807"/>
      <c r="R33" s="768"/>
      <c r="S33" s="769"/>
      <c r="T33" s="768"/>
      <c r="U33" s="769"/>
      <c r="V33" s="768"/>
      <c r="W33" s="769"/>
      <c r="X33" s="1810"/>
      <c r="Y33" s="3157"/>
      <c r="Z33" s="1811"/>
      <c r="AA33" s="1808">
        <v>1</v>
      </c>
      <c r="AB33" s="1808">
        <v>1</v>
      </c>
      <c r="AC33" s="1808">
        <v>1</v>
      </c>
    </row>
    <row r="34" spans="1:29" ht="15.75" thickBot="1">
      <c r="A34" s="424"/>
      <c r="B34" s="418" t="s">
        <v>2735</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7"/>
      <c r="M34" s="1128"/>
      <c r="N34" s="1128"/>
      <c r="O34" s="1136"/>
      <c r="P34" s="3157"/>
      <c r="Q34" s="1807" t="str">
        <f t="shared" si="8"/>
        <v>土地级别</v>
      </c>
      <c r="R34" s="768" t="s">
        <v>17</v>
      </c>
      <c r="S34" s="769">
        <f t="shared" si="10"/>
        <v>100</v>
      </c>
      <c r="T34" s="768" t="s">
        <v>17</v>
      </c>
      <c r="U34" s="769">
        <f t="shared" si="11"/>
        <v>100</v>
      </c>
      <c r="V34" s="768" t="s">
        <v>17</v>
      </c>
      <c r="W34" s="769">
        <f t="shared" si="12"/>
        <v>100</v>
      </c>
      <c r="X34" s="1810"/>
      <c r="Y34" s="3157"/>
      <c r="Z34" s="1811" t="str">
        <f t="shared" si="13"/>
        <v>土地级别</v>
      </c>
      <c r="AA34" s="1808">
        <f t="shared" si="3"/>
        <v>1</v>
      </c>
      <c r="AB34" s="1808">
        <f t="shared" si="4"/>
        <v>1</v>
      </c>
      <c r="AC34" s="1808">
        <f t="shared" si="5"/>
        <v>1</v>
      </c>
    </row>
    <row r="35" spans="1:29" ht="15" hidden="1">
      <c r="A35" s="400"/>
      <c r="B35" s="1383">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7"/>
      <c r="M35" s="1128"/>
      <c r="N35" s="1128"/>
      <c r="O35" s="1136"/>
      <c r="P35" s="3157"/>
      <c r="Q35" s="1807">
        <f t="shared" si="8"/>
        <v>111</v>
      </c>
      <c r="R35" s="768" t="s">
        <v>17</v>
      </c>
      <c r="S35" s="769">
        <f t="shared" si="10"/>
        <v>100</v>
      </c>
      <c r="T35" s="768" t="s">
        <v>17</v>
      </c>
      <c r="U35" s="769">
        <f t="shared" si="11"/>
        <v>100</v>
      </c>
      <c r="V35" s="768" t="s">
        <v>17</v>
      </c>
      <c r="W35" s="769">
        <f t="shared" si="12"/>
        <v>100</v>
      </c>
      <c r="X35" s="1810"/>
      <c r="Y35" s="3157"/>
      <c r="Z35" s="1811">
        <f t="shared" si="13"/>
        <v>111</v>
      </c>
      <c r="AA35" s="1808">
        <f t="shared" si="3"/>
        <v>1</v>
      </c>
      <c r="AB35" s="1808">
        <f t="shared" si="4"/>
        <v>1</v>
      </c>
      <c r="AC35" s="1808">
        <f t="shared" si="5"/>
        <v>1</v>
      </c>
    </row>
    <row r="36" spans="1:29" ht="15" hidden="1">
      <c r="A36" s="671"/>
      <c r="B36" s="1384">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7"/>
      <c r="M36" s="1128"/>
      <c r="N36" s="1128"/>
      <c r="O36" s="1136"/>
      <c r="P36" s="3212" t="s">
        <v>2550</v>
      </c>
      <c r="Q36" s="1807">
        <f t="shared" si="8"/>
        <v>111</v>
      </c>
      <c r="R36" s="768" t="s">
        <v>17</v>
      </c>
      <c r="S36" s="769">
        <f t="shared" si="10"/>
        <v>100</v>
      </c>
      <c r="T36" s="768" t="s">
        <v>17</v>
      </c>
      <c r="U36" s="769">
        <f t="shared" si="11"/>
        <v>100</v>
      </c>
      <c r="V36" s="768" t="s">
        <v>17</v>
      </c>
      <c r="W36" s="769">
        <f t="shared" si="12"/>
        <v>100</v>
      </c>
      <c r="X36" s="1810"/>
      <c r="Y36" s="3161" t="s">
        <v>2550</v>
      </c>
      <c r="Z36" s="1811">
        <f t="shared" si="13"/>
        <v>111</v>
      </c>
      <c r="AA36" s="1808">
        <f t="shared" si="3"/>
        <v>1</v>
      </c>
      <c r="AB36" s="1808">
        <f t="shared" si="4"/>
        <v>1</v>
      </c>
      <c r="AC36" s="1808">
        <f t="shared" si="5"/>
        <v>1</v>
      </c>
    </row>
    <row r="37" spans="1:29" s="467" customFormat="1" ht="15.75" hidden="1" thickBot="1">
      <c r="A37" s="672"/>
      <c r="B37" s="1385">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5"/>
      <c r="M37" s="1138"/>
      <c r="N37" s="1138"/>
      <c r="O37" s="1139"/>
      <c r="P37" s="3161"/>
      <c r="Q37" s="1807">
        <f t="shared" si="8"/>
        <v>111</v>
      </c>
      <c r="R37" s="771" t="s">
        <v>17</v>
      </c>
      <c r="S37" s="772">
        <f t="shared" si="10"/>
        <v>100</v>
      </c>
      <c r="T37" s="771" t="s">
        <v>17</v>
      </c>
      <c r="U37" s="772">
        <f t="shared" si="11"/>
        <v>100</v>
      </c>
      <c r="V37" s="771" t="s">
        <v>17</v>
      </c>
      <c r="W37" s="772">
        <f t="shared" si="12"/>
        <v>100</v>
      </c>
      <c r="X37" s="773"/>
      <c r="Y37" s="3161"/>
      <c r="Z37" s="774">
        <f t="shared" si="13"/>
        <v>111</v>
      </c>
      <c r="AA37" s="1808">
        <f t="shared" si="3"/>
        <v>1</v>
      </c>
      <c r="AB37" s="1808">
        <f t="shared" si="4"/>
        <v>1</v>
      </c>
      <c r="AC37" s="1808">
        <f t="shared" si="5"/>
        <v>1</v>
      </c>
    </row>
    <row r="38" spans="1:29" ht="15">
      <c r="A38" s="468" t="s">
        <v>2548</v>
      </c>
      <c r="B38" s="452" t="s">
        <v>2736</v>
      </c>
      <c r="C38" s="675">
        <f>'数据-基础表'!A3</f>
        <v>47919.256000000001</v>
      </c>
      <c r="D38" s="463">
        <v>100</v>
      </c>
      <c r="E38" s="675">
        <f>土地案例!J2</f>
        <v>18303.330000000002</v>
      </c>
      <c r="F38" s="463">
        <f>LOOKUP(E38,117:117,118:118)-LOOKUP(C38,117:117,118:118)+100</f>
        <v>98</v>
      </c>
      <c r="G38" s="675">
        <f>土地案例!J3</f>
        <v>85709</v>
      </c>
      <c r="H38" s="463">
        <f>LOOKUP(G38,117:117,118:118)-LOOKUP(C38,117:117,118:118)+100</f>
        <v>102</v>
      </c>
      <c r="I38" s="526">
        <f>土地案例!J4</f>
        <v>33619.79</v>
      </c>
      <c r="J38" s="463">
        <f>LOOKUP(I38,117:117,118:118)-LOOKUP(C38,117:117,118:118)+100</f>
        <v>99</v>
      </c>
      <c r="K38" s="609"/>
      <c r="L38" s="1137"/>
      <c r="M38" s="1128"/>
      <c r="N38" s="1128"/>
      <c r="O38" s="1136"/>
      <c r="P38" s="3161"/>
      <c r="Q38" s="1807" t="str">
        <f>B38</f>
        <v>宗地面积</v>
      </c>
      <c r="R38" s="768" t="s">
        <v>17</v>
      </c>
      <c r="S38" s="769">
        <f t="shared" si="10"/>
        <v>98</v>
      </c>
      <c r="T38" s="768" t="s">
        <v>17</v>
      </c>
      <c r="U38" s="769">
        <f t="shared" si="11"/>
        <v>102</v>
      </c>
      <c r="V38" s="768" t="s">
        <v>17</v>
      </c>
      <c r="W38" s="769">
        <f t="shared" si="12"/>
        <v>99</v>
      </c>
      <c r="X38" s="1810"/>
      <c r="Y38" s="3161"/>
      <c r="Z38" s="1811" t="str">
        <f t="shared" si="13"/>
        <v>宗地面积</v>
      </c>
      <c r="AA38" s="1808">
        <f t="shared" si="3"/>
        <v>1.0204081632653061</v>
      </c>
      <c r="AB38" s="1808">
        <f t="shared" si="4"/>
        <v>0.98039215686274506</v>
      </c>
      <c r="AC38" s="1808">
        <f t="shared" si="5"/>
        <v>1.0101010101010102</v>
      </c>
    </row>
    <row r="39" spans="1:29" ht="15">
      <c r="A39" s="468"/>
      <c r="B39" s="418" t="s">
        <v>2737</v>
      </c>
      <c r="C39" s="456" t="s">
        <v>3193</v>
      </c>
      <c r="D39" s="431">
        <v>100</v>
      </c>
      <c r="E39" s="2609" t="s">
        <v>3193</v>
      </c>
      <c r="F39" s="431">
        <f>SUMIF(119:119,E39,120:120)-SUMIF(119:119,C39,120:120)+100</f>
        <v>100</v>
      </c>
      <c r="G39" s="2609" t="s">
        <v>3178</v>
      </c>
      <c r="H39" s="431">
        <f>SUMIF(119:119,G39,120:120)-SUMIF(119:119,C39,120:120)+100</f>
        <v>99</v>
      </c>
      <c r="I39" s="2609" t="s">
        <v>3193</v>
      </c>
      <c r="J39" s="431">
        <f>SUMIF(119:119,I39,120:120)-SUMIF(119:119,C39,120:120)+100</f>
        <v>100</v>
      </c>
      <c r="K39" s="608">
        <v>1</v>
      </c>
      <c r="L39" s="1137"/>
      <c r="M39" s="1128"/>
      <c r="N39" s="1128"/>
      <c r="O39" s="1136"/>
      <c r="P39" s="3161"/>
      <c r="Q39" s="1807" t="str">
        <f t="shared" ref="Q39:Q45" si="14">B39</f>
        <v>宗地形状</v>
      </c>
      <c r="R39" s="768" t="s">
        <v>17</v>
      </c>
      <c r="S39" s="769">
        <f t="shared" si="10"/>
        <v>100</v>
      </c>
      <c r="T39" s="768" t="s">
        <v>17</v>
      </c>
      <c r="U39" s="769">
        <f t="shared" si="11"/>
        <v>99</v>
      </c>
      <c r="V39" s="768" t="s">
        <v>17</v>
      </c>
      <c r="W39" s="769">
        <f t="shared" si="12"/>
        <v>100</v>
      </c>
      <c r="X39" s="1810"/>
      <c r="Y39" s="3161"/>
      <c r="Z39" s="1811" t="str">
        <f t="shared" si="13"/>
        <v>宗地形状</v>
      </c>
      <c r="AA39" s="1808">
        <f t="shared" si="3"/>
        <v>1</v>
      </c>
      <c r="AB39" s="1808">
        <f t="shared" si="4"/>
        <v>1.0101010101010102</v>
      </c>
      <c r="AC39" s="1808">
        <f t="shared" si="5"/>
        <v>1</v>
      </c>
    </row>
    <row r="40" spans="1:29" ht="15">
      <c r="A40" s="468"/>
      <c r="B40" s="418" t="s">
        <v>2738</v>
      </c>
      <c r="C40" s="2609" t="s">
        <v>3183</v>
      </c>
      <c r="D40" s="431">
        <v>100</v>
      </c>
      <c r="E40" s="2609" t="s">
        <v>3183</v>
      </c>
      <c r="F40" s="431">
        <f>SUMIF(121:121,E40,122:122)-SUMIF(121:121,C40,122:122)+100</f>
        <v>100</v>
      </c>
      <c r="G40" s="2609" t="s">
        <v>3183</v>
      </c>
      <c r="H40" s="431">
        <f>SUMIF(121:121,G40,122:122)-SUMIF(121:121,C40,122:122)+100</f>
        <v>100</v>
      </c>
      <c r="I40" s="2609" t="s">
        <v>3183</v>
      </c>
      <c r="J40" s="431">
        <f>SUMIF(121:121,I40,122:122)-SUMIF(121:121,C40,122:122)+100</f>
        <v>100</v>
      </c>
      <c r="K40" s="608">
        <v>1</v>
      </c>
      <c r="L40" s="1137"/>
      <c r="M40" s="1128"/>
      <c r="N40" s="1128"/>
      <c r="O40" s="1136"/>
      <c r="P40" s="3161"/>
      <c r="Q40" s="1807" t="str">
        <f t="shared" si="14"/>
        <v>临街宽度及深度</v>
      </c>
      <c r="R40" s="768" t="s">
        <v>17</v>
      </c>
      <c r="S40" s="769">
        <f t="shared" si="10"/>
        <v>100</v>
      </c>
      <c r="T40" s="768" t="s">
        <v>17</v>
      </c>
      <c r="U40" s="769">
        <f t="shared" si="11"/>
        <v>100</v>
      </c>
      <c r="V40" s="768" t="s">
        <v>17</v>
      </c>
      <c r="W40" s="769">
        <f t="shared" si="12"/>
        <v>100</v>
      </c>
      <c r="X40" s="1810"/>
      <c r="Y40" s="3161"/>
      <c r="Z40" s="1811" t="str">
        <f t="shared" si="13"/>
        <v>临街宽度及深度</v>
      </c>
      <c r="AA40" s="1808">
        <f t="shared" si="3"/>
        <v>1</v>
      </c>
      <c r="AB40" s="1808">
        <f t="shared" si="4"/>
        <v>1</v>
      </c>
      <c r="AC40" s="1808">
        <f t="shared" si="5"/>
        <v>1</v>
      </c>
    </row>
    <row r="41" spans="1:29" s="114" customFormat="1" ht="15">
      <c r="A41" s="469"/>
      <c r="B41" s="418" t="s">
        <v>2739</v>
      </c>
      <c r="C41" s="612" t="s">
        <v>3181</v>
      </c>
      <c r="D41" s="132">
        <v>100</v>
      </c>
      <c r="E41" s="2698" t="s">
        <v>3184</v>
      </c>
      <c r="F41" s="431">
        <f>SUMIF(123:123,E41,124:124)-SUMIF(123:123,C41,124:124)+100</f>
        <v>96</v>
      </c>
      <c r="G41" s="2698" t="s">
        <v>3184</v>
      </c>
      <c r="H41" s="431">
        <f>SUMIF(123:123,G41,124:124)-SUMIF(123:123,C41,124:124)+100</f>
        <v>96</v>
      </c>
      <c r="I41" s="2698" t="s">
        <v>3194</v>
      </c>
      <c r="J41" s="431">
        <f>SUMIF(123:123,I41,124:124)-SUMIF(123:123,C41,124:124)+100</f>
        <v>99</v>
      </c>
      <c r="K41" s="608">
        <v>1</v>
      </c>
      <c r="L41" s="1129"/>
      <c r="M41" s="1130"/>
      <c r="N41" s="1130"/>
      <c r="O41" s="1131"/>
      <c r="P41" s="3161"/>
      <c r="Q41" s="1807" t="str">
        <f t="shared" si="14"/>
        <v>宗地开发程度</v>
      </c>
      <c r="R41" s="764" t="s">
        <v>17</v>
      </c>
      <c r="S41" s="765">
        <f t="shared" si="10"/>
        <v>96</v>
      </c>
      <c r="T41" s="764" t="s">
        <v>17</v>
      </c>
      <c r="U41" s="765">
        <f t="shared" si="11"/>
        <v>96</v>
      </c>
      <c r="V41" s="764" t="s">
        <v>17</v>
      </c>
      <c r="W41" s="765">
        <f t="shared" si="12"/>
        <v>99</v>
      </c>
      <c r="X41" s="766"/>
      <c r="Y41" s="3161"/>
      <c r="Z41" s="55" t="str">
        <f t="shared" si="13"/>
        <v>宗地开发程度</v>
      </c>
      <c r="AA41" s="767">
        <f t="shared" si="3"/>
        <v>1.0416666666666667</v>
      </c>
      <c r="AB41" s="767">
        <f t="shared" si="4"/>
        <v>1.0416666666666667</v>
      </c>
      <c r="AC41" s="767">
        <f t="shared" si="5"/>
        <v>1.0101010101010102</v>
      </c>
    </row>
    <row r="42" spans="1:29" ht="15.75" thickBot="1">
      <c r="A42" s="468"/>
      <c r="B42" s="418" t="s">
        <v>2740</v>
      </c>
      <c r="C42" s="456" t="s">
        <v>3085</v>
      </c>
      <c r="D42" s="431">
        <v>100</v>
      </c>
      <c r="E42" s="2609" t="s">
        <v>3085</v>
      </c>
      <c r="F42" s="431">
        <f>SUMIF(125:125,E42,126:126)-SUMIF(125:125,C42,126:126)+100</f>
        <v>100</v>
      </c>
      <c r="G42" s="2609" t="s">
        <v>3085</v>
      </c>
      <c r="H42" s="431">
        <f>SUMIF(125:125,G42,126:126)-SUMIF(125:125,C42,126:126)+100</f>
        <v>100</v>
      </c>
      <c r="I42" s="2609" t="s">
        <v>3085</v>
      </c>
      <c r="J42" s="431">
        <f>SUMIF(125:125,I42,126:126)-SUMIF(125:125,C42,126:126)+100</f>
        <v>100</v>
      </c>
      <c r="K42" s="608">
        <v>1</v>
      </c>
      <c r="L42" s="1137"/>
      <c r="M42" s="1128"/>
      <c r="N42" s="1128"/>
      <c r="O42" s="1136"/>
      <c r="P42" s="3161" t="s">
        <v>2550</v>
      </c>
      <c r="Q42" s="1807" t="str">
        <f t="shared" si="14"/>
        <v>工程地质条件</v>
      </c>
      <c r="R42" s="768" t="s">
        <v>17</v>
      </c>
      <c r="S42" s="769">
        <f t="shared" si="10"/>
        <v>100</v>
      </c>
      <c r="T42" s="768" t="s">
        <v>17</v>
      </c>
      <c r="U42" s="769">
        <f t="shared" si="11"/>
        <v>100</v>
      </c>
      <c r="V42" s="768" t="s">
        <v>17</v>
      </c>
      <c r="W42" s="769">
        <f t="shared" si="12"/>
        <v>100</v>
      </c>
      <c r="X42" s="1810"/>
      <c r="Y42" s="3161" t="s">
        <v>2550</v>
      </c>
      <c r="Z42" s="1811" t="str">
        <f t="shared" si="13"/>
        <v>工程地质条件</v>
      </c>
      <c r="AA42" s="1808">
        <f t="shared" si="3"/>
        <v>1</v>
      </c>
      <c r="AB42" s="1808">
        <f t="shared" si="4"/>
        <v>1</v>
      </c>
      <c r="AC42" s="1808">
        <f t="shared" si="5"/>
        <v>1</v>
      </c>
    </row>
    <row r="43" spans="1:29" ht="15" hidden="1">
      <c r="A43" s="468"/>
      <c r="B43" s="1384">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7"/>
      <c r="M43" s="1128"/>
      <c r="N43" s="1128"/>
      <c r="O43" s="1136"/>
      <c r="P43" s="3161"/>
      <c r="Q43" s="1807">
        <f t="shared" si="14"/>
        <v>111</v>
      </c>
      <c r="R43" s="768" t="s">
        <v>17</v>
      </c>
      <c r="S43" s="769">
        <f t="shared" si="10"/>
        <v>100</v>
      </c>
      <c r="T43" s="768" t="s">
        <v>17</v>
      </c>
      <c r="U43" s="769">
        <f t="shared" si="11"/>
        <v>100</v>
      </c>
      <c r="V43" s="768" t="s">
        <v>17</v>
      </c>
      <c r="W43" s="769">
        <f t="shared" si="12"/>
        <v>100</v>
      </c>
      <c r="X43" s="1810"/>
      <c r="Y43" s="3161"/>
      <c r="Z43" s="1811">
        <f t="shared" si="13"/>
        <v>111</v>
      </c>
      <c r="AA43" s="1808">
        <f t="shared" si="3"/>
        <v>1</v>
      </c>
      <c r="AB43" s="1808">
        <f t="shared" si="4"/>
        <v>1</v>
      </c>
      <c r="AC43" s="1808">
        <f t="shared" si="5"/>
        <v>1</v>
      </c>
    </row>
    <row r="44" spans="1:29" ht="15" hidden="1">
      <c r="A44" s="468"/>
      <c r="B44" s="1384">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7"/>
      <c r="M44" s="1128"/>
      <c r="N44" s="1128"/>
      <c r="O44" s="1136"/>
      <c r="P44" s="3161"/>
      <c r="Q44" s="1807">
        <f t="shared" si="14"/>
        <v>111</v>
      </c>
      <c r="R44" s="768" t="s">
        <v>17</v>
      </c>
      <c r="S44" s="769">
        <f t="shared" si="10"/>
        <v>100</v>
      </c>
      <c r="T44" s="768" t="s">
        <v>17</v>
      </c>
      <c r="U44" s="769">
        <f t="shared" si="11"/>
        <v>100</v>
      </c>
      <c r="V44" s="768" t="s">
        <v>17</v>
      </c>
      <c r="W44" s="769">
        <f t="shared" si="12"/>
        <v>100</v>
      </c>
      <c r="X44" s="1810"/>
      <c r="Y44" s="3161"/>
      <c r="Z44" s="1811">
        <f t="shared" si="13"/>
        <v>111</v>
      </c>
      <c r="AA44" s="1808">
        <f t="shared" si="3"/>
        <v>1</v>
      </c>
      <c r="AB44" s="1808">
        <f t="shared" si="4"/>
        <v>1</v>
      </c>
      <c r="AC44" s="1808">
        <f t="shared" si="5"/>
        <v>1</v>
      </c>
    </row>
    <row r="45" spans="1:29" s="467" customFormat="1" ht="15.75" hidden="1" thickBot="1">
      <c r="A45" s="464"/>
      <c r="B45" s="1384">
        <v>111</v>
      </c>
      <c r="C45" s="2699"/>
      <c r="D45" s="676">
        <v>100</v>
      </c>
      <c r="E45" s="670"/>
      <c r="F45" s="434">
        <f>SUMIF(131:131,E45,132:132)-SUMIF(131:131,C45,132:132)+100</f>
        <v>100</v>
      </c>
      <c r="G45" s="670"/>
      <c r="H45" s="434">
        <f>SUMIF(131:131,G45,132:132)-SUMIF(131:131,C45,132:132)+100</f>
        <v>100</v>
      </c>
      <c r="I45" s="670"/>
      <c r="J45" s="434">
        <f>SUMIF(131:131,I45,132:132)-SUMIF(131:131,C45,132:132)+100</f>
        <v>100</v>
      </c>
      <c r="K45" s="677"/>
      <c r="L45" s="1135"/>
      <c r="M45" s="1138"/>
      <c r="N45" s="1138"/>
      <c r="O45" s="1139"/>
      <c r="P45" s="3161"/>
      <c r="Q45" s="1807">
        <f t="shared" si="14"/>
        <v>111</v>
      </c>
      <c r="R45" s="771" t="s">
        <v>17</v>
      </c>
      <c r="S45" s="772">
        <f t="shared" si="10"/>
        <v>100</v>
      </c>
      <c r="T45" s="771" t="s">
        <v>17</v>
      </c>
      <c r="U45" s="772">
        <f t="shared" si="11"/>
        <v>100</v>
      </c>
      <c r="V45" s="771" t="s">
        <v>17</v>
      </c>
      <c r="W45" s="772">
        <f t="shared" si="12"/>
        <v>100</v>
      </c>
      <c r="X45" s="773"/>
      <c r="Y45" s="3161"/>
      <c r="Z45" s="774">
        <f t="shared" si="13"/>
        <v>111</v>
      </c>
      <c r="AA45" s="1808">
        <f t="shared" si="3"/>
        <v>1</v>
      </c>
      <c r="AB45" s="1808">
        <f t="shared" si="4"/>
        <v>1</v>
      </c>
      <c r="AC45" s="1808">
        <f t="shared" si="5"/>
        <v>1</v>
      </c>
    </row>
    <row r="46" spans="1:29" ht="15">
      <c r="A46" s="475" t="s">
        <v>2705</v>
      </c>
      <c r="B46" s="2700" t="s">
        <v>2741</v>
      </c>
      <c r="C46" s="678" t="s">
        <v>1</v>
      </c>
      <c r="D46" s="477"/>
      <c r="E46" s="478">
        <f>ROUND(土地案例!AG2,0)</f>
        <v>22025</v>
      </c>
      <c r="F46" s="479"/>
      <c r="G46" s="480">
        <f>ROUND(土地案例!AG3,0)</f>
        <v>21103</v>
      </c>
      <c r="H46" s="481"/>
      <c r="I46" s="478">
        <f>ROUND(土地案例!AG4,0)</f>
        <v>24837</v>
      </c>
      <c r="J46" s="481"/>
      <c r="K46" s="777"/>
      <c r="L46" s="1140"/>
      <c r="M46" s="3310">
        <v>20701</v>
      </c>
      <c r="N46" s="1128"/>
      <c r="O46" s="1141"/>
      <c r="P46" s="3154" t="str">
        <f>A46</f>
        <v>成交单价</v>
      </c>
      <c r="Q46" s="3154"/>
      <c r="R46" s="3185">
        <f>E46</f>
        <v>22025</v>
      </c>
      <c r="S46" s="3185"/>
      <c r="T46" s="3185">
        <f>G46</f>
        <v>21103</v>
      </c>
      <c r="U46" s="3185"/>
      <c r="V46" s="3185">
        <f>I46</f>
        <v>24837</v>
      </c>
      <c r="W46" s="3185"/>
      <c r="X46" s="753"/>
      <c r="Y46" s="775"/>
      <c r="Z46" s="753"/>
      <c r="AA46" s="753"/>
      <c r="AB46" s="753"/>
      <c r="AC46" s="753"/>
    </row>
    <row r="47" spans="1:29" ht="15.75" thickBot="1">
      <c r="A47" s="482" t="s">
        <v>2654</v>
      </c>
      <c r="B47" s="679"/>
      <c r="C47" s="486">
        <f>R48</f>
        <v>22486</v>
      </c>
      <c r="D47" s="485"/>
      <c r="E47" s="486">
        <f>R47</f>
        <v>22522</v>
      </c>
      <c r="F47" s="487"/>
      <c r="G47" s="484">
        <f>T47</f>
        <v>20538</v>
      </c>
      <c r="H47" s="485"/>
      <c r="I47" s="486">
        <f>V47</f>
        <v>24399</v>
      </c>
      <c r="J47" s="485"/>
      <c r="K47" s="778"/>
      <c r="L47" s="1140"/>
      <c r="M47" s="1141"/>
      <c r="N47" s="1141"/>
      <c r="O47" s="1141"/>
      <c r="P47" s="3154" t="str">
        <f>A47</f>
        <v>比较价值（元/平方米）</v>
      </c>
      <c r="Q47" s="3154"/>
      <c r="R47" s="3213">
        <f>ROUND(PRODUCT(R46,AA7:AA45),0)</f>
        <v>22522</v>
      </c>
      <c r="S47" s="3213"/>
      <c r="T47" s="3213">
        <f>ROUND(PRODUCT(T46,AB7:AB45),0)</f>
        <v>20538</v>
      </c>
      <c r="U47" s="3213"/>
      <c r="V47" s="3213">
        <f>ROUND(PRODUCT(V46,AC7:AC45),0)</f>
        <v>24399</v>
      </c>
      <c r="W47" s="3213"/>
      <c r="X47" s="753"/>
      <c r="Y47" s="753"/>
      <c r="Z47" s="753"/>
      <c r="AA47" s="753"/>
      <c r="AB47" s="753"/>
      <c r="AC47" s="753"/>
    </row>
    <row r="48" spans="1:29" ht="15.75" thickBot="1">
      <c r="A48" s="488" t="s">
        <v>2742</v>
      </c>
      <c r="B48" s="489"/>
      <c r="C48" s="490">
        <f>R48</f>
        <v>22486</v>
      </c>
      <c r="D48" s="490"/>
      <c r="E48" s="490"/>
      <c r="F48" s="490"/>
      <c r="G48" s="490"/>
      <c r="H48" s="490"/>
      <c r="I48" s="490"/>
      <c r="J48" s="490"/>
      <c r="K48" s="779"/>
      <c r="L48" s="1140"/>
      <c r="M48" s="1141"/>
      <c r="N48" s="1141"/>
      <c r="O48" s="1141"/>
      <c r="P48" s="3151" t="str">
        <f>A48</f>
        <v>估价对象XX用房的比较价值（楼面单价，元/平方米）</v>
      </c>
      <c r="Q48" s="3152"/>
      <c r="R48" s="3214">
        <f>ROUND(AVERAGE(R47:V47),0)</f>
        <v>22486</v>
      </c>
      <c r="S48" s="3214"/>
      <c r="T48" s="3214"/>
      <c r="U48" s="3214"/>
      <c r="V48" s="3214"/>
      <c r="W48" s="3214"/>
      <c r="X48" s="753"/>
      <c r="Y48" s="753"/>
      <c r="Z48" s="753"/>
      <c r="AA48" s="753"/>
      <c r="AB48" s="753"/>
      <c r="AC48" s="753"/>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3" t="s">
        <v>2656</v>
      </c>
      <c r="D51" s="494"/>
      <c r="E51" s="495">
        <f>IF(E46&lt;E47,E47/E46-1,E46/E47-1)</f>
        <v>2.2565266742338164E-2</v>
      </c>
      <c r="F51" s="496" t="str">
        <f>IF(OR(E51&gt;=0.3,E51&lt;=-0.3),"超过30%","")</f>
        <v/>
      </c>
      <c r="G51" s="495">
        <f>IF(G46&lt;G47,G47/G46-1,G46/G47-1)</f>
        <v>2.7509981497711555E-2</v>
      </c>
      <c r="H51" s="496" t="str">
        <f>IF(OR(G51&gt;=0.3,G51&lt;=-0.3),"超过30%","")</f>
        <v/>
      </c>
      <c r="I51" s="495">
        <f>IF(I46&lt;I47,I47/I46-1,I46/I47-1)</f>
        <v>1.7951555391614304E-2</v>
      </c>
      <c r="J51" s="496" t="str">
        <f>IF(OR(I51&gt;=0.3,I51&lt;=-0.3),"超过30%","")</f>
        <v/>
      </c>
      <c r="K51" s="1102"/>
      <c r="L51" s="1103"/>
      <c r="M51" s="1141"/>
      <c r="N51" s="1141"/>
      <c r="O51" s="1141"/>
    </row>
    <row r="52" spans="1:15" ht="13.5" customHeight="1">
      <c r="A52" s="1141"/>
      <c r="B52" s="1141"/>
      <c r="C52" s="493" t="s">
        <v>2657</v>
      </c>
      <c r="D52" s="497"/>
      <c r="E52" s="495">
        <f>IF(E47&lt;G47,G47/E47-1,E47/G47-1)</f>
        <v>9.6601421754795913E-2</v>
      </c>
      <c r="F52" s="496" t="str">
        <f>IF(OR(E52&gt;=0.2,E52&lt;=-0.2),"超过20%","")</f>
        <v/>
      </c>
      <c r="G52" s="495">
        <f>IF(G47&lt;I47,I47/G47-1,G47/I47-1)</f>
        <v>0.1879929886064855</v>
      </c>
      <c r="H52" s="496" t="str">
        <f>IF(OR(G52&gt;=0.2,G52&lt;=-0.2),"超过20%","")</f>
        <v/>
      </c>
      <c r="I52" s="495">
        <f>IF(I47&lt;E47,E47/I47-1,I47/E47-1)</f>
        <v>8.3340733505017361E-2</v>
      </c>
      <c r="J52" s="496" t="str">
        <f>IF(OR(I52&gt;=0.2,I52&lt;=-0.2),"超过20%","")</f>
        <v/>
      </c>
      <c r="K52" s="1102"/>
      <c r="L52" s="1103"/>
      <c r="M52" s="1141"/>
      <c r="N52" s="1141"/>
      <c r="O52" s="1141"/>
    </row>
    <row r="53" spans="1:15" s="498" customFormat="1" ht="13.5" customHeight="1">
      <c r="A53" s="1142"/>
      <c r="B53" s="1142"/>
      <c r="C53" s="493" t="s">
        <v>2658</v>
      </c>
      <c r="D53" s="497"/>
      <c r="E53" s="495">
        <f>IF(E46&lt;G46,G46/E46-1,E46/G46-1)</f>
        <v>4.3690470549210936E-2</v>
      </c>
      <c r="F53" s="496" t="str">
        <f>IF(OR(E53&gt;=0.3,E53&lt;=-0.3),"超过30%","")</f>
        <v/>
      </c>
      <c r="G53" s="495">
        <f>IF(G46&lt;I46,I46/G46-1,G46/I46-1)</f>
        <v>0.17694166706155512</v>
      </c>
      <c r="H53" s="496" t="str">
        <f>IF(OR(G53&gt;=0.3,G53&lt;=-0.3),"超过30%","")</f>
        <v/>
      </c>
      <c r="I53" s="495">
        <f>IF(I46&lt;E46,E46/I46-1,I46/E46-1)</f>
        <v>0.12767309875141875</v>
      </c>
      <c r="J53" s="496" t="str">
        <f>IF(OR(I53&gt;=0.3,I53&lt;=-0.3),"超过30%","")</f>
        <v/>
      </c>
      <c r="K53" s="1145"/>
      <c r="L53" s="1146"/>
      <c r="M53" s="1142"/>
      <c r="N53" s="1142"/>
      <c r="O53" s="1142"/>
    </row>
    <row r="54" spans="1:15" s="498" customFormat="1" ht="15" thickBot="1">
      <c r="A54" s="1142"/>
      <c r="B54" s="1143"/>
      <c r="C54" s="756"/>
      <c r="D54" s="754"/>
      <c r="E54" s="754"/>
      <c r="F54" s="754"/>
      <c r="G54" s="754"/>
      <c r="H54" s="754"/>
      <c r="I54" s="754"/>
      <c r="J54" s="754"/>
      <c r="K54" s="1145"/>
      <c r="L54" s="1146"/>
      <c r="M54" s="1142"/>
      <c r="N54" s="1142"/>
      <c r="O54" s="1142"/>
    </row>
    <row r="55" spans="1:15" ht="27" customHeight="1">
      <c r="A55" s="680" t="s">
        <v>2743</v>
      </c>
      <c r="B55" s="681" t="s">
        <v>2744</v>
      </c>
      <c r="C55" s="2701" t="s">
        <v>2745</v>
      </c>
      <c r="D55" s="2702" t="s">
        <v>2746</v>
      </c>
      <c r="E55" s="682" t="s">
        <v>2747</v>
      </c>
      <c r="F55" s="1104" t="s">
        <v>2748</v>
      </c>
      <c r="G55" s="3169" t="s">
        <v>2749</v>
      </c>
      <c r="H55" s="3215"/>
      <c r="I55" s="140" t="s">
        <v>2750</v>
      </c>
      <c r="J55" s="2703">
        <f>项目基本情况!F35</f>
        <v>0</v>
      </c>
      <c r="K55" s="2704" t="s">
        <v>2751</v>
      </c>
      <c r="L55" s="1103"/>
      <c r="M55" s="1141"/>
      <c r="N55" s="1141"/>
      <c r="O55" s="1141"/>
    </row>
    <row r="56" spans="1:15" s="688" customFormat="1">
      <c r="A56" s="684" t="s">
        <v>2752</v>
      </c>
      <c r="B56" s="685">
        <f>C48</f>
        <v>22486</v>
      </c>
      <c r="C56" s="686">
        <v>1</v>
      </c>
      <c r="D56" s="1160">
        <v>1</v>
      </c>
      <c r="E56" s="686">
        <f>'数据-汇总表'!E8+'数据-汇总表'!E9</f>
        <v>143507.00000000003</v>
      </c>
      <c r="F56" s="1100">
        <f t="shared" ref="F56:F65" si="15">ROUND(B56*E56/10000,0)</f>
        <v>322690</v>
      </c>
      <c r="G56" s="3165"/>
      <c r="H56" s="3154"/>
      <c r="I56" s="1105">
        <v>1</v>
      </c>
      <c r="J56" s="1108">
        <v>1</v>
      </c>
      <c r="K56" s="1142"/>
      <c r="L56" s="938"/>
      <c r="M56" s="938"/>
      <c r="N56" s="938"/>
      <c r="O56" s="938"/>
    </row>
    <row r="57" spans="1:15" s="688" customFormat="1">
      <c r="A57" s="689" t="s">
        <v>2753</v>
      </c>
      <c r="B57" s="258">
        <f>ROUND($C$48*C57*D57,0)</f>
        <v>3373</v>
      </c>
      <c r="C57" s="196">
        <f t="shared" ref="C57:C65" si="16">IF($C$55="北京市系数",I57,J57)</f>
        <v>0.6</v>
      </c>
      <c r="D57" s="1161">
        <v>0.25</v>
      </c>
      <c r="E57" s="690"/>
      <c r="F57" s="1100">
        <f t="shared" si="15"/>
        <v>0</v>
      </c>
      <c r="G57" s="3216" t="s">
        <v>2754</v>
      </c>
      <c r="H57" s="1101" t="str">
        <f>项目基本情况!B37</f>
        <v>九级</v>
      </c>
      <c r="I57" s="1105">
        <f>SUMIF(修正!A45:A56,H57,修正!B45:B56)</f>
        <v>0.6</v>
      </c>
      <c r="J57" s="1109"/>
      <c r="K57" s="1141"/>
      <c r="L57" s="938"/>
      <c r="M57" s="938"/>
      <c r="N57" s="938"/>
      <c r="O57" s="938"/>
    </row>
    <row r="58" spans="1:15" s="688" customFormat="1">
      <c r="A58" s="689" t="s">
        <v>2755</v>
      </c>
      <c r="B58" s="258">
        <f t="shared" ref="B58:B65" si="17">ROUND($C$48*C58*D58,0)</f>
        <v>1686</v>
      </c>
      <c r="C58" s="196">
        <f t="shared" si="16"/>
        <v>0.3</v>
      </c>
      <c r="D58" s="1161">
        <v>0.25</v>
      </c>
      <c r="E58" s="690"/>
      <c r="F58" s="1100">
        <f t="shared" si="15"/>
        <v>0</v>
      </c>
      <c r="G58" s="3216"/>
      <c r="H58" s="1101" t="str">
        <f>项目基本情况!B37</f>
        <v>九级</v>
      </c>
      <c r="I58" s="1105">
        <f>SUMIF(修正!A45:A56,H58,修正!C45:C56)</f>
        <v>0.3</v>
      </c>
      <c r="J58" s="1109"/>
      <c r="K58" s="1142"/>
      <c r="L58" s="938"/>
      <c r="M58" s="938"/>
      <c r="N58" s="938"/>
      <c r="O58" s="938"/>
    </row>
    <row r="59" spans="1:15" s="688" customFormat="1">
      <c r="A59" s="689" t="s">
        <v>2756</v>
      </c>
      <c r="B59" s="258">
        <f t="shared" si="17"/>
        <v>1124</v>
      </c>
      <c r="C59" s="196">
        <f t="shared" si="16"/>
        <v>0.2</v>
      </c>
      <c r="D59" s="1161">
        <v>0.25</v>
      </c>
      <c r="E59" s="690"/>
      <c r="F59" s="1100">
        <f t="shared" si="15"/>
        <v>0</v>
      </c>
      <c r="G59" s="3216"/>
      <c r="H59" s="1101" t="str">
        <f>项目基本情况!B37</f>
        <v>九级</v>
      </c>
      <c r="I59" s="1105">
        <f>SUMIF(修正!A45:A56,H59,修正!D45:D56)</f>
        <v>0.2</v>
      </c>
      <c r="J59" s="1109"/>
      <c r="K59" s="1141"/>
      <c r="L59" s="938"/>
      <c r="M59" s="938"/>
      <c r="N59" s="938"/>
      <c r="O59" s="938"/>
    </row>
    <row r="60" spans="1:15" s="688" customFormat="1">
      <c r="A60" s="689" t="s">
        <v>2757</v>
      </c>
      <c r="B60" s="258">
        <f t="shared" si="17"/>
        <v>1124</v>
      </c>
      <c r="C60" s="196">
        <f t="shared" si="16"/>
        <v>0.2</v>
      </c>
      <c r="D60" s="1161">
        <v>0.25</v>
      </c>
      <c r="E60" s="690"/>
      <c r="F60" s="1100">
        <f t="shared" si="15"/>
        <v>0</v>
      </c>
      <c r="G60" s="3216"/>
      <c r="H60" s="1101" t="str">
        <f>项目基本情况!B37</f>
        <v>九级</v>
      </c>
      <c r="I60" s="1105">
        <f>SUMIF(修正!A45:A56,H60,修正!E45:E56)</f>
        <v>0.2</v>
      </c>
      <c r="J60" s="1109"/>
      <c r="K60" s="1142"/>
      <c r="L60" s="938"/>
      <c r="M60" s="938"/>
      <c r="N60" s="938"/>
      <c r="O60" s="938"/>
    </row>
    <row r="61" spans="1:15" s="688" customFormat="1">
      <c r="A61" s="689" t="s">
        <v>2758</v>
      </c>
      <c r="B61" s="258">
        <f t="shared" si="17"/>
        <v>1124</v>
      </c>
      <c r="C61" s="196">
        <f t="shared" si="16"/>
        <v>0.2</v>
      </c>
      <c r="D61" s="1161">
        <v>0.25</v>
      </c>
      <c r="E61" s="257">
        <f>'数据-汇总表'!E11</f>
        <v>0</v>
      </c>
      <c r="F61" s="1100">
        <f t="shared" si="15"/>
        <v>0</v>
      </c>
      <c r="G61" s="2705" t="s">
        <v>2759</v>
      </c>
      <c r="H61" s="1101" t="str">
        <f>项目基本情况!C37</f>
        <v>九级</v>
      </c>
      <c r="I61" s="1105">
        <f>SUMIF(修正!A45:A56,H61,修正!F45:F56)</f>
        <v>0.2</v>
      </c>
      <c r="J61" s="1109"/>
      <c r="K61" s="1141"/>
      <c r="L61" s="938"/>
      <c r="M61" s="938"/>
      <c r="N61" s="938"/>
      <c r="O61" s="938"/>
    </row>
    <row r="62" spans="1:15" s="688" customFormat="1">
      <c r="A62" s="689" t="s">
        <v>2760</v>
      </c>
      <c r="B62" s="258">
        <f t="shared" si="17"/>
        <v>1124</v>
      </c>
      <c r="C62" s="196">
        <f t="shared" si="16"/>
        <v>0.2</v>
      </c>
      <c r="D62" s="1161">
        <v>0.25</v>
      </c>
      <c r="E62" s="257">
        <f>'数据-汇总表'!E12</f>
        <v>0</v>
      </c>
      <c r="F62" s="1100">
        <f t="shared" si="15"/>
        <v>0</v>
      </c>
      <c r="G62" s="1106" t="s">
        <v>2761</v>
      </c>
      <c r="H62" s="1101" t="str">
        <f>IF(G62="商业",项目基本情况!B37,IF(G62="办公",项目基本情况!C37,IF(G62="住宅",项目基本情况!D37,项目基本情况!E37)))</f>
        <v>九级</v>
      </c>
      <c r="I62" s="1105">
        <f>SUMIF(修正!A45:A56,H62,修正!G45:G56)</f>
        <v>0.2</v>
      </c>
      <c r="J62" s="1109"/>
      <c r="K62" s="1142"/>
      <c r="L62" s="938"/>
      <c r="M62" s="938"/>
      <c r="N62" s="938"/>
      <c r="O62" s="938"/>
    </row>
    <row r="63" spans="1:15" s="688" customFormat="1">
      <c r="A63" s="689" t="s">
        <v>2762</v>
      </c>
      <c r="B63" s="258">
        <f t="shared" si="17"/>
        <v>0</v>
      </c>
      <c r="C63" s="196">
        <f t="shared" si="16"/>
        <v>0</v>
      </c>
      <c r="D63" s="1161">
        <v>0.25</v>
      </c>
      <c r="E63" s="257">
        <f>'数据-汇总表'!E13</f>
        <v>0</v>
      </c>
      <c r="F63" s="1100">
        <f t="shared" si="15"/>
        <v>0</v>
      </c>
      <c r="G63" s="1106" t="s">
        <v>2763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8" customFormat="1">
      <c r="A64" s="689" t="s">
        <v>2764</v>
      </c>
      <c r="B64" s="258">
        <f t="shared" si="17"/>
        <v>843</v>
      </c>
      <c r="C64" s="196">
        <f t="shared" si="16"/>
        <v>0.15</v>
      </c>
      <c r="D64" s="1161">
        <v>0.25</v>
      </c>
      <c r="E64" s="257">
        <f>'数据-汇总表'!E14</f>
        <v>0</v>
      </c>
      <c r="F64" s="1100">
        <f t="shared" si="15"/>
        <v>0</v>
      </c>
      <c r="G64" s="2705" t="s">
        <v>2754</v>
      </c>
      <c r="H64" s="1101" t="str">
        <f>项目基本情况!B37</f>
        <v>九级</v>
      </c>
      <c r="I64" s="1105">
        <f>SUMIF(修正!A45:A56,H64,修正!H45:H56)</f>
        <v>0.15</v>
      </c>
      <c r="J64" s="1109"/>
      <c r="K64" s="1142"/>
      <c r="L64" s="938"/>
      <c r="M64" s="938"/>
      <c r="N64" s="938"/>
      <c r="O64" s="938"/>
    </row>
    <row r="65" spans="1:17" s="688" customFormat="1" ht="15" thickBot="1">
      <c r="A65" s="689" t="s">
        <v>2765</v>
      </c>
      <c r="B65" s="258">
        <f t="shared" si="17"/>
        <v>843</v>
      </c>
      <c r="C65" s="196">
        <f t="shared" si="16"/>
        <v>0.15</v>
      </c>
      <c r="D65" s="1161">
        <v>0.25</v>
      </c>
      <c r="E65" s="257">
        <f>'数据-汇总表'!E15</f>
        <v>35129</v>
      </c>
      <c r="F65" s="1100">
        <f t="shared" si="15"/>
        <v>2961</v>
      </c>
      <c r="G65" s="2706" t="s">
        <v>2759</v>
      </c>
      <c r="H65" s="1111" t="str">
        <f>项目基本情况!C37</f>
        <v>九级</v>
      </c>
      <c r="I65" s="1107">
        <f>SUMIF(修正!A45:A56,H65,修正!H45:H56)</f>
        <v>0.15</v>
      </c>
      <c r="J65" s="1110"/>
      <c r="K65" s="1141"/>
      <c r="L65" s="938"/>
      <c r="M65" s="938"/>
      <c r="N65" s="938"/>
      <c r="O65" s="938"/>
    </row>
    <row r="66" spans="1:17" s="688" customFormat="1" ht="13.5" thickBot="1">
      <c r="A66" s="691" t="s">
        <v>2766</v>
      </c>
      <c r="B66" s="692" t="s">
        <v>28</v>
      </c>
      <c r="C66" s="692" t="s">
        <v>29</v>
      </c>
      <c r="D66" s="692" t="s">
        <v>1029</v>
      </c>
      <c r="E66" s="692">
        <f>IF(B46="楼面地价",SUM(E56:E65),'数据-汇总表'!D3)</f>
        <v>178636.00000000003</v>
      </c>
      <c r="F66" s="693">
        <f>IF(B46="楼面地价",SUM(F56:F65),ROUND(C48*E66/10000,0))</f>
        <v>325651</v>
      </c>
      <c r="G66" s="781"/>
      <c r="H66" s="781"/>
      <c r="I66" s="781"/>
      <c r="J66" s="781"/>
      <c r="K66" s="1155"/>
      <c r="L66" s="938"/>
      <c r="M66" s="938"/>
      <c r="N66" s="938"/>
      <c r="O66" s="938"/>
    </row>
    <row r="67" spans="1:17">
      <c r="A67" s="753"/>
      <c r="B67" s="755"/>
      <c r="C67" s="756"/>
      <c r="D67" s="753"/>
      <c r="E67" s="753"/>
      <c r="F67" s="753"/>
      <c r="G67" s="753"/>
      <c r="H67" s="753"/>
      <c r="I67" s="753"/>
      <c r="J67" s="1141"/>
      <c r="K67" s="1102"/>
      <c r="L67" s="1103"/>
      <c r="M67" s="1141"/>
      <c r="N67" s="1141"/>
      <c r="O67" s="1141"/>
    </row>
    <row r="68" spans="1:17">
      <c r="A68" s="753"/>
      <c r="B68" s="755"/>
      <c r="C68" s="755" t="str">
        <f>YEAR(C7)&amp;"-"&amp;MONTH(C7)&amp;"-1"</f>
        <v>2018-5-1</v>
      </c>
      <c r="D68" s="755">
        <f>EDATE(C68,-3)</f>
        <v>43132</v>
      </c>
      <c r="E68" s="755">
        <f>EDATE(D68,-3)</f>
        <v>43040</v>
      </c>
      <c r="F68" s="755">
        <f t="shared" ref="F68:O68" si="18">EDATE(E68,-3)</f>
        <v>42948</v>
      </c>
      <c r="G68" s="755">
        <f t="shared" si="18"/>
        <v>42856</v>
      </c>
      <c r="H68" s="755">
        <f t="shared" si="18"/>
        <v>42767</v>
      </c>
      <c r="I68" s="755">
        <f t="shared" si="18"/>
        <v>42675</v>
      </c>
      <c r="J68" s="755">
        <f t="shared" si="18"/>
        <v>42583</v>
      </c>
      <c r="K68" s="755">
        <f t="shared" si="18"/>
        <v>42491</v>
      </c>
      <c r="L68" s="755">
        <f t="shared" si="18"/>
        <v>42401</v>
      </c>
      <c r="M68" s="755">
        <f t="shared" si="18"/>
        <v>42309</v>
      </c>
      <c r="N68" s="755">
        <f t="shared" si="18"/>
        <v>42217</v>
      </c>
      <c r="O68" s="755">
        <f t="shared" si="18"/>
        <v>42125</v>
      </c>
    </row>
    <row r="69" spans="1:17" ht="21.75" thickBot="1">
      <c r="A69" s="757" t="s">
        <v>2659</v>
      </c>
      <c r="B69" s="753"/>
      <c r="C69" s="758"/>
      <c r="D69" s="758"/>
      <c r="E69" s="758"/>
      <c r="F69" s="759"/>
      <c r="G69" s="759"/>
      <c r="H69" s="758"/>
      <c r="I69" s="758"/>
      <c r="J69" s="1156"/>
      <c r="K69" s="1157"/>
      <c r="L69" s="1158"/>
      <c r="M69" s="1156"/>
      <c r="N69" s="1156"/>
      <c r="O69" s="1156"/>
      <c r="P69" s="499"/>
      <c r="Q69" s="500"/>
    </row>
    <row r="70" spans="1:17" s="504" customFormat="1" ht="15">
      <c r="A70" s="2707" t="s">
        <v>2767</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3"/>
    </row>
    <row r="71" spans="1:17" s="114" customFormat="1" ht="30" customHeight="1">
      <c r="A71" s="2708" t="s">
        <v>3161</v>
      </c>
      <c r="B71" s="328" t="str">
        <f>"北京市平均增长率"&amp;TEXT(SUMIF(基准地价修正!N21:N25,A71,基准地价修正!P21:P25),"0.00%")</f>
        <v>北京市平均增长率2.27%</v>
      </c>
      <c r="C71" s="599">
        <v>100</v>
      </c>
      <c r="D71" s="591">
        <f>C71-0.5</f>
        <v>99.5</v>
      </c>
      <c r="E71" s="591">
        <f t="shared" ref="E71:M71" si="20">D71-0.5</f>
        <v>99</v>
      </c>
      <c r="F71" s="591">
        <f t="shared" si="20"/>
        <v>98.5</v>
      </c>
      <c r="G71" s="591">
        <f t="shared" si="20"/>
        <v>98</v>
      </c>
      <c r="H71" s="591">
        <f t="shared" si="20"/>
        <v>97.5</v>
      </c>
      <c r="I71" s="591">
        <f t="shared" si="20"/>
        <v>97</v>
      </c>
      <c r="J71" s="591">
        <f t="shared" si="20"/>
        <v>96.5</v>
      </c>
      <c r="K71" s="591">
        <f t="shared" si="20"/>
        <v>96</v>
      </c>
      <c r="L71" s="591">
        <f t="shared" si="20"/>
        <v>95.5</v>
      </c>
      <c r="M71" s="591">
        <f t="shared" si="20"/>
        <v>95</v>
      </c>
      <c r="N71" s="591"/>
      <c r="O71" s="1565"/>
      <c r="P71" s="500"/>
    </row>
    <row r="72" spans="1:17" s="114" customFormat="1" ht="15.75" thickBot="1">
      <c r="A72" s="511" t="s">
        <v>2570</v>
      </c>
      <c r="B72" s="512"/>
      <c r="C72" s="513"/>
      <c r="D72" s="514"/>
      <c r="E72" s="514"/>
      <c r="F72" s="514"/>
      <c r="G72" s="514"/>
      <c r="H72" s="514"/>
      <c r="I72" s="514"/>
      <c r="J72" s="514"/>
      <c r="K72" s="514"/>
      <c r="L72" s="514"/>
      <c r="M72" s="515"/>
      <c r="N72" s="514"/>
      <c r="O72" s="1159"/>
      <c r="P72" s="500"/>
      <c r="Q72" s="500"/>
    </row>
    <row r="73" spans="1:17" s="114" customFormat="1" ht="15">
      <c r="A73" s="517" t="s">
        <v>2535</v>
      </c>
      <c r="B73" s="506"/>
      <c r="C73" s="518" t="s">
        <v>2637</v>
      </c>
      <c r="D73" s="519"/>
      <c r="E73" s="519"/>
      <c r="F73" s="519"/>
      <c r="G73" s="519"/>
      <c r="H73" s="519"/>
      <c r="I73" s="519"/>
      <c r="J73" s="519"/>
      <c r="K73" s="519"/>
      <c r="L73" s="520"/>
      <c r="M73" s="521"/>
      <c r="N73" s="1148"/>
      <c r="O73" s="1148"/>
      <c r="P73" s="522"/>
      <c r="Q73" s="500"/>
    </row>
    <row r="74" spans="1:17" s="114" customFormat="1" ht="15.75" thickBot="1">
      <c r="A74" s="517"/>
      <c r="B74" s="506"/>
      <c r="C74" s="635">
        <v>100</v>
      </c>
      <c r="D74" s="508"/>
      <c r="E74" s="508"/>
      <c r="F74" s="508"/>
      <c r="G74" s="508"/>
      <c r="H74" s="508"/>
      <c r="I74" s="508"/>
      <c r="J74" s="508"/>
      <c r="K74" s="508"/>
      <c r="L74" s="508"/>
      <c r="M74" s="510"/>
      <c r="N74" s="1148"/>
      <c r="O74" s="1148"/>
      <c r="P74" s="500"/>
      <c r="Q74" s="500"/>
    </row>
    <row r="75" spans="1:17">
      <c r="A75" s="523" t="s">
        <v>2573</v>
      </c>
      <c r="B75" s="524" t="s">
        <v>2539</v>
      </c>
      <c r="C75" s="3286" t="s">
        <v>3158</v>
      </c>
      <c r="D75" s="526"/>
      <c r="E75" s="526"/>
      <c r="F75" s="526"/>
      <c r="G75" s="526"/>
      <c r="H75" s="526"/>
      <c r="I75" s="526"/>
      <c r="J75" s="526"/>
      <c r="K75" s="527"/>
      <c r="L75" s="528"/>
      <c r="M75" s="529"/>
      <c r="N75" s="1149"/>
      <c r="O75" s="1149"/>
      <c r="P75" s="45"/>
      <c r="Q75" s="500"/>
    </row>
    <row r="76" spans="1:17" ht="15.75" thickBot="1">
      <c r="A76" s="530"/>
      <c r="B76" s="531"/>
      <c r="C76" s="532">
        <v>100</v>
      </c>
      <c r="D76" s="532"/>
      <c r="E76" s="532"/>
      <c r="F76" s="532"/>
      <c r="G76" s="532"/>
      <c r="H76" s="532"/>
      <c r="I76" s="532"/>
      <c r="J76" s="532"/>
      <c r="K76" s="532"/>
      <c r="L76" s="532"/>
      <c r="M76" s="533"/>
      <c r="N76" s="1150"/>
      <c r="O76" s="1150"/>
      <c r="P76" s="45"/>
      <c r="Q76" s="500"/>
    </row>
    <row r="77" spans="1:17" ht="27.75" thickTop="1">
      <c r="A77" s="530"/>
      <c r="B77" s="534" t="s">
        <v>2542</v>
      </c>
      <c r="C77" s="535"/>
      <c r="D77" s="535"/>
      <c r="E77" s="535"/>
      <c r="F77" s="535"/>
      <c r="G77" s="535"/>
      <c r="H77" s="535"/>
      <c r="I77" s="535"/>
      <c r="J77" s="535"/>
      <c r="K77" s="536"/>
      <c r="L77" s="537"/>
      <c r="M77" s="538"/>
      <c r="N77" s="1149"/>
      <c r="O77" s="1149"/>
      <c r="P77" s="45"/>
      <c r="Q77" s="500"/>
    </row>
    <row r="78" spans="1:17" ht="15.75" thickBot="1">
      <c r="A78" s="530"/>
      <c r="B78" s="539"/>
      <c r="C78" s="540"/>
      <c r="D78" s="540"/>
      <c r="E78" s="540"/>
      <c r="F78" s="540"/>
      <c r="G78" s="540"/>
      <c r="H78" s="540"/>
      <c r="I78" s="540"/>
      <c r="J78" s="540"/>
      <c r="K78" s="540"/>
      <c r="L78" s="540"/>
      <c r="M78" s="541"/>
      <c r="N78" s="1150"/>
      <c r="O78" s="1150"/>
      <c r="P78" s="45"/>
      <c r="Q78" s="500"/>
    </row>
    <row r="79" spans="1:17" ht="15.75" thickTop="1">
      <c r="A79" s="530"/>
      <c r="B79" s="542" t="s">
        <v>2543</v>
      </c>
      <c r="C79" s="543" t="str">
        <f>C80&amp;"（含）"&amp;"-"&amp;D80</f>
        <v>0（含）-1</v>
      </c>
      <c r="D79" s="543" t="str">
        <f t="shared" ref="D79:L79" si="21">D80&amp;"（含）"&amp;"-"&amp;E80</f>
        <v>1（含）-2</v>
      </c>
      <c r="E79" s="543" t="str">
        <f t="shared" si="21"/>
        <v>2（含）-3</v>
      </c>
      <c r="F79" s="543" t="str">
        <f t="shared" si="21"/>
        <v>3（含）-4</v>
      </c>
      <c r="G79" s="543" t="str">
        <f t="shared" si="21"/>
        <v>4（含）-</v>
      </c>
      <c r="H79" s="543" t="str">
        <f t="shared" si="21"/>
        <v>（含）-</v>
      </c>
      <c r="I79" s="543" t="str">
        <f t="shared" si="21"/>
        <v>（含）-</v>
      </c>
      <c r="J79" s="543" t="str">
        <f t="shared" si="21"/>
        <v>（含）-</v>
      </c>
      <c r="K79" s="543" t="str">
        <f t="shared" si="21"/>
        <v>（含）-</v>
      </c>
      <c r="L79" s="543" t="str">
        <f t="shared" si="21"/>
        <v>（含）-</v>
      </c>
      <c r="M79" s="444" t="str">
        <f>M80&amp;"（含）"&amp;"-"&amp;P80</f>
        <v>（含）-</v>
      </c>
      <c r="N79" s="1150"/>
      <c r="O79" s="1150"/>
      <c r="P79" s="45"/>
      <c r="Q79" s="500"/>
    </row>
    <row r="80" spans="1:17" ht="15">
      <c r="A80" s="530"/>
      <c r="B80" s="544"/>
      <c r="C80" s="545">
        <v>0</v>
      </c>
      <c r="D80" s="545">
        <v>1</v>
      </c>
      <c r="E80" s="545">
        <v>2</v>
      </c>
      <c r="F80" s="545">
        <v>3</v>
      </c>
      <c r="G80" s="545">
        <v>4</v>
      </c>
      <c r="H80" s="545"/>
      <c r="I80" s="545"/>
      <c r="J80" s="545"/>
      <c r="K80" s="546"/>
      <c r="L80" s="547"/>
      <c r="M80" s="548"/>
      <c r="N80" s="1149"/>
      <c r="O80" s="1149"/>
      <c r="P80" s="45"/>
      <c r="Q80" s="500"/>
    </row>
    <row r="81" spans="1:17" ht="15.75" thickBot="1">
      <c r="A81" s="530"/>
      <c r="B81" s="531"/>
      <c r="C81" s="540">
        <v>100</v>
      </c>
      <c r="D81" s="540">
        <f t="shared" ref="D81:M81" si="22">IF($B$46="单位面积地价",C81+$K11,C81-$K11)</f>
        <v>99</v>
      </c>
      <c r="E81" s="540">
        <f t="shared" si="22"/>
        <v>98</v>
      </c>
      <c r="F81" s="540">
        <f t="shared" si="22"/>
        <v>97</v>
      </c>
      <c r="G81" s="540">
        <f t="shared" si="22"/>
        <v>96</v>
      </c>
      <c r="H81" s="540">
        <f t="shared" si="22"/>
        <v>95</v>
      </c>
      <c r="I81" s="540">
        <f t="shared" si="22"/>
        <v>94</v>
      </c>
      <c r="J81" s="540">
        <f t="shared" si="22"/>
        <v>93</v>
      </c>
      <c r="K81" s="540">
        <f t="shared" si="22"/>
        <v>92</v>
      </c>
      <c r="L81" s="540">
        <f t="shared" si="22"/>
        <v>91</v>
      </c>
      <c r="M81" s="540">
        <f t="shared" si="22"/>
        <v>90</v>
      </c>
      <c r="N81" s="1150"/>
      <c r="O81" s="1150"/>
      <c r="P81" s="45"/>
      <c r="Q81" s="500"/>
    </row>
    <row r="82" spans="1:17" s="467" customFormat="1" ht="15.75" thickTop="1">
      <c r="A82" s="549"/>
      <c r="B82" s="534" t="str">
        <f>B12</f>
        <v>配建</v>
      </c>
      <c r="C82" s="550"/>
      <c r="D82" s="550"/>
      <c r="E82" s="550"/>
      <c r="F82" s="550"/>
      <c r="G82" s="550"/>
      <c r="H82" s="551"/>
      <c r="I82" s="551"/>
      <c r="J82" s="551"/>
      <c r="K82" s="551"/>
      <c r="L82" s="552"/>
      <c r="M82" s="553"/>
      <c r="N82" s="1151"/>
      <c r="O82" s="1151"/>
      <c r="P82" s="554"/>
      <c r="Q82" s="555"/>
    </row>
    <row r="83" spans="1:17" s="467" customFormat="1" ht="15.75" thickBot="1">
      <c r="A83" s="549"/>
      <c r="B83" s="539"/>
      <c r="C83" s="556"/>
      <c r="D83" s="532"/>
      <c r="E83" s="532"/>
      <c r="F83" s="532"/>
      <c r="G83" s="532"/>
      <c r="H83" s="532"/>
      <c r="I83" s="532"/>
      <c r="J83" s="532"/>
      <c r="K83" s="532"/>
      <c r="L83" s="532"/>
      <c r="M83" s="533"/>
      <c r="N83" s="1150"/>
      <c r="O83" s="1150"/>
      <c r="P83" s="554"/>
      <c r="Q83" s="555"/>
    </row>
    <row r="84" spans="1:17" s="467" customFormat="1" ht="15.75" thickTop="1">
      <c r="A84" s="549"/>
      <c r="B84" s="534">
        <f>B13</f>
        <v>111</v>
      </c>
      <c r="C84" s="550"/>
      <c r="D84" s="550"/>
      <c r="E84" s="550"/>
      <c r="F84" s="550"/>
      <c r="G84" s="550"/>
      <c r="H84" s="551"/>
      <c r="I84" s="551"/>
      <c r="J84" s="551"/>
      <c r="K84" s="551"/>
      <c r="L84" s="552"/>
      <c r="M84" s="553"/>
      <c r="N84" s="1151"/>
      <c r="O84" s="1151"/>
      <c r="P84" s="466"/>
      <c r="Q84" s="557"/>
    </row>
    <row r="85" spans="1:17" s="467" customFormat="1" ht="15.75" thickBot="1">
      <c r="A85" s="549"/>
      <c r="B85" s="539"/>
      <c r="C85" s="556"/>
      <c r="D85" s="556"/>
      <c r="E85" s="556"/>
      <c r="F85" s="556"/>
      <c r="G85" s="556"/>
      <c r="H85" s="558"/>
      <c r="I85" s="558"/>
      <c r="J85" s="558"/>
      <c r="K85" s="558"/>
      <c r="L85" s="558"/>
      <c r="M85" s="559"/>
      <c r="N85" s="1151"/>
      <c r="O85" s="1151"/>
      <c r="P85" s="554"/>
      <c r="Q85" s="555"/>
    </row>
    <row r="86" spans="1:17" s="467" customFormat="1" ht="15.75" thickTop="1">
      <c r="A86" s="549"/>
      <c r="B86" s="542">
        <f>B14</f>
        <v>111</v>
      </c>
      <c r="C86" s="519"/>
      <c r="D86" s="519"/>
      <c r="E86" s="519"/>
      <c r="F86" s="519"/>
      <c r="G86" s="519"/>
      <c r="H86" s="560"/>
      <c r="I86" s="560"/>
      <c r="J86" s="560"/>
      <c r="K86" s="560"/>
      <c r="L86" s="561"/>
      <c r="M86" s="562"/>
      <c r="N86" s="1151"/>
      <c r="O86" s="1151"/>
      <c r="P86" s="563"/>
      <c r="Q86" s="555"/>
    </row>
    <row r="87" spans="1:17" s="467" customFormat="1" ht="15.75" thickBot="1">
      <c r="A87" s="564"/>
      <c r="B87" s="565"/>
      <c r="C87" s="566"/>
      <c r="D87" s="566"/>
      <c r="E87" s="566"/>
      <c r="F87" s="566"/>
      <c r="G87" s="566"/>
      <c r="H87" s="567"/>
      <c r="I87" s="567"/>
      <c r="J87" s="567"/>
      <c r="K87" s="567"/>
      <c r="L87" s="567"/>
      <c r="M87" s="568"/>
      <c r="N87" s="1151"/>
      <c r="O87" s="1151"/>
      <c r="P87" s="554"/>
      <c r="Q87" s="555"/>
    </row>
    <row r="88" spans="1:17">
      <c r="A88" s="523" t="s">
        <v>2544</v>
      </c>
      <c r="B88" s="524" t="s">
        <v>2581</v>
      </c>
      <c r="C88" s="569" t="s">
        <v>2582</v>
      </c>
      <c r="D88" s="569" t="s">
        <v>2583</v>
      </c>
      <c r="E88" s="569" t="s">
        <v>2584</v>
      </c>
      <c r="F88" s="569" t="s">
        <v>2585</v>
      </c>
      <c r="G88" s="569" t="s">
        <v>2586</v>
      </c>
      <c r="H88" s="525"/>
      <c r="I88" s="525"/>
      <c r="J88" s="525"/>
      <c r="K88" s="570"/>
      <c r="L88" s="571"/>
      <c r="M88" s="572"/>
      <c r="N88" s="1149"/>
      <c r="O88" s="1149"/>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0"/>
      <c r="O89" s="1150"/>
      <c r="P89" s="45"/>
      <c r="Q89" s="500"/>
    </row>
    <row r="90" spans="1:17" ht="15.75" thickTop="1">
      <c r="A90" s="530"/>
      <c r="B90" s="534" t="s">
        <v>2768</v>
      </c>
      <c r="C90" s="574" t="s">
        <v>2582</v>
      </c>
      <c r="D90" s="574" t="s">
        <v>2583</v>
      </c>
      <c r="E90" s="574" t="s">
        <v>2584</v>
      </c>
      <c r="F90" s="574" t="s">
        <v>2585</v>
      </c>
      <c r="G90" s="574" t="s">
        <v>2586</v>
      </c>
      <c r="H90" s="535"/>
      <c r="I90" s="535"/>
      <c r="J90" s="535"/>
      <c r="K90" s="536"/>
      <c r="L90" s="537"/>
      <c r="M90" s="538"/>
      <c r="N90" s="1149"/>
      <c r="O90" s="1149"/>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0"/>
      <c r="O91" s="1150"/>
      <c r="P91" s="45"/>
      <c r="Q91" s="500"/>
    </row>
    <row r="92" spans="1:17" ht="15.75" thickTop="1">
      <c r="A92" s="530"/>
      <c r="B92" s="534" t="s">
        <v>2682</v>
      </c>
      <c r="C92" s="574" t="s">
        <v>2582</v>
      </c>
      <c r="D92" s="574" t="s">
        <v>2583</v>
      </c>
      <c r="E92" s="574" t="s">
        <v>2584</v>
      </c>
      <c r="F92" s="574" t="s">
        <v>2585</v>
      </c>
      <c r="G92" s="574" t="s">
        <v>2586</v>
      </c>
      <c r="H92" s="535"/>
      <c r="I92" s="535"/>
      <c r="J92" s="535"/>
      <c r="K92" s="536"/>
      <c r="L92" s="537"/>
      <c r="M92" s="538"/>
      <c r="N92" s="1149"/>
      <c r="O92" s="1149"/>
      <c r="P92" s="45"/>
      <c r="Q92" s="500"/>
    </row>
    <row r="93" spans="1:17" ht="15.75" thickBot="1">
      <c r="A93" s="530"/>
      <c r="B93" s="539"/>
      <c r="C93" s="540">
        <v>100</v>
      </c>
      <c r="D93" s="540">
        <f>C93-$K19</f>
        <v>98</v>
      </c>
      <c r="E93" s="540">
        <f>D93-$K19</f>
        <v>96</v>
      </c>
      <c r="F93" s="540">
        <f>E93-$K19</f>
        <v>94</v>
      </c>
      <c r="G93" s="540">
        <f>F93-$K19</f>
        <v>92</v>
      </c>
      <c r="H93" s="540"/>
      <c r="I93" s="540"/>
      <c r="J93" s="540"/>
      <c r="K93" s="540"/>
      <c r="L93" s="540"/>
      <c r="M93" s="541"/>
      <c r="N93" s="1150"/>
      <c r="O93" s="1150"/>
      <c r="P93" s="45"/>
      <c r="Q93" s="500"/>
    </row>
    <row r="94" spans="1:17" ht="15.75" thickTop="1">
      <c r="A94" s="530"/>
      <c r="B94" s="534" t="s">
        <v>2587</v>
      </c>
      <c r="C94" s="574" t="s">
        <v>2582</v>
      </c>
      <c r="D94" s="574" t="s">
        <v>2583</v>
      </c>
      <c r="E94" s="574" t="s">
        <v>2584</v>
      </c>
      <c r="F94" s="574" t="s">
        <v>2585</v>
      </c>
      <c r="G94" s="574" t="s">
        <v>2586</v>
      </c>
      <c r="H94" s="535"/>
      <c r="I94" s="535"/>
      <c r="J94" s="535"/>
      <c r="K94" s="536"/>
      <c r="L94" s="537"/>
      <c r="M94" s="538"/>
      <c r="N94" s="1149"/>
      <c r="O94" s="1149"/>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0"/>
      <c r="O95" s="1150"/>
      <c r="P95" s="45"/>
      <c r="Q95" s="500"/>
    </row>
    <row r="96" spans="1:17" s="114" customFormat="1" ht="15.75" thickTop="1">
      <c r="A96" s="575"/>
      <c r="B96" s="534" t="s">
        <v>2769</v>
      </c>
      <c r="C96" s="574" t="s">
        <v>2582</v>
      </c>
      <c r="D96" s="574" t="s">
        <v>2583</v>
      </c>
      <c r="E96" s="574" t="s">
        <v>2584</v>
      </c>
      <c r="F96" s="574" t="s">
        <v>2585</v>
      </c>
      <c r="G96" s="574" t="s">
        <v>2586</v>
      </c>
      <c r="H96" s="574"/>
      <c r="I96" s="574"/>
      <c r="J96" s="574"/>
      <c r="K96" s="574"/>
      <c r="L96" s="694"/>
      <c r="M96" s="618"/>
      <c r="N96" s="1148"/>
      <c r="O96" s="1148"/>
      <c r="P96" s="45"/>
      <c r="Q96" s="500"/>
    </row>
    <row r="97" spans="1:17" s="114" customFormat="1" ht="15.75" thickBot="1">
      <c r="A97" s="575"/>
      <c r="B97" s="539"/>
      <c r="C97" s="578">
        <v>100</v>
      </c>
      <c r="D97" s="540">
        <f>C97-$K23</f>
        <v>99</v>
      </c>
      <c r="E97" s="540">
        <f>D97-$K23</f>
        <v>98</v>
      </c>
      <c r="F97" s="540">
        <f>E97-$K23</f>
        <v>97</v>
      </c>
      <c r="G97" s="540">
        <f>F97-$K23</f>
        <v>96</v>
      </c>
      <c r="H97" s="540"/>
      <c r="I97" s="540"/>
      <c r="J97" s="540"/>
      <c r="K97" s="540"/>
      <c r="L97" s="540"/>
      <c r="M97" s="541"/>
      <c r="N97" s="1150"/>
      <c r="O97" s="1150"/>
      <c r="P97" s="45"/>
      <c r="Q97" s="500"/>
    </row>
    <row r="98" spans="1:17" s="114" customFormat="1" ht="27.75" thickTop="1">
      <c r="A98" s="575"/>
      <c r="B98" s="534" t="s">
        <v>2770</v>
      </c>
      <c r="C98" s="569" t="s">
        <v>2582</v>
      </c>
      <c r="D98" s="569" t="s">
        <v>2583</v>
      </c>
      <c r="E98" s="569" t="s">
        <v>2584</v>
      </c>
      <c r="F98" s="569" t="s">
        <v>2585</v>
      </c>
      <c r="G98" s="569" t="s">
        <v>2586</v>
      </c>
      <c r="H98" s="574"/>
      <c r="I98" s="574"/>
      <c r="J98" s="574"/>
      <c r="K98" s="574"/>
      <c r="L98" s="574"/>
      <c r="M98" s="618"/>
      <c r="N98" s="1148"/>
      <c r="O98" s="1148"/>
      <c r="P98" s="45"/>
      <c r="Q98" s="500"/>
    </row>
    <row r="99" spans="1:17" s="114" customFormat="1" ht="15.75" thickBot="1">
      <c r="A99" s="575"/>
      <c r="B99" s="539"/>
      <c r="C99" s="540">
        <v>100</v>
      </c>
      <c r="D99" s="540">
        <f>C99-$K25</f>
        <v>98</v>
      </c>
      <c r="E99" s="540">
        <f>D99-$K25</f>
        <v>96</v>
      </c>
      <c r="F99" s="540">
        <f>E99-$K25</f>
        <v>94</v>
      </c>
      <c r="G99" s="540">
        <f>F99-$K25</f>
        <v>92</v>
      </c>
      <c r="H99" s="540"/>
      <c r="I99" s="540"/>
      <c r="J99" s="540"/>
      <c r="K99" s="540"/>
      <c r="L99" s="540"/>
      <c r="M99" s="541"/>
      <c r="N99" s="1150"/>
      <c r="O99" s="1150"/>
      <c r="P99" s="45"/>
      <c r="Q99" s="500"/>
    </row>
    <row r="100" spans="1:17" s="467" customFormat="1" ht="15.75" thickTop="1">
      <c r="A100" s="549"/>
      <c r="B100" s="534" t="s">
        <v>2639</v>
      </c>
      <c r="C100" s="569" t="s">
        <v>2582</v>
      </c>
      <c r="D100" s="569" t="s">
        <v>2583</v>
      </c>
      <c r="E100" s="569" t="s">
        <v>2584</v>
      </c>
      <c r="F100" s="569" t="s">
        <v>2585</v>
      </c>
      <c r="G100" s="569" t="s">
        <v>2586</v>
      </c>
      <c r="H100" s="596"/>
      <c r="I100" s="596"/>
      <c r="J100" s="596"/>
      <c r="K100" s="596"/>
      <c r="L100" s="597"/>
      <c r="M100" s="598"/>
      <c r="N100" s="1151"/>
      <c r="O100" s="1151"/>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1"/>
      <c r="O101" s="1151"/>
      <c r="P101" s="554"/>
      <c r="Q101" s="555"/>
    </row>
    <row r="102" spans="1:17" s="467" customFormat="1" ht="15.75" thickTop="1">
      <c r="A102" s="549"/>
      <c r="B102" s="542" t="s">
        <v>2640</v>
      </c>
      <c r="C102" s="656" t="s">
        <v>2660</v>
      </c>
      <c r="D102" s="656" t="s">
        <v>2661</v>
      </c>
      <c r="E102" s="656" t="s">
        <v>2662</v>
      </c>
      <c r="F102" s="656" t="s">
        <v>2663</v>
      </c>
      <c r="G102" s="656" t="s">
        <v>2664</v>
      </c>
      <c r="H102" s="596"/>
      <c r="I102" s="596"/>
      <c r="J102" s="596"/>
      <c r="K102" s="596"/>
      <c r="L102" s="596"/>
      <c r="M102" s="1382"/>
      <c r="N102" s="1151"/>
      <c r="O102" s="1151"/>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2"/>
      <c r="N103" s="1151"/>
      <c r="O103" s="1151"/>
      <c r="P103" s="554"/>
      <c r="Q103" s="555"/>
    </row>
    <row r="104" spans="1:17" ht="15.75" thickTop="1">
      <c r="A104" s="530"/>
      <c r="B104" s="534" t="str">
        <f>B31</f>
        <v>临街状况</v>
      </c>
      <c r="C104" s="535" t="s">
        <v>2771</v>
      </c>
      <c r="D104" s="535" t="s">
        <v>2772</v>
      </c>
      <c r="E104" s="535" t="s">
        <v>2773</v>
      </c>
      <c r="F104" s="535" t="s">
        <v>2774</v>
      </c>
      <c r="G104" s="535"/>
      <c r="H104" s="535"/>
      <c r="I104" s="535"/>
      <c r="J104" s="535"/>
      <c r="K104" s="536"/>
      <c r="L104" s="537"/>
      <c r="M104" s="538"/>
      <c r="N104" s="1149"/>
      <c r="O104" s="1149"/>
      <c r="P104" s="45"/>
      <c r="Q104" s="500"/>
    </row>
    <row r="105" spans="1:17" ht="15.75" thickBot="1">
      <c r="A105" s="530"/>
      <c r="B105" s="539"/>
      <c r="C105" s="540">
        <v>100</v>
      </c>
      <c r="D105" s="540">
        <f>C105-$K31</f>
        <v>99</v>
      </c>
      <c r="E105" s="540">
        <f t="shared" ref="E105:M105" si="23">D105-$K31</f>
        <v>98</v>
      </c>
      <c r="F105" s="540">
        <f t="shared" si="23"/>
        <v>97</v>
      </c>
      <c r="G105" s="540">
        <f t="shared" si="23"/>
        <v>96</v>
      </c>
      <c r="H105" s="540">
        <f t="shared" si="23"/>
        <v>95</v>
      </c>
      <c r="I105" s="540">
        <f t="shared" si="23"/>
        <v>94</v>
      </c>
      <c r="J105" s="540">
        <f t="shared" si="23"/>
        <v>93</v>
      </c>
      <c r="K105" s="540">
        <f t="shared" si="23"/>
        <v>92</v>
      </c>
      <c r="L105" s="540">
        <f t="shared" si="23"/>
        <v>91</v>
      </c>
      <c r="M105" s="540">
        <f t="shared" si="23"/>
        <v>90</v>
      </c>
      <c r="N105" s="1150"/>
      <c r="O105" s="1150"/>
      <c r="P105" s="45"/>
      <c r="Q105" s="500"/>
    </row>
    <row r="106" spans="1:17" ht="27.75" thickTop="1">
      <c r="A106" s="530"/>
      <c r="B106" s="534" t="s">
        <v>2676</v>
      </c>
      <c r="C106" s="3287" t="s">
        <v>3162</v>
      </c>
      <c r="D106" s="3287" t="s">
        <v>3163</v>
      </c>
      <c r="E106" s="3287" t="s">
        <v>3164</v>
      </c>
      <c r="F106" s="3287" t="s">
        <v>3165</v>
      </c>
      <c r="G106" s="3287" t="s">
        <v>3166</v>
      </c>
      <c r="H106" s="3288" t="s">
        <v>3167</v>
      </c>
      <c r="I106" s="579"/>
      <c r="J106" s="579"/>
      <c r="K106" s="580"/>
      <c r="L106" s="581"/>
      <c r="M106" s="582"/>
      <c r="N106" s="1149"/>
      <c r="O106" s="1149"/>
      <c r="P106" s="45"/>
      <c r="Q106" s="500"/>
    </row>
    <row r="107" spans="1:17" ht="15.75" thickBot="1">
      <c r="A107" s="530"/>
      <c r="B107" s="539"/>
      <c r="C107" s="540">
        <v>100</v>
      </c>
      <c r="D107" s="540">
        <f>C107-$K32</f>
        <v>99</v>
      </c>
      <c r="E107" s="540">
        <f t="shared" ref="E107:M107" si="24">D107-$K32</f>
        <v>98</v>
      </c>
      <c r="F107" s="540">
        <f t="shared" si="24"/>
        <v>97</v>
      </c>
      <c r="G107" s="540">
        <f t="shared" si="24"/>
        <v>96</v>
      </c>
      <c r="H107" s="540">
        <f t="shared" si="24"/>
        <v>95</v>
      </c>
      <c r="I107" s="540">
        <f t="shared" si="24"/>
        <v>94</v>
      </c>
      <c r="J107" s="540">
        <f t="shared" si="24"/>
        <v>93</v>
      </c>
      <c r="K107" s="540">
        <f t="shared" si="24"/>
        <v>92</v>
      </c>
      <c r="L107" s="540">
        <f t="shared" si="24"/>
        <v>91</v>
      </c>
      <c r="M107" s="540">
        <f t="shared" si="24"/>
        <v>90</v>
      </c>
      <c r="N107" s="1150"/>
      <c r="O107" s="1150"/>
      <c r="P107" s="45"/>
      <c r="Q107" s="500"/>
    </row>
    <row r="108" spans="1:17" ht="15.75" thickTop="1">
      <c r="A108" s="530"/>
      <c r="B108" s="534" t="s">
        <v>2735</v>
      </c>
      <c r="C108" s="579"/>
      <c r="D108" s="579"/>
      <c r="E108" s="579"/>
      <c r="F108" s="579"/>
      <c r="G108" s="579"/>
      <c r="H108" s="579"/>
      <c r="I108" s="579"/>
      <c r="J108" s="579"/>
      <c r="K108" s="580"/>
      <c r="L108" s="581"/>
      <c r="M108" s="582"/>
      <c r="N108" s="1149"/>
      <c r="O108" s="1149"/>
      <c r="P108" s="45"/>
      <c r="Q108" s="500"/>
    </row>
    <row r="109" spans="1:17" ht="15.75" thickBot="1">
      <c r="A109" s="530"/>
      <c r="B109" s="539"/>
      <c r="C109" s="540">
        <v>100</v>
      </c>
      <c r="D109" s="540">
        <f>C109-$K34</f>
        <v>100</v>
      </c>
      <c r="E109" s="540">
        <f t="shared" ref="E109:M109" si="25">D109-$K34</f>
        <v>100</v>
      </c>
      <c r="F109" s="540">
        <f t="shared" si="25"/>
        <v>100</v>
      </c>
      <c r="G109" s="540">
        <f t="shared" si="25"/>
        <v>100</v>
      </c>
      <c r="H109" s="540">
        <f t="shared" si="25"/>
        <v>100</v>
      </c>
      <c r="I109" s="540">
        <f t="shared" si="25"/>
        <v>100</v>
      </c>
      <c r="J109" s="540">
        <f t="shared" si="25"/>
        <v>100</v>
      </c>
      <c r="K109" s="540">
        <f t="shared" si="25"/>
        <v>100</v>
      </c>
      <c r="L109" s="540">
        <f t="shared" si="25"/>
        <v>100</v>
      </c>
      <c r="M109" s="540">
        <f t="shared" si="25"/>
        <v>100</v>
      </c>
      <c r="N109" s="1150"/>
      <c r="O109" s="1150"/>
      <c r="P109" s="45"/>
      <c r="Q109" s="500"/>
    </row>
    <row r="110" spans="1:17" ht="15.75" thickTop="1">
      <c r="A110" s="530"/>
      <c r="B110" s="542">
        <f>B35</f>
        <v>111</v>
      </c>
      <c r="C110" s="550"/>
      <c r="D110" s="550"/>
      <c r="E110" s="550"/>
      <c r="F110" s="550"/>
      <c r="G110" s="583"/>
      <c r="H110" s="583"/>
      <c r="I110" s="583"/>
      <c r="J110" s="583"/>
      <c r="K110" s="584"/>
      <c r="L110" s="585"/>
      <c r="M110" s="586"/>
      <c r="N110" s="1149"/>
      <c r="O110" s="1149"/>
      <c r="P110" s="45"/>
      <c r="Q110" s="500"/>
    </row>
    <row r="111" spans="1:17" ht="15.75" thickBot="1">
      <c r="A111" s="530"/>
      <c r="B111" s="565"/>
      <c r="C111" s="556"/>
      <c r="D111" s="556"/>
      <c r="E111" s="556"/>
      <c r="F111" s="556"/>
      <c r="G111" s="587"/>
      <c r="H111" s="587"/>
      <c r="I111" s="587"/>
      <c r="J111" s="587"/>
      <c r="K111" s="587"/>
      <c r="L111" s="587"/>
      <c r="M111" s="588"/>
      <c r="N111" s="1150"/>
      <c r="O111" s="1150"/>
      <c r="P111" s="45"/>
      <c r="Q111" s="500"/>
    </row>
    <row r="112" spans="1:17" ht="15" thickTop="1">
      <c r="A112" s="671"/>
      <c r="B112" s="534">
        <f>B36</f>
        <v>111</v>
      </c>
      <c r="C112" s="519"/>
      <c r="D112" s="519"/>
      <c r="E112" s="519"/>
      <c r="F112" s="519"/>
      <c r="G112" s="579"/>
      <c r="H112" s="579"/>
      <c r="I112" s="579"/>
      <c r="J112" s="579"/>
      <c r="K112" s="580"/>
      <c r="L112" s="581"/>
      <c r="M112" s="582"/>
      <c r="N112" s="1149"/>
      <c r="O112" s="1149"/>
      <c r="P112" s="45"/>
      <c r="Q112" s="500"/>
    </row>
    <row r="113" spans="1:17" ht="15.75" thickBot="1">
      <c r="A113" s="530"/>
      <c r="B113" s="539"/>
      <c r="C113" s="566"/>
      <c r="D113" s="566"/>
      <c r="E113" s="566"/>
      <c r="F113" s="566"/>
      <c r="G113" s="532"/>
      <c r="H113" s="532"/>
      <c r="I113" s="532"/>
      <c r="J113" s="532"/>
      <c r="K113" s="532"/>
      <c r="L113" s="532"/>
      <c r="M113" s="533"/>
      <c r="N113" s="1150"/>
      <c r="O113" s="1150"/>
      <c r="P113" s="45"/>
      <c r="Q113" s="500"/>
    </row>
    <row r="114" spans="1:17" s="467" customFormat="1" ht="15" thickTop="1">
      <c r="A114" s="589"/>
      <c r="B114" s="590">
        <f>B37</f>
        <v>111</v>
      </c>
      <c r="C114" s="591"/>
      <c r="D114" s="591"/>
      <c r="E114" s="591"/>
      <c r="F114" s="591"/>
      <c r="G114" s="591"/>
      <c r="H114" s="591"/>
      <c r="I114" s="591"/>
      <c r="J114" s="592"/>
      <c r="K114" s="592"/>
      <c r="L114" s="593"/>
      <c r="M114" s="594"/>
      <c r="N114" s="1151"/>
      <c r="O114" s="1151"/>
      <c r="P114" s="554"/>
      <c r="Q114" s="555"/>
    </row>
    <row r="115" spans="1:17" s="467" customFormat="1" ht="15.75" thickBot="1">
      <c r="A115" s="549"/>
      <c r="B115" s="542"/>
      <c r="C115" s="508"/>
      <c r="D115" s="673"/>
      <c r="E115" s="673"/>
      <c r="F115" s="673"/>
      <c r="G115" s="673"/>
      <c r="H115" s="673"/>
      <c r="I115" s="673"/>
      <c r="J115" s="673"/>
      <c r="K115" s="673"/>
      <c r="L115" s="673"/>
      <c r="M115" s="695"/>
      <c r="N115" s="1150"/>
      <c r="O115" s="1150"/>
      <c r="P115" s="554"/>
      <c r="Q115" s="555"/>
    </row>
    <row r="116" spans="1:17">
      <c r="A116" s="523" t="s">
        <v>2548</v>
      </c>
      <c r="B116" s="524" t="s">
        <v>2775</v>
      </c>
      <c r="C116" s="525" t="str">
        <f>C117&amp;"(含)"&amp;"-"&amp;D117</f>
        <v>0(含)-20000</v>
      </c>
      <c r="D116" s="525" t="str">
        <f t="shared" ref="D116:M116" si="26">D117&amp;"(含)"&amp;"-"&amp;E117</f>
        <v>20000(含)-40000</v>
      </c>
      <c r="E116" s="525" t="str">
        <f t="shared" si="26"/>
        <v>40000(含)-60000</v>
      </c>
      <c r="F116" s="525" t="str">
        <f t="shared" si="26"/>
        <v>60000(含)-80000</v>
      </c>
      <c r="G116" s="525" t="str">
        <f t="shared" si="26"/>
        <v>80000(含)-100000</v>
      </c>
      <c r="H116" s="525" t="str">
        <f t="shared" si="26"/>
        <v>100000(含)-</v>
      </c>
      <c r="I116" s="525" t="str">
        <f t="shared" si="26"/>
        <v>(含)-</v>
      </c>
      <c r="J116" s="525" t="str">
        <f t="shared" si="26"/>
        <v>(含)-</v>
      </c>
      <c r="K116" s="525" t="str">
        <f t="shared" si="26"/>
        <v>(含)-</v>
      </c>
      <c r="L116" s="525" t="str">
        <f t="shared" si="26"/>
        <v>(含)-</v>
      </c>
      <c r="M116" s="525" t="str">
        <f t="shared" si="26"/>
        <v>(含)-</v>
      </c>
      <c r="N116" s="1149"/>
      <c r="O116" s="1149"/>
      <c r="P116" s="45"/>
      <c r="Q116" s="500"/>
    </row>
    <row r="117" spans="1:17" ht="15">
      <c r="A117" s="530"/>
      <c r="B117" s="542"/>
      <c r="C117" s="591">
        <v>0</v>
      </c>
      <c r="D117" s="591">
        <v>20000</v>
      </c>
      <c r="E117" s="591">
        <v>40000</v>
      </c>
      <c r="F117" s="591">
        <v>60000</v>
      </c>
      <c r="G117" s="591">
        <v>80000</v>
      </c>
      <c r="H117" s="591">
        <v>100000</v>
      </c>
      <c r="I117" s="591"/>
      <c r="J117" s="592"/>
      <c r="K117" s="592"/>
      <c r="L117" s="593"/>
      <c r="M117" s="594"/>
      <c r="N117" s="1149"/>
      <c r="O117" s="1149"/>
      <c r="P117" s="45"/>
      <c r="Q117" s="500"/>
    </row>
    <row r="118" spans="1:17" ht="15.75" thickBot="1">
      <c r="A118" s="530"/>
      <c r="B118" s="539"/>
      <c r="C118" s="566">
        <v>100</v>
      </c>
      <c r="D118" s="587">
        <f>C118+1</f>
        <v>101</v>
      </c>
      <c r="E118" s="587">
        <f t="shared" ref="E118:H118" si="27">D118+1</f>
        <v>102</v>
      </c>
      <c r="F118" s="587">
        <f t="shared" si="27"/>
        <v>103</v>
      </c>
      <c r="G118" s="587">
        <f t="shared" si="27"/>
        <v>104</v>
      </c>
      <c r="H118" s="587">
        <f t="shared" si="27"/>
        <v>105</v>
      </c>
      <c r="I118" s="587"/>
      <c r="J118" s="587"/>
      <c r="K118" s="587"/>
      <c r="L118" s="587"/>
      <c r="M118" s="588"/>
      <c r="N118" s="1150"/>
      <c r="O118" s="1150"/>
      <c r="P118" s="45"/>
      <c r="Q118" s="500"/>
    </row>
    <row r="119" spans="1:17" ht="15" thickTop="1">
      <c r="A119" s="595"/>
      <c r="B119" s="534" t="s">
        <v>2776</v>
      </c>
      <c r="C119" s="3288" t="s">
        <v>3168</v>
      </c>
      <c r="D119" s="3288" t="s">
        <v>3169</v>
      </c>
      <c r="E119" s="3288" t="s">
        <v>3170</v>
      </c>
      <c r="F119" s="3288" t="s">
        <v>3171</v>
      </c>
      <c r="G119" s="579"/>
      <c r="H119" s="579"/>
      <c r="I119" s="579"/>
      <c r="J119" s="579"/>
      <c r="K119" s="580"/>
      <c r="L119" s="581"/>
      <c r="M119" s="582"/>
      <c r="N119" s="1149"/>
      <c r="O119" s="1149"/>
      <c r="P119" s="45"/>
      <c r="Q119" s="500"/>
    </row>
    <row r="120" spans="1:17" ht="15.75" thickBot="1">
      <c r="A120" s="530"/>
      <c r="B120" s="539"/>
      <c r="C120" s="540">
        <v>100</v>
      </c>
      <c r="D120" s="540">
        <f t="shared" ref="D120:M120" si="28">C120-$K39</f>
        <v>99</v>
      </c>
      <c r="E120" s="540">
        <f t="shared" si="28"/>
        <v>98</v>
      </c>
      <c r="F120" s="540">
        <f t="shared" si="28"/>
        <v>97</v>
      </c>
      <c r="G120" s="540">
        <f t="shared" si="28"/>
        <v>96</v>
      </c>
      <c r="H120" s="540">
        <f t="shared" si="28"/>
        <v>95</v>
      </c>
      <c r="I120" s="540">
        <f t="shared" si="28"/>
        <v>94</v>
      </c>
      <c r="J120" s="540">
        <f t="shared" si="28"/>
        <v>93</v>
      </c>
      <c r="K120" s="540">
        <f t="shared" si="28"/>
        <v>92</v>
      </c>
      <c r="L120" s="540">
        <f t="shared" si="28"/>
        <v>91</v>
      </c>
      <c r="M120" s="541">
        <f t="shared" si="28"/>
        <v>90</v>
      </c>
      <c r="N120" s="1150"/>
      <c r="O120" s="1150"/>
      <c r="P120" s="45"/>
      <c r="Q120" s="500"/>
    </row>
    <row r="121" spans="1:17" ht="15" thickTop="1">
      <c r="A121" s="595"/>
      <c r="B121" s="534" t="s">
        <v>2777</v>
      </c>
      <c r="C121" s="550"/>
      <c r="D121" s="550"/>
      <c r="E121" s="550"/>
      <c r="F121" s="579"/>
      <c r="G121" s="579"/>
      <c r="H121" s="579"/>
      <c r="I121" s="579"/>
      <c r="J121" s="579"/>
      <c r="K121" s="580"/>
      <c r="L121" s="581"/>
      <c r="M121" s="582"/>
      <c r="N121" s="1149"/>
      <c r="O121" s="1149"/>
      <c r="P121" s="45"/>
      <c r="Q121" s="500"/>
    </row>
    <row r="122" spans="1:17" ht="15.75" thickBot="1">
      <c r="A122" s="530"/>
      <c r="B122" s="539"/>
      <c r="C122" s="540">
        <v>100</v>
      </c>
      <c r="D122" s="540">
        <f t="shared" ref="D122:M122" si="29">C122-$K40</f>
        <v>99</v>
      </c>
      <c r="E122" s="540">
        <f t="shared" si="29"/>
        <v>98</v>
      </c>
      <c r="F122" s="540">
        <f t="shared" si="29"/>
        <v>97</v>
      </c>
      <c r="G122" s="540">
        <f t="shared" si="29"/>
        <v>96</v>
      </c>
      <c r="H122" s="540">
        <f t="shared" si="29"/>
        <v>95</v>
      </c>
      <c r="I122" s="540">
        <f t="shared" si="29"/>
        <v>94</v>
      </c>
      <c r="J122" s="540">
        <f t="shared" si="29"/>
        <v>93</v>
      </c>
      <c r="K122" s="540">
        <f t="shared" si="29"/>
        <v>92</v>
      </c>
      <c r="L122" s="540">
        <f t="shared" si="29"/>
        <v>91</v>
      </c>
      <c r="M122" s="541">
        <f t="shared" si="29"/>
        <v>90</v>
      </c>
      <c r="N122" s="1150"/>
      <c r="O122" s="1150"/>
      <c r="P122" s="45"/>
      <c r="Q122" s="500"/>
    </row>
    <row r="123" spans="1:17" s="467" customFormat="1" ht="15" thickTop="1">
      <c r="A123" s="589"/>
      <c r="B123" s="534" t="s">
        <v>2778</v>
      </c>
      <c r="C123" s="3289" t="s">
        <v>3172</v>
      </c>
      <c r="D123" s="3289" t="s">
        <v>3173</v>
      </c>
      <c r="E123" s="3289" t="s">
        <v>3174</v>
      </c>
      <c r="F123" s="3289" t="s">
        <v>3175</v>
      </c>
      <c r="G123" s="3289" t="s">
        <v>3176</v>
      </c>
      <c r="H123" s="579"/>
      <c r="I123" s="579"/>
      <c r="J123" s="579"/>
      <c r="K123" s="580"/>
      <c r="L123" s="581"/>
      <c r="M123" s="582"/>
      <c r="N123" s="1151"/>
      <c r="O123" s="1151"/>
      <c r="P123" s="554"/>
      <c r="Q123" s="555"/>
    </row>
    <row r="124" spans="1:17" s="467" customFormat="1" ht="15.75" thickBot="1">
      <c r="A124" s="549"/>
      <c r="B124" s="539"/>
      <c r="C124" s="540">
        <v>100</v>
      </c>
      <c r="D124" s="540">
        <f>C124-$K41</f>
        <v>99</v>
      </c>
      <c r="E124" s="540">
        <f t="shared" ref="E124:M124" si="30">D124-$K41</f>
        <v>98</v>
      </c>
      <c r="F124" s="540">
        <f t="shared" si="30"/>
        <v>97</v>
      </c>
      <c r="G124" s="540">
        <f t="shared" si="30"/>
        <v>96</v>
      </c>
      <c r="H124" s="540">
        <f t="shared" si="30"/>
        <v>95</v>
      </c>
      <c r="I124" s="540">
        <f t="shared" si="30"/>
        <v>94</v>
      </c>
      <c r="J124" s="540">
        <f t="shared" si="30"/>
        <v>93</v>
      </c>
      <c r="K124" s="540">
        <f t="shared" si="30"/>
        <v>92</v>
      </c>
      <c r="L124" s="540">
        <f t="shared" si="30"/>
        <v>91</v>
      </c>
      <c r="M124" s="541">
        <f t="shared" si="30"/>
        <v>90</v>
      </c>
      <c r="N124" s="1151"/>
      <c r="O124" s="1151"/>
      <c r="P124" s="554"/>
      <c r="Q124" s="555"/>
    </row>
    <row r="125" spans="1:17" ht="15" thickTop="1">
      <c r="A125" s="595"/>
      <c r="B125" s="534" t="s">
        <v>2779</v>
      </c>
      <c r="C125" s="3287" t="s">
        <v>3177</v>
      </c>
      <c r="D125" s="550"/>
      <c r="E125" s="579"/>
      <c r="F125" s="579"/>
      <c r="G125" s="579"/>
      <c r="H125" s="579"/>
      <c r="I125" s="579"/>
      <c r="J125" s="579"/>
      <c r="K125" s="580"/>
      <c r="L125" s="581"/>
      <c r="M125" s="582"/>
      <c r="N125" s="1149"/>
      <c r="O125" s="1149"/>
      <c r="P125" s="45"/>
      <c r="Q125" s="500"/>
    </row>
    <row r="126" spans="1:17" ht="15.75" thickBot="1">
      <c r="A126" s="530"/>
      <c r="B126" s="539"/>
      <c r="C126" s="540">
        <v>100</v>
      </c>
      <c r="D126" s="540">
        <f t="shared" ref="D126:M126" si="31">C126-$K42</f>
        <v>99</v>
      </c>
      <c r="E126" s="540">
        <f t="shared" si="31"/>
        <v>98</v>
      </c>
      <c r="F126" s="540">
        <f t="shared" si="31"/>
        <v>97</v>
      </c>
      <c r="G126" s="540">
        <f t="shared" si="31"/>
        <v>96</v>
      </c>
      <c r="H126" s="540">
        <f t="shared" si="31"/>
        <v>95</v>
      </c>
      <c r="I126" s="540">
        <f t="shared" si="31"/>
        <v>94</v>
      </c>
      <c r="J126" s="540">
        <f t="shared" si="31"/>
        <v>93</v>
      </c>
      <c r="K126" s="540">
        <f t="shared" si="31"/>
        <v>92</v>
      </c>
      <c r="L126" s="540">
        <f t="shared" si="31"/>
        <v>91</v>
      </c>
      <c r="M126" s="541">
        <f t="shared" si="31"/>
        <v>90</v>
      </c>
      <c r="N126" s="1150"/>
      <c r="O126" s="1150"/>
      <c r="P126" s="45"/>
      <c r="Q126" s="500"/>
    </row>
    <row r="127" spans="1:17" ht="15" thickTop="1">
      <c r="A127" s="595"/>
      <c r="B127" s="534">
        <f>B43</f>
        <v>111</v>
      </c>
      <c r="C127" s="550"/>
      <c r="D127" s="550"/>
      <c r="E127" s="550"/>
      <c r="F127" s="550"/>
      <c r="G127" s="550"/>
      <c r="H127" s="579"/>
      <c r="I127" s="579"/>
      <c r="J127" s="579"/>
      <c r="K127" s="580"/>
      <c r="L127" s="581"/>
      <c r="M127" s="582"/>
      <c r="N127" s="1149"/>
      <c r="O127" s="1149"/>
      <c r="P127" s="45"/>
      <c r="Q127" s="500"/>
    </row>
    <row r="128" spans="1:17" ht="15.75" thickBot="1">
      <c r="A128" s="530"/>
      <c r="B128" s="539"/>
      <c r="C128" s="556"/>
      <c r="D128" s="556"/>
      <c r="E128" s="556"/>
      <c r="F128" s="556"/>
      <c r="G128" s="532"/>
      <c r="H128" s="532"/>
      <c r="I128" s="532"/>
      <c r="J128" s="532"/>
      <c r="K128" s="532"/>
      <c r="L128" s="532"/>
      <c r="M128" s="533"/>
      <c r="N128" s="1150"/>
      <c r="O128" s="1150"/>
      <c r="P128" s="45"/>
      <c r="Q128" s="500"/>
    </row>
    <row r="129" spans="1:17" ht="15" thickTop="1">
      <c r="A129" s="595"/>
      <c r="B129" s="534">
        <f>B44</f>
        <v>111</v>
      </c>
      <c r="C129" s="519"/>
      <c r="D129" s="519"/>
      <c r="E129" s="519"/>
      <c r="F129" s="519"/>
      <c r="G129" s="579"/>
      <c r="H129" s="579"/>
      <c r="I129" s="579"/>
      <c r="J129" s="579"/>
      <c r="K129" s="580"/>
      <c r="L129" s="581"/>
      <c r="M129" s="582"/>
      <c r="N129" s="1149"/>
      <c r="O129" s="1149"/>
      <c r="P129" s="45"/>
      <c r="Q129" s="500"/>
    </row>
    <row r="130" spans="1:17" ht="15.75" thickBot="1">
      <c r="A130" s="530"/>
      <c r="B130" s="539"/>
      <c r="C130" s="566"/>
      <c r="D130" s="566"/>
      <c r="E130" s="566"/>
      <c r="F130" s="566"/>
      <c r="G130" s="532"/>
      <c r="H130" s="532"/>
      <c r="I130" s="532"/>
      <c r="J130" s="532"/>
      <c r="K130" s="532"/>
      <c r="L130" s="532"/>
      <c r="M130" s="533"/>
      <c r="N130" s="1150"/>
      <c r="O130" s="1150"/>
      <c r="P130" s="45"/>
      <c r="Q130" s="500"/>
    </row>
    <row r="131" spans="1:17" s="467" customFormat="1" ht="15" thickTop="1">
      <c r="A131" s="589"/>
      <c r="B131" s="534">
        <f>B45</f>
        <v>111</v>
      </c>
      <c r="C131" s="519"/>
      <c r="D131" s="519"/>
      <c r="E131" s="519"/>
      <c r="F131" s="519"/>
      <c r="G131" s="551"/>
      <c r="H131" s="551"/>
      <c r="I131" s="551"/>
      <c r="J131" s="551"/>
      <c r="K131" s="551"/>
      <c r="L131" s="552"/>
      <c r="M131" s="553"/>
      <c r="N131" s="1151"/>
      <c r="O131" s="1151"/>
      <c r="P131" s="554"/>
      <c r="Q131" s="555"/>
    </row>
    <row r="132" spans="1:17" s="467" customFormat="1" ht="15.75" thickBot="1">
      <c r="A132" s="564"/>
      <c r="B132" s="696"/>
      <c r="C132" s="566"/>
      <c r="D132" s="566"/>
      <c r="E132" s="566"/>
      <c r="F132" s="566"/>
      <c r="G132" s="587"/>
      <c r="H132" s="587"/>
      <c r="I132" s="587"/>
      <c r="J132" s="587"/>
      <c r="K132" s="587"/>
      <c r="L132" s="587"/>
      <c r="M132" s="588"/>
      <c r="N132" s="1151"/>
      <c r="O132" s="1151"/>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38" t="str">
        <f>项目基本情况!B1</f>
        <v>北京市大兴区北臧村生物医药基地DX00-0502-0013地块出让国有建设用地使用权及在建建筑物房地产抵押价值预评估</v>
      </c>
      <c r="C37" s="2938"/>
      <c r="D37" s="2938"/>
      <c r="E37" s="2938"/>
      <c r="F37" s="2938"/>
      <c r="G37" s="2938"/>
      <c r="H37" s="2938"/>
      <c r="I37" s="2938"/>
    </row>
    <row r="38" spans="1:9">
      <c r="A38" s="1013"/>
      <c r="B38" s="1013"/>
    </row>
    <row r="39" spans="1:9">
      <c r="A39" s="1011" t="s">
        <v>818</v>
      </c>
      <c r="B39" s="1011" t="s">
        <v>820</v>
      </c>
    </row>
    <row r="40" spans="1:9">
      <c r="A40" s="1011"/>
      <c r="B40" s="1939" t="str">
        <f>项目基本情况!B5</f>
        <v>北京绿地京瑞房地产开发有限公司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G19" sqref="G19"/>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2313</v>
      </c>
      <c r="B1" s="1934"/>
      <c r="C1" s="238"/>
      <c r="D1" s="238"/>
      <c r="E1" s="238"/>
      <c r="F1" s="238"/>
      <c r="G1" s="1376">
        <f>MATCH(B1,'数据-取费表'!A6:A16,0)+5</f>
        <v>9</v>
      </c>
    </row>
    <row r="2" spans="1:9" s="240" customFormat="1" ht="18" customHeight="1">
      <c r="A2" s="241" t="s">
        <v>2314</v>
      </c>
      <c r="B2" s="242">
        <f ca="1">IF(D2="——",C52,C52-E2)</f>
        <v>460473</v>
      </c>
      <c r="C2" s="239" t="s">
        <v>2315</v>
      </c>
      <c r="D2" s="2543" t="s">
        <v>70</v>
      </c>
      <c r="E2" s="1437" t="e">
        <f ca="1">SUMIF(INDIRECT("'"&amp;G2&amp;"'"&amp;"!A:A"),"承租人权益价值",INDIRECT("'"&amp;G2&amp;"'"&amp;"!c:c"))</f>
        <v>#REF!</v>
      </c>
      <c r="F2" s="2544" t="s">
        <v>2315</v>
      </c>
      <c r="G2" s="2545"/>
    </row>
    <row r="3" spans="1:9" s="240" customFormat="1" ht="18" customHeight="1" thickBot="1">
      <c r="A3" s="243" t="s">
        <v>2316</v>
      </c>
      <c r="B3" s="244">
        <f ca="1">ROUND(B2*10000/(IF(B1="",'数据-汇总表'!E3,INDIRECT("'数据-取费表'!k"&amp;$G$1))),0)</f>
        <v>25107</v>
      </c>
      <c r="C3" s="239" t="s">
        <v>2317</v>
      </c>
      <c r="D3" s="239"/>
      <c r="E3" s="239"/>
      <c r="F3" s="239"/>
      <c r="G3" s="239"/>
    </row>
    <row r="4" spans="1:9" s="248" customFormat="1" ht="15.75">
      <c r="A4" s="245" t="s">
        <v>2318</v>
      </c>
      <c r="B4" s="246"/>
      <c r="C4" s="246"/>
      <c r="D4" s="246"/>
      <c r="E4" s="246"/>
      <c r="F4" s="246"/>
      <c r="G4" s="247"/>
    </row>
    <row r="5" spans="1:9" s="254" customFormat="1" ht="13.5" customHeight="1">
      <c r="A5" s="295" t="s">
        <v>2319</v>
      </c>
      <c r="B5" s="250" t="s">
        <v>2320</v>
      </c>
      <c r="C5" s="251">
        <f>C6+C7+C8</f>
        <v>339068</v>
      </c>
      <c r="D5" s="251" t="s">
        <v>2321</v>
      </c>
      <c r="E5" s="252" t="s">
        <v>2322</v>
      </c>
      <c r="F5" s="252" t="s">
        <v>2323</v>
      </c>
      <c r="G5" s="253"/>
    </row>
    <row r="6" spans="1:9" s="254" customFormat="1" ht="13.5" customHeight="1">
      <c r="A6" s="946" t="s">
        <v>2324</v>
      </c>
      <c r="B6" s="255" t="s">
        <v>2325</v>
      </c>
      <c r="C6" s="256">
        <f>'土地比较法-住宅、综合'!B2</f>
        <v>325651</v>
      </c>
      <c r="D6" s="257"/>
      <c r="E6" s="258"/>
      <c r="F6" s="258"/>
      <c r="G6" s="259"/>
    </row>
    <row r="7" spans="1:9" s="254" customFormat="1" ht="13.5" customHeight="1">
      <c r="A7" s="946" t="s">
        <v>2326</v>
      </c>
      <c r="B7" s="255" t="s">
        <v>2327</v>
      </c>
      <c r="C7" s="260">
        <f>ROUND(C6*F7,0)</f>
        <v>9932</v>
      </c>
      <c r="D7" s="260"/>
      <c r="E7" s="258"/>
      <c r="F7" s="261">
        <f>'数据-取费表'!B48+'数据-取费表'!B49</f>
        <v>3.0499999999999999E-2</v>
      </c>
      <c r="G7" s="259"/>
    </row>
    <row r="8" spans="1:9" s="263" customFormat="1">
      <c r="A8" s="946" t="s">
        <v>2328</v>
      </c>
      <c r="B8" s="255" t="s">
        <v>2329</v>
      </c>
      <c r="C8" s="260">
        <f>IF(G8="已包含在土地购买价格中","0",IF(B1="",'数据-取费表'!B29,IF(G9="全部缴纳",C9+C10,H9)))</f>
        <v>3485</v>
      </c>
      <c r="D8" s="262"/>
      <c r="E8" s="260"/>
      <c r="F8" s="261"/>
      <c r="G8" s="2546" t="s">
        <v>3195</v>
      </c>
    </row>
    <row r="9" spans="1:9" s="254" customFormat="1" ht="13.5" customHeight="1">
      <c r="A9" s="947" t="s">
        <v>800</v>
      </c>
      <c r="B9" s="264" t="s">
        <v>2330</v>
      </c>
      <c r="C9" s="265">
        <f ca="1">ROUND(D9*E9/10000,0)</f>
        <v>0</v>
      </c>
      <c r="D9" s="1029">
        <f ca="1">IF(B1="",'数据-汇总表'!E5,IF(INDIRECT("'数据-取费表'!c"&amp;$G$1)="住宅",INDIRECT("'数据-取费表'!k"&amp;$G$1),0))</f>
        <v>0</v>
      </c>
      <c r="E9" s="265">
        <f>'数据-取费表'!B27</f>
        <v>150</v>
      </c>
      <c r="F9" s="261"/>
      <c r="G9" s="2547"/>
      <c r="H9" s="1387"/>
      <c r="I9" s="2548" t="s">
        <v>2331</v>
      </c>
    </row>
    <row r="10" spans="1:9" s="254" customFormat="1" ht="13.5" customHeight="1">
      <c r="A10" s="947" t="s">
        <v>801</v>
      </c>
      <c r="B10" s="264" t="s">
        <v>2332</v>
      </c>
      <c r="C10" s="265">
        <f ca="1">ROUND(D10*E10/10000,0)</f>
        <v>3485</v>
      </c>
      <c r="D10" s="1029">
        <f ca="1">IF(B1="",'数据-汇总表'!E6,IF(INDIRECT("'数据-取费表'!c"&amp;$G$1)="住宅",INDIRECT("'数据-取费表'!s"&amp;$G$1),INDIRECT("'数据-取费表'!k"&amp;$G$1)+INDIRECT("'数据-取费表'!s"&amp;$G$1)))</f>
        <v>183405</v>
      </c>
      <c r="E10" s="265">
        <f>'数据-取费表'!B28</f>
        <v>190</v>
      </c>
      <c r="F10" s="261"/>
      <c r="G10" s="266"/>
    </row>
    <row r="11" spans="1:9" s="254" customFormat="1" ht="13.5" hidden="1" customHeight="1">
      <c r="A11" s="267" t="s">
        <v>7</v>
      </c>
      <c r="B11" s="255" t="s">
        <v>2333</v>
      </c>
      <c r="C11" s="251"/>
      <c r="D11" s="1031"/>
      <c r="E11" s="258"/>
      <c r="F11" s="258"/>
      <c r="G11" s="259"/>
    </row>
    <row r="12" spans="1:9" s="254" customFormat="1" ht="13.5" hidden="1" customHeight="1">
      <c r="A12" s="267" t="s">
        <v>8</v>
      </c>
      <c r="B12" s="255" t="s">
        <v>2334</v>
      </c>
      <c r="C12" s="251">
        <v>0</v>
      </c>
      <c r="D12" s="1031"/>
      <c r="E12" s="268"/>
      <c r="F12" s="261">
        <v>3.0499999999999999E-2</v>
      </c>
      <c r="G12" s="259"/>
    </row>
    <row r="13" spans="1:9" s="254" customFormat="1" ht="13.5" hidden="1" customHeight="1">
      <c r="A13" s="267" t="s">
        <v>9</v>
      </c>
      <c r="B13" s="255" t="s">
        <v>2335</v>
      </c>
      <c r="C13" s="251"/>
      <c r="D13" s="1031"/>
      <c r="E13" s="258"/>
      <c r="F13" s="258"/>
      <c r="G13" s="259"/>
    </row>
    <row r="14" spans="1:9" s="254" customFormat="1" ht="13.5" hidden="1" customHeight="1">
      <c r="A14" s="267" t="s">
        <v>10</v>
      </c>
      <c r="B14" s="255" t="s">
        <v>2336</v>
      </c>
      <c r="C14" s="251"/>
      <c r="D14" s="1031"/>
      <c r="E14" s="258"/>
      <c r="F14" s="258"/>
      <c r="G14" s="259" t="s">
        <v>2337</v>
      </c>
    </row>
    <row r="15" spans="1:9" s="254" customFormat="1" ht="13.5" hidden="1" customHeight="1">
      <c r="A15" s="267" t="s">
        <v>11</v>
      </c>
      <c r="B15" s="255" t="s">
        <v>2338</v>
      </c>
      <c r="C15" s="260"/>
      <c r="D15" s="1031"/>
      <c r="E15" s="258"/>
      <c r="F15" s="258"/>
      <c r="G15" s="259" t="s">
        <v>2339</v>
      </c>
    </row>
    <row r="16" spans="1:9" s="254" customFormat="1" ht="13.5" hidden="1" customHeight="1">
      <c r="A16" s="267" t="s">
        <v>12</v>
      </c>
      <c r="B16" s="255" t="s">
        <v>2336</v>
      </c>
      <c r="C16" s="260"/>
      <c r="D16" s="1031"/>
      <c r="E16" s="258"/>
      <c r="F16" s="258"/>
      <c r="G16" s="259"/>
    </row>
    <row r="17" spans="1:7" s="254" customFormat="1" ht="13.5" hidden="1" customHeight="1">
      <c r="A17" s="267" t="s">
        <v>13</v>
      </c>
      <c r="B17" s="255" t="s">
        <v>2340</v>
      </c>
      <c r="C17" s="269"/>
      <c r="D17" s="1032"/>
      <c r="E17" s="269"/>
      <c r="F17" s="269"/>
      <c r="G17" s="259" t="s">
        <v>2339</v>
      </c>
    </row>
    <row r="18" spans="1:7" s="254" customFormat="1" ht="13.5" hidden="1" customHeight="1">
      <c r="A18" s="267" t="s">
        <v>14</v>
      </c>
      <c r="B18" s="255" t="s">
        <v>2341</v>
      </c>
      <c r="C18" s="260">
        <v>0</v>
      </c>
      <c r="D18" s="1031"/>
      <c r="E18" s="258"/>
      <c r="F18" s="261">
        <v>3.0499999999999999E-2</v>
      </c>
      <c r="G18" s="259" t="s">
        <v>2342</v>
      </c>
    </row>
    <row r="19" spans="1:7" s="263" customFormat="1" ht="13.5" customHeight="1">
      <c r="A19" s="295" t="s">
        <v>2343</v>
      </c>
      <c r="B19" s="250" t="s">
        <v>2344</v>
      </c>
      <c r="C19" s="251" t="str">
        <f>IF(G19="已包含在土地取得成本中","0",ROUND(D19*E19/10000,0))</f>
        <v>0</v>
      </c>
      <c r="D19" s="1033">
        <f ca="1">D9+D10</f>
        <v>183405</v>
      </c>
      <c r="E19" s="251">
        <f>'数据-取费表'!B31</f>
        <v>200</v>
      </c>
      <c r="F19" s="271"/>
      <c r="G19" s="2546" t="s">
        <v>3196</v>
      </c>
    </row>
    <row r="20" spans="1:7" s="254" customFormat="1" ht="13.5" customHeight="1">
      <c r="A20" s="295" t="s">
        <v>2345</v>
      </c>
      <c r="B20" s="250" t="s">
        <v>2346</v>
      </c>
      <c r="C20" s="272">
        <f>ROUND((C5+C19)*F20,0)</f>
        <v>5086</v>
      </c>
      <c r="D20" s="272"/>
      <c r="E20" s="272"/>
      <c r="F20" s="273">
        <f>'数据-取费表'!B37</f>
        <v>1.4999999999999999E-2</v>
      </c>
      <c r="G20" s="274" t="s">
        <v>2347</v>
      </c>
    </row>
    <row r="21" spans="1:7" s="254" customFormat="1" ht="13.5" customHeight="1">
      <c r="A21" s="295" t="s">
        <v>2348</v>
      </c>
      <c r="B21" s="250" t="s">
        <v>2349</v>
      </c>
      <c r="C21" s="275">
        <f>F21</f>
        <v>0.02</v>
      </c>
      <c r="D21" s="276" t="s">
        <v>2350</v>
      </c>
      <c r="E21" s="272"/>
      <c r="F21" s="273">
        <f>'数据-取费表'!B38</f>
        <v>0.02</v>
      </c>
      <c r="G21" s="274" t="s">
        <v>2351</v>
      </c>
    </row>
    <row r="22" spans="1:7" s="254" customFormat="1" ht="13.5" customHeight="1">
      <c r="A22" s="295" t="s">
        <v>2352</v>
      </c>
      <c r="B22" s="250" t="s">
        <v>2353</v>
      </c>
      <c r="C22" s="1351">
        <f ca="1">ROUND(SUM(C23:C25),0)</f>
        <v>16225</v>
      </c>
      <c r="D22" s="275">
        <f ca="1">C26</f>
        <v>5.0000000000000001E-4</v>
      </c>
      <c r="E22" s="276" t="s">
        <v>2350</v>
      </c>
      <c r="F22" s="277">
        <f ca="1">'数据-取费表'!B40</f>
        <v>4.7500000000000001E-2</v>
      </c>
      <c r="G22" s="274" t="str">
        <f>IF('数据-取费表'!B22&lt;=1,"单利计息","复利计息")</f>
        <v>复利计息</v>
      </c>
    </row>
    <row r="23" spans="1:7" s="254" customFormat="1" ht="13.5" customHeight="1">
      <c r="A23" s="948" t="s">
        <v>2354</v>
      </c>
      <c r="B23" s="255" t="s">
        <v>2355</v>
      </c>
      <c r="C23" s="1352">
        <f ca="1">ROUND(IF('数据-取费表'!B22&lt;=1,C5*F22*'数据-取费表'!B23,C5*(POWER((1+F22),'数据-取费表'!B23)-1)),0)</f>
        <v>16106</v>
      </c>
      <c r="D23" s="278"/>
      <c r="E23" s="278"/>
      <c r="F23" s="279"/>
      <c r="G23" s="280" t="s">
        <v>2356</v>
      </c>
    </row>
    <row r="24" spans="1:7" s="254" customFormat="1" ht="13.5" customHeight="1">
      <c r="A24" s="948" t="s">
        <v>2357</v>
      </c>
      <c r="B24" s="255" t="s">
        <v>2358</v>
      </c>
      <c r="C24" s="1352">
        <f ca="1">ROUND(IF('数据-取费表'!B22&lt;=1,C19*F22*('数据-取费表'!B19/2+'数据-取费表'!B21),C19*(POWER((1+F22),('数据-取费表'!B19/2+'数据-取费表'!B21))-1)),0)</f>
        <v>0</v>
      </c>
      <c r="D24" s="278"/>
      <c r="E24" s="278"/>
      <c r="F24" s="279"/>
      <c r="G24" s="280" t="s">
        <v>2359</v>
      </c>
    </row>
    <row r="25" spans="1:7" s="254" customFormat="1" ht="24">
      <c r="A25" s="948" t="s">
        <v>2360</v>
      </c>
      <c r="B25" s="255" t="s">
        <v>2361</v>
      </c>
      <c r="C25" s="1352">
        <f ca="1">ROUND(IF('数据-取费表'!B22&lt;=1,C20*F22*'数据-取费表'!B23/2,C20*(POWER((1+F22),'数据-取费表'!B23/2)-1)),0)</f>
        <v>119</v>
      </c>
      <c r="D25" s="278"/>
      <c r="E25" s="281"/>
      <c r="F25" s="279"/>
      <c r="G25" s="282" t="s">
        <v>2362</v>
      </c>
    </row>
    <row r="26" spans="1:7" s="254" customFormat="1">
      <c r="A26" s="948" t="s">
        <v>795</v>
      </c>
      <c r="B26" s="255" t="s">
        <v>2363</v>
      </c>
      <c r="C26" s="278">
        <f ca="1">ROUND(IF('数据-取费表'!B22&lt;=1,F21*F22*'数据-取费表'!B23/2,F21*(POWER((1+F22),'数据-取费表'!B23/2)-1)),4)</f>
        <v>5.0000000000000001E-4</v>
      </c>
      <c r="D26" s="278"/>
      <c r="E26" s="281"/>
      <c r="F26" s="279"/>
      <c r="G26" s="283"/>
    </row>
    <row r="27" spans="1:7" s="254" customFormat="1" ht="24.75">
      <c r="A27" s="295" t="s">
        <v>2364</v>
      </c>
      <c r="B27" s="284" t="s">
        <v>2365</v>
      </c>
      <c r="C27" s="285">
        <f ca="1">C28</f>
        <v>29827</v>
      </c>
      <c r="D27" s="275">
        <f ca="1">C29</f>
        <v>1.6999999999999999E-3</v>
      </c>
      <c r="E27" s="276" t="s">
        <v>2366</v>
      </c>
      <c r="F27" s="286">
        <f ca="1">IF(B1="",'数据-取费表'!Q16,INDIRECT("'数据-取费表'!q"&amp;$G$1))</f>
        <v>0.26</v>
      </c>
      <c r="G27" s="287" t="s">
        <v>2367</v>
      </c>
    </row>
    <row r="28" spans="1:7" s="254" customFormat="1" ht="13.5" customHeight="1">
      <c r="A28" s="948" t="s">
        <v>791</v>
      </c>
      <c r="B28" s="288" t="s">
        <v>2368</v>
      </c>
      <c r="C28" s="289">
        <f ca="1">ROUND((C5+C19+C20)*F27*'数据-取费表'!B21/'数据-取费表'!B20,0)</f>
        <v>29827</v>
      </c>
      <c r="D28" s="275"/>
      <c r="E28" s="276"/>
      <c r="F28" s="286"/>
      <c r="G28" s="287"/>
    </row>
    <row r="29" spans="1:7" s="254" customFormat="1" ht="13.5" customHeight="1">
      <c r="A29" s="948" t="s">
        <v>792</v>
      </c>
      <c r="B29" s="288" t="s">
        <v>2369</v>
      </c>
      <c r="C29" s="278">
        <f ca="1">ROUND(C21*F27*'数据-取费表'!B21/'数据-取费表'!B20,4)</f>
        <v>1.6999999999999999E-3</v>
      </c>
      <c r="D29" s="275"/>
      <c r="E29" s="276"/>
      <c r="F29" s="286"/>
      <c r="G29" s="287"/>
    </row>
    <row r="30" spans="1:7" s="254" customFormat="1" ht="13.5" customHeight="1">
      <c r="A30" s="295" t="s">
        <v>2370</v>
      </c>
      <c r="B30" s="250" t="s">
        <v>2371</v>
      </c>
      <c r="C30" s="275">
        <f>ROUND(F30/(1+'数据-取费表'!C42),4)</f>
        <v>5.2400000000000002E-2</v>
      </c>
      <c r="D30" s="276" t="s">
        <v>2366</v>
      </c>
      <c r="E30" s="281"/>
      <c r="F30" s="277">
        <f>'数据-取费表'!B41</f>
        <v>5.5000000000000007E-2</v>
      </c>
      <c r="G30" s="274" t="s">
        <v>2372</v>
      </c>
    </row>
    <row r="31" spans="1:7" ht="16.5" customHeight="1">
      <c r="A31" s="249">
        <v>1</v>
      </c>
      <c r="B31" s="250" t="s">
        <v>2373</v>
      </c>
      <c r="C31" s="251">
        <f ca="1">ROUND((C5+C19+C20+C22+C27)/(1-C21-D22-D27-C30),0)</f>
        <v>421662</v>
      </c>
      <c r="D31" s="270"/>
      <c r="E31" s="251"/>
      <c r="F31" s="290"/>
      <c r="G31" s="274" t="s">
        <v>2374</v>
      </c>
    </row>
    <row r="32" spans="1:7" s="248" customFormat="1" ht="15.75">
      <c r="A32" s="292" t="s">
        <v>2375</v>
      </c>
      <c r="B32" s="293"/>
      <c r="C32" s="293"/>
      <c r="D32" s="293"/>
      <c r="E32" s="293"/>
      <c r="F32" s="293"/>
      <c r="G32" s="294"/>
    </row>
    <row r="33" spans="1:7" s="254" customFormat="1" ht="13.5" customHeight="1">
      <c r="A33" s="295" t="s">
        <v>782</v>
      </c>
      <c r="B33" s="250" t="s">
        <v>2376</v>
      </c>
      <c r="C33" s="296">
        <f ca="1">SUM(C34:C38)</f>
        <v>27465</v>
      </c>
      <c r="D33" s="272"/>
      <c r="E33" s="252"/>
      <c r="F33" s="281"/>
      <c r="G33" s="274"/>
    </row>
    <row r="34" spans="1:7" s="298" customFormat="1" ht="13.5" customHeight="1">
      <c r="A34" s="948" t="s">
        <v>791</v>
      </c>
      <c r="B34" s="255" t="s">
        <v>2377</v>
      </c>
      <c r="C34" s="260">
        <f ca="1">IF(B1="",IF(F34=100%,'数据-取费表'!M16,'数据-取费表'!O16),IF(F34=100%,INDIRECT("'数据-取费表'!m"&amp;$G$1)+INDIRECT("'数据-取费表'!t"&amp;$G$1),INDIRECT("'数据-取费表'!o"&amp;$G$1)+INDIRECT("'数据-取费表'!aq"&amp;$G$1)))</f>
        <v>24879</v>
      </c>
      <c r="D34" s="257"/>
      <c r="E34" s="260"/>
      <c r="F34" s="297">
        <f ca="1">IF('数据-取费表'!B24=0,1,IF(B1="",'数据-取费表'!N16,INDIRECT("'数据-取费表'!n"&amp;$G$1)))</f>
        <v>0.4</v>
      </c>
      <c r="G34" s="259" t="s">
        <v>2378</v>
      </c>
    </row>
    <row r="35" spans="1:7" ht="13.5" customHeight="1">
      <c r="A35" s="948" t="s">
        <v>796</v>
      </c>
      <c r="B35" s="255" t="s">
        <v>2379</v>
      </c>
      <c r="C35" s="260">
        <f ca="1">ROUND(C34*F35,0)</f>
        <v>746</v>
      </c>
      <c r="D35" s="260"/>
      <c r="E35" s="260"/>
      <c r="F35" s="299">
        <f>'数据-取费表'!B33</f>
        <v>0.03</v>
      </c>
      <c r="G35" s="259" t="s">
        <v>2380</v>
      </c>
    </row>
    <row r="36" spans="1:7" ht="24">
      <c r="A36" s="948" t="s">
        <v>797</v>
      </c>
      <c r="B36" s="255" t="s">
        <v>2381</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2382</v>
      </c>
    </row>
    <row r="37" spans="1:7" s="298" customFormat="1" ht="13.5" customHeight="1">
      <c r="A37" s="948" t="s">
        <v>798</v>
      </c>
      <c r="B37" s="255" t="s">
        <v>2383</v>
      </c>
      <c r="C37" s="289">
        <f ca="1">ROUND(E37*D37*F34/10000,0)</f>
        <v>1467</v>
      </c>
      <c r="D37" s="257">
        <f ca="1">D19</f>
        <v>183405</v>
      </c>
      <c r="E37" s="289">
        <f>'数据-取费表'!B35</f>
        <v>200</v>
      </c>
      <c r="F37" s="299"/>
      <c r="G37" s="301" t="s">
        <v>2384</v>
      </c>
    </row>
    <row r="38" spans="1:7" ht="13.5" customHeight="1">
      <c r="A38" s="948" t="s">
        <v>799</v>
      </c>
      <c r="B38" s="255" t="s">
        <v>2385</v>
      </c>
      <c r="C38" s="260">
        <f ca="1">ROUND(C34*F38,0)</f>
        <v>373</v>
      </c>
      <c r="D38" s="260"/>
      <c r="E38" s="260"/>
      <c r="F38" s="299">
        <f>'数据-取费表'!B36</f>
        <v>1.4999999999999999E-2</v>
      </c>
      <c r="G38" s="259" t="s">
        <v>2380</v>
      </c>
    </row>
    <row r="39" spans="1:7" s="254" customFormat="1" ht="13.5" customHeight="1">
      <c r="A39" s="295" t="s">
        <v>2386</v>
      </c>
      <c r="B39" s="250" t="s">
        <v>2387</v>
      </c>
      <c r="C39" s="272">
        <f ca="1">ROUND(C33*F20,0)</f>
        <v>412</v>
      </c>
      <c r="D39" s="272"/>
      <c r="E39" s="272"/>
      <c r="F39" s="273"/>
      <c r="G39" s="274" t="s">
        <v>2388</v>
      </c>
    </row>
    <row r="40" spans="1:7" s="254" customFormat="1" ht="13.5" customHeight="1">
      <c r="A40" s="295" t="s">
        <v>2389</v>
      </c>
      <c r="B40" s="250" t="s">
        <v>2390</v>
      </c>
      <c r="C40" s="1725">
        <f>F21</f>
        <v>0.02</v>
      </c>
      <c r="D40" s="276" t="s">
        <v>2391</v>
      </c>
      <c r="E40" s="272"/>
      <c r="F40" s="273"/>
      <c r="G40" s="274" t="s">
        <v>2392</v>
      </c>
    </row>
    <row r="41" spans="1:7" s="254" customFormat="1" ht="13.5" customHeight="1">
      <c r="A41" s="295" t="s">
        <v>2393</v>
      </c>
      <c r="B41" s="250" t="s">
        <v>2394</v>
      </c>
      <c r="C41" s="272">
        <f ca="1">ROUND(SUM(C42:C43),0)</f>
        <v>655</v>
      </c>
      <c r="D41" s="275">
        <f ca="1">C44</f>
        <v>5.0000000000000001E-4</v>
      </c>
      <c r="E41" s="276" t="s">
        <v>2391</v>
      </c>
      <c r="F41" s="277"/>
      <c r="G41" s="274" t="str">
        <f>IF('数据-取费表'!B22&lt;=1,"单利计息","复利计息")</f>
        <v>复利计息</v>
      </c>
    </row>
    <row r="42" spans="1:7" ht="13.5" customHeight="1">
      <c r="A42" s="948" t="s">
        <v>791</v>
      </c>
      <c r="B42" s="255" t="s">
        <v>2395</v>
      </c>
      <c r="C42" s="278">
        <f ca="1">ROUND(IF('数据-取费表'!B22&lt;=1,C33*F22*'数据-取费表'!B21/2,C33*(POWER((1+F22),'数据-取费表'!B21/2)-1)),0)</f>
        <v>645</v>
      </c>
      <c r="D42" s="278"/>
      <c r="E42" s="278"/>
      <c r="F42" s="279"/>
      <c r="G42" s="3121" t="s">
        <v>2396</v>
      </c>
    </row>
    <row r="43" spans="1:7" ht="13.5" customHeight="1">
      <c r="A43" s="948" t="s">
        <v>792</v>
      </c>
      <c r="B43" s="255" t="s">
        <v>2397</v>
      </c>
      <c r="C43" s="278">
        <f ca="1">ROUND(IF('数据-取费表'!B22&lt;=1,C39*F22*'数据-取费表'!B21/2,C39*(POWER((1+F22),'数据-取费表'!B21/2)-1)),0)</f>
        <v>10</v>
      </c>
      <c r="D43" s="278"/>
      <c r="E43" s="278"/>
      <c r="F43" s="279"/>
      <c r="G43" s="3122"/>
    </row>
    <row r="44" spans="1:7" ht="13.5" customHeight="1">
      <c r="A44" s="948" t="s">
        <v>793</v>
      </c>
      <c r="B44" s="255" t="s">
        <v>2398</v>
      </c>
      <c r="C44" s="278">
        <f ca="1">ROUND(IF('数据-取费表'!B22&lt;=1,C40*F22*'数据-取费表'!B21/2,C40*(POWER((1+F22),'数据-取费表'!B21/2)-1)),4)</f>
        <v>5.0000000000000001E-4</v>
      </c>
      <c r="D44" s="278"/>
      <c r="E44" s="278"/>
      <c r="F44" s="279"/>
      <c r="G44" s="3123"/>
    </row>
    <row r="45" spans="1:7" s="254" customFormat="1" ht="13.5" customHeight="1">
      <c r="A45" s="295" t="s">
        <v>2399</v>
      </c>
      <c r="B45" s="284" t="s">
        <v>2365</v>
      </c>
      <c r="C45" s="285">
        <f ca="1">C46</f>
        <v>7248</v>
      </c>
      <c r="D45" s="275">
        <f ca="1">C47</f>
        <v>5.1999999999999998E-3</v>
      </c>
      <c r="E45" s="276" t="s">
        <v>2391</v>
      </c>
      <c r="F45" s="286"/>
      <c r="G45" s="287" t="s">
        <v>2400</v>
      </c>
    </row>
    <row r="46" spans="1:7" s="254" customFormat="1" ht="13.5" customHeight="1">
      <c r="A46" s="948" t="s">
        <v>791</v>
      </c>
      <c r="B46" s="288" t="s">
        <v>2401</v>
      </c>
      <c r="C46" s="289">
        <f ca="1">ROUND((C33+C39)*F27,0)</f>
        <v>7248</v>
      </c>
      <c r="D46" s="303"/>
      <c r="E46" s="276"/>
      <c r="F46" s="286"/>
      <c r="G46" s="287"/>
    </row>
    <row r="47" spans="1:7" s="254" customFormat="1" ht="13.5" customHeight="1">
      <c r="A47" s="948" t="s">
        <v>792</v>
      </c>
      <c r="B47" s="288" t="s">
        <v>2402</v>
      </c>
      <c r="C47" s="278">
        <f ca="1">ROUND(C40*F27,4)</f>
        <v>5.1999999999999998E-3</v>
      </c>
      <c r="D47" s="303"/>
      <c r="E47" s="276"/>
      <c r="F47" s="286"/>
      <c r="G47" s="287"/>
    </row>
    <row r="48" spans="1:7" s="254" customFormat="1" ht="13.5" customHeight="1">
      <c r="A48" s="295" t="s">
        <v>2364</v>
      </c>
      <c r="B48" s="250" t="s">
        <v>2403</v>
      </c>
      <c r="C48" s="1725">
        <f>ROUND(F30/(1+'数据-取费表'!C42),4)</f>
        <v>5.2400000000000002E-2</v>
      </c>
      <c r="D48" s="276" t="s">
        <v>2391</v>
      </c>
      <c r="E48" s="272"/>
      <c r="F48" s="277"/>
      <c r="G48" s="274" t="s">
        <v>2404</v>
      </c>
    </row>
    <row r="49" spans="1:7" ht="16.5" customHeight="1">
      <c r="A49" s="295" t="s">
        <v>2370</v>
      </c>
      <c r="B49" s="250" t="s">
        <v>2405</v>
      </c>
      <c r="C49" s="272">
        <f ca="1">ROUND((C33+C39+C41+C45)/(1-C40-D41-D45-C48),0)</f>
        <v>38811</v>
      </c>
      <c r="D49" s="272"/>
      <c r="E49" s="272"/>
      <c r="F49" s="304"/>
      <c r="G49" s="274" t="s">
        <v>2406</v>
      </c>
    </row>
    <row r="50" spans="1:7" s="298" customFormat="1" ht="24">
      <c r="A50" s="295" t="s">
        <v>2407</v>
      </c>
      <c r="B50" s="250" t="s">
        <v>2408</v>
      </c>
      <c r="C50" s="272"/>
      <c r="D50" s="272"/>
      <c r="E50" s="272"/>
      <c r="F50" s="304">
        <f>IF('数据-取费表'!B24=0,'数据-取费表'!N16,1)</f>
        <v>1</v>
      </c>
      <c r="G50" s="287" t="s">
        <v>2409</v>
      </c>
    </row>
    <row r="51" spans="1:7" ht="16.5" customHeight="1">
      <c r="A51" s="295" t="s">
        <v>2410</v>
      </c>
      <c r="B51" s="250" t="s">
        <v>2411</v>
      </c>
      <c r="C51" s="272">
        <f ca="1">ROUND(C49*F50,0)</f>
        <v>38811</v>
      </c>
      <c r="D51" s="272"/>
      <c r="E51" s="272"/>
      <c r="F51" s="304"/>
      <c r="G51" s="274" t="s">
        <v>2412</v>
      </c>
    </row>
    <row r="52" spans="1:7" s="248" customFormat="1" ht="16.5" thickBot="1">
      <c r="A52" s="305" t="s">
        <v>2413</v>
      </c>
      <c r="B52" s="306"/>
      <c r="C52" s="307">
        <f ca="1">C31+C51</f>
        <v>460473</v>
      </c>
      <c r="D52" s="306"/>
      <c r="E52" s="306"/>
      <c r="F52" s="306"/>
      <c r="G52" s="308"/>
    </row>
    <row r="55" spans="1:7" ht="15">
      <c r="B55" s="310" t="s">
        <v>2414</v>
      </c>
      <c r="C55" s="311"/>
    </row>
    <row r="56" spans="1:7">
      <c r="B56" s="313" t="s">
        <v>1513</v>
      </c>
      <c r="C56" s="315">
        <f ca="1">1-C57</f>
        <v>0.91600000000000004</v>
      </c>
    </row>
    <row r="57" spans="1:7">
      <c r="B57" s="313" t="s">
        <v>1514</v>
      </c>
      <c r="C57" s="314">
        <f ca="1">ROUND(C51/C52,3)</f>
        <v>8.4000000000000005E-2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2313</v>
      </c>
      <c r="B1" s="1934"/>
      <c r="C1" s="2549" t="s">
        <v>2415</v>
      </c>
      <c r="D1" s="238"/>
      <c r="E1" s="238"/>
      <c r="F1" s="238"/>
      <c r="G1" s="1376">
        <f>MATCH(B1,'数据-取费表'!A6:A16,0)+5</f>
        <v>9</v>
      </c>
      <c r="H1" s="1279" t="str">
        <f>IF(ISERROR(FIND("住宅",B1)),"非住宅","住宅")</f>
        <v>非住宅</v>
      </c>
    </row>
    <row r="2" spans="1:8" s="240" customFormat="1" ht="18" customHeight="1">
      <c r="A2" s="241" t="s">
        <v>2314</v>
      </c>
      <c r="B2" s="242">
        <f ca="1">ROUND(IF(D2="——",C52/10000,C52/10000-E2),0)</f>
        <v>111903</v>
      </c>
      <c r="C2" s="239" t="s">
        <v>2315</v>
      </c>
      <c r="D2" s="2543" t="s">
        <v>70</v>
      </c>
      <c r="E2" s="1437" t="e">
        <f ca="1">SUMIF(INDIRECT("'"&amp;G2&amp;"'"&amp;"!A:A"),"承租人权益价值",INDIRECT("'"&amp;G2&amp;"'"&amp;"!c:c"))</f>
        <v>#REF!</v>
      </c>
      <c r="F2" s="2544" t="s">
        <v>2315</v>
      </c>
      <c r="G2" s="2545"/>
    </row>
    <row r="3" spans="1:8" s="240" customFormat="1" ht="18" customHeight="1" thickBot="1">
      <c r="A3" s="243" t="s">
        <v>2316</v>
      </c>
      <c r="B3" s="244">
        <f ca="1">ROUND(B2*10000/(IF(B1="",'数据-汇总表'!E3,INDIRECT("'数据-取费表'!k"&amp;$G$1))),0)</f>
        <v>6101</v>
      </c>
      <c r="C3" s="239" t="s">
        <v>2317</v>
      </c>
      <c r="D3" s="239"/>
      <c r="E3" s="239"/>
      <c r="F3" s="239"/>
      <c r="G3" s="239"/>
    </row>
    <row r="4" spans="1:8" s="248" customFormat="1" ht="15.75">
      <c r="A4" s="245" t="s">
        <v>2318</v>
      </c>
      <c r="B4" s="246"/>
      <c r="C4" s="246"/>
      <c r="D4" s="246"/>
      <c r="E4" s="246"/>
      <c r="F4" s="246"/>
      <c r="G4" s="247"/>
    </row>
    <row r="5" spans="1:8" s="254" customFormat="1" ht="13.5" customHeight="1">
      <c r="A5" s="295" t="s">
        <v>2319</v>
      </c>
      <c r="B5" s="250" t="s">
        <v>2320</v>
      </c>
      <c r="C5" s="251">
        <f ca="1">C6+C7+C8</f>
        <v>34846950</v>
      </c>
      <c r="D5" s="251" t="s">
        <v>2321</v>
      </c>
      <c r="E5" s="252" t="s">
        <v>2322</v>
      </c>
      <c r="F5" s="252" t="s">
        <v>2323</v>
      </c>
      <c r="G5" s="253"/>
    </row>
    <row r="6" spans="1:8" s="254" customFormat="1" ht="13.5" customHeight="1">
      <c r="A6" s="946" t="s">
        <v>2324</v>
      </c>
      <c r="B6" s="255" t="s">
        <v>2325</v>
      </c>
      <c r="C6" s="256"/>
      <c r="D6" s="257"/>
      <c r="E6" s="258"/>
      <c r="F6" s="258"/>
      <c r="G6" s="259"/>
    </row>
    <row r="7" spans="1:8" s="254" customFormat="1" ht="13.5" customHeight="1">
      <c r="A7" s="946" t="s">
        <v>2326</v>
      </c>
      <c r="B7" s="255" t="s">
        <v>2327</v>
      </c>
      <c r="C7" s="260">
        <f>ROUND(C6*F7,0)</f>
        <v>0</v>
      </c>
      <c r="D7" s="260"/>
      <c r="E7" s="258"/>
      <c r="F7" s="261">
        <f>'数据-取费表'!B48+'数据-取费表'!B49</f>
        <v>3.0499999999999999E-2</v>
      </c>
      <c r="G7" s="259"/>
    </row>
    <row r="8" spans="1:8" s="263" customFormat="1">
      <c r="A8" s="946" t="s">
        <v>2328</v>
      </c>
      <c r="B8" s="255" t="s">
        <v>2329</v>
      </c>
      <c r="C8" s="260">
        <f ca="1">IF(G8="已包含在土地购买价格中",0,C9+C10)</f>
        <v>34846950</v>
      </c>
      <c r="D8" s="262"/>
      <c r="E8" s="260"/>
      <c r="F8" s="261"/>
      <c r="G8" s="2546"/>
    </row>
    <row r="9" spans="1:8" s="254" customFormat="1" ht="13.5" customHeight="1">
      <c r="A9" s="947" t="s">
        <v>800</v>
      </c>
      <c r="B9" s="264" t="s">
        <v>2330</v>
      </c>
      <c r="C9" s="265">
        <f ca="1">ROUND(D9*E9,0)</f>
        <v>0</v>
      </c>
      <c r="D9" s="1029">
        <f ca="1">IF(B1="",'数据-汇总表'!E5,IF(INDIRECT("'数据-取费表'!c"&amp;$G$1)="住宅",INDIRECT("'数据-取费表'!k"&amp;$G$1),0))</f>
        <v>0</v>
      </c>
      <c r="E9" s="265">
        <f>'数据-取费表'!B27</f>
        <v>150</v>
      </c>
      <c r="F9" s="261"/>
      <c r="G9" s="266"/>
    </row>
    <row r="10" spans="1:8" s="254" customFormat="1" ht="13.5" customHeight="1">
      <c r="A10" s="947" t="s">
        <v>801</v>
      </c>
      <c r="B10" s="264" t="s">
        <v>2332</v>
      </c>
      <c r="C10" s="265">
        <f ca="1">ROUND(D10*E10,0)</f>
        <v>34846950</v>
      </c>
      <c r="D10" s="1029">
        <f ca="1">IF(B1="",'数据-汇总表'!E6,IF(INDIRECT("'数据-取费表'!c"&amp;$G$1)="住宅",INDIRECT("'数据-取费表'!s"&amp;$G$1),INDIRECT("'数据-取费表'!k"&amp;$G$1)+INDIRECT("'数据-取费表'!s"&amp;$G$1)))</f>
        <v>183405</v>
      </c>
      <c r="E10" s="265">
        <f>'数据-取费表'!B28</f>
        <v>190</v>
      </c>
      <c r="F10" s="261"/>
      <c r="G10" s="266"/>
    </row>
    <row r="11" spans="1:8" s="254" customFormat="1" ht="13.5" hidden="1" customHeight="1">
      <c r="A11" s="267" t="s">
        <v>7</v>
      </c>
      <c r="B11" s="255" t="s">
        <v>2333</v>
      </c>
      <c r="C11" s="251"/>
      <c r="D11" s="1031"/>
      <c r="E11" s="258"/>
      <c r="F11" s="258"/>
      <c r="G11" s="259"/>
    </row>
    <row r="12" spans="1:8" s="254" customFormat="1" ht="13.5" hidden="1" customHeight="1">
      <c r="A12" s="267" t="s">
        <v>8</v>
      </c>
      <c r="B12" s="255" t="s">
        <v>2416</v>
      </c>
      <c r="C12" s="251">
        <v>0</v>
      </c>
      <c r="D12" s="1031"/>
      <c r="E12" s="268"/>
      <c r="F12" s="261">
        <v>3.0499999999999999E-2</v>
      </c>
      <c r="G12" s="259"/>
    </row>
    <row r="13" spans="1:8" s="254" customFormat="1" ht="13.5" hidden="1" customHeight="1">
      <c r="A13" s="267" t="s">
        <v>9</v>
      </c>
      <c r="B13" s="255" t="s">
        <v>2417</v>
      </c>
      <c r="C13" s="251"/>
      <c r="D13" s="1031"/>
      <c r="E13" s="258"/>
      <c r="F13" s="258"/>
      <c r="G13" s="259"/>
    </row>
    <row r="14" spans="1:8" s="254" customFormat="1" ht="13.5" hidden="1" customHeight="1">
      <c r="A14" s="267" t="s">
        <v>10</v>
      </c>
      <c r="B14" s="255" t="s">
        <v>2329</v>
      </c>
      <c r="C14" s="251"/>
      <c r="D14" s="1031"/>
      <c r="E14" s="258"/>
      <c r="F14" s="258"/>
      <c r="G14" s="259" t="s">
        <v>2418</v>
      </c>
    </row>
    <row r="15" spans="1:8" s="254" customFormat="1" ht="13.5" hidden="1" customHeight="1">
      <c r="A15" s="267" t="s">
        <v>11</v>
      </c>
      <c r="B15" s="255" t="s">
        <v>2419</v>
      </c>
      <c r="C15" s="260"/>
      <c r="D15" s="1031"/>
      <c r="E15" s="258"/>
      <c r="F15" s="258"/>
      <c r="G15" s="259" t="s">
        <v>2420</v>
      </c>
    </row>
    <row r="16" spans="1:8" s="254" customFormat="1" ht="13.5" hidden="1" customHeight="1">
      <c r="A16" s="267" t="s">
        <v>12</v>
      </c>
      <c r="B16" s="255" t="s">
        <v>2329</v>
      </c>
      <c r="C16" s="260"/>
      <c r="D16" s="1031"/>
      <c r="E16" s="258"/>
      <c r="F16" s="258"/>
      <c r="G16" s="259"/>
    </row>
    <row r="17" spans="1:7" s="254" customFormat="1" ht="13.5" hidden="1" customHeight="1">
      <c r="A17" s="267" t="s">
        <v>13</v>
      </c>
      <c r="B17" s="255" t="s">
        <v>2421</v>
      </c>
      <c r="C17" s="269"/>
      <c r="D17" s="1032"/>
      <c r="E17" s="269"/>
      <c r="F17" s="269"/>
      <c r="G17" s="259" t="s">
        <v>2420</v>
      </c>
    </row>
    <row r="18" spans="1:7" s="254" customFormat="1" ht="13.5" hidden="1" customHeight="1">
      <c r="A18" s="267" t="s">
        <v>14</v>
      </c>
      <c r="B18" s="255" t="s">
        <v>2422</v>
      </c>
      <c r="C18" s="260">
        <v>0</v>
      </c>
      <c r="D18" s="1031"/>
      <c r="E18" s="258"/>
      <c r="F18" s="261">
        <v>3.0499999999999999E-2</v>
      </c>
      <c r="G18" s="259" t="s">
        <v>2423</v>
      </c>
    </row>
    <row r="19" spans="1:7" s="263" customFormat="1" ht="13.5" customHeight="1">
      <c r="A19" s="295" t="s">
        <v>2424</v>
      </c>
      <c r="B19" s="250" t="s">
        <v>2425</v>
      </c>
      <c r="C19" s="251">
        <f ca="1">IF(G19="已包含在土地取得成本中","0",ROUND(D19*E19,0))</f>
        <v>36681000</v>
      </c>
      <c r="D19" s="1033">
        <f ca="1">D9+D10</f>
        <v>183405</v>
      </c>
      <c r="E19" s="251">
        <f>'数据-取费表'!B31</f>
        <v>200</v>
      </c>
      <c r="F19" s="271"/>
      <c r="G19" s="2546"/>
    </row>
    <row r="20" spans="1:7" s="254" customFormat="1" ht="13.5" customHeight="1">
      <c r="A20" s="295" t="s">
        <v>2426</v>
      </c>
      <c r="B20" s="250" t="s">
        <v>2427</v>
      </c>
      <c r="C20" s="272">
        <f ca="1">ROUND((C5+C19)*F20,0)</f>
        <v>1072919</v>
      </c>
      <c r="D20" s="272"/>
      <c r="E20" s="272"/>
      <c r="F20" s="273">
        <f>'数据-取费表'!B37</f>
        <v>1.4999999999999999E-2</v>
      </c>
      <c r="G20" s="274" t="s">
        <v>2428</v>
      </c>
    </row>
    <row r="21" spans="1:7" s="254" customFormat="1" ht="13.5" customHeight="1">
      <c r="A21" s="295" t="s">
        <v>2429</v>
      </c>
      <c r="B21" s="250" t="s">
        <v>2430</v>
      </c>
      <c r="C21" s="275">
        <f>F21</f>
        <v>0.02</v>
      </c>
      <c r="D21" s="276" t="s">
        <v>2431</v>
      </c>
      <c r="E21" s="272"/>
      <c r="F21" s="273">
        <f>'数据-取费表'!B38</f>
        <v>0.02</v>
      </c>
      <c r="G21" s="274" t="s">
        <v>2432</v>
      </c>
    </row>
    <row r="22" spans="1:7" s="254" customFormat="1" ht="13.5" customHeight="1">
      <c r="A22" s="295" t="s">
        <v>2433</v>
      </c>
      <c r="B22" s="250" t="s">
        <v>2434</v>
      </c>
      <c r="C22" s="1377">
        <f ca="1">ROUND(SUM(C23:C25),0)</f>
        <v>10761899</v>
      </c>
      <c r="D22" s="275">
        <f ca="1">C26</f>
        <v>1.4E-3</v>
      </c>
      <c r="E22" s="276" t="s">
        <v>2431</v>
      </c>
      <c r="F22" s="277">
        <f ca="1">'数据-取费表'!B40</f>
        <v>4.7500000000000001E-2</v>
      </c>
      <c r="G22" s="274" t="str">
        <f>IF('数据-取费表'!B22&lt;=1,"单利计息","复利计息")</f>
        <v>复利计息</v>
      </c>
    </row>
    <row r="23" spans="1:7" s="254" customFormat="1" ht="13.5" customHeight="1">
      <c r="A23" s="948" t="s">
        <v>2324</v>
      </c>
      <c r="B23" s="255" t="s">
        <v>2435</v>
      </c>
      <c r="C23" s="1378">
        <f ca="1">ROUND(IF('数据-取费表'!B22&lt;=1,C5*F22*'数据-取费表'!B22,C5*(POWER((1+F22),'数据-取费表'!B22)-1)),0)</f>
        <v>5205295</v>
      </c>
      <c r="D23" s="278"/>
      <c r="E23" s="278"/>
      <c r="F23" s="279"/>
      <c r="G23" s="280" t="s">
        <v>2436</v>
      </c>
    </row>
    <row r="24" spans="1:7" s="254" customFormat="1" ht="13.5" customHeight="1">
      <c r="A24" s="948" t="s">
        <v>2326</v>
      </c>
      <c r="B24" s="255" t="s">
        <v>2437</v>
      </c>
      <c r="C24" s="1378">
        <f ca="1">ROUND(IF('数据-取费表'!B22&lt;=1,C19*F22*('数据-取费表'!B19/2+'数据-取费表'!B20),C19*(POWER((1+F22),('数据-取费表'!B19/2+'数据-取费表'!B20))-1)),0)</f>
        <v>5479258</v>
      </c>
      <c r="D24" s="278"/>
      <c r="E24" s="278"/>
      <c r="F24" s="279"/>
      <c r="G24" s="280" t="s">
        <v>2438</v>
      </c>
    </row>
    <row r="25" spans="1:7" s="254" customFormat="1" ht="24">
      <c r="A25" s="948" t="s">
        <v>2328</v>
      </c>
      <c r="B25" s="255" t="s">
        <v>2439</v>
      </c>
      <c r="C25" s="1378">
        <f ca="1">ROUND(IF('数据-取费表'!B22&lt;=1,C20*F22*'数据-取费表'!B22/2,C20*(POWER((1+F22),'数据-取费表'!B22/2)-1)),0)</f>
        <v>77346</v>
      </c>
      <c r="D25" s="278"/>
      <c r="E25" s="281"/>
      <c r="F25" s="279"/>
      <c r="G25" s="282" t="s">
        <v>2440</v>
      </c>
    </row>
    <row r="26" spans="1:7" s="254" customFormat="1">
      <c r="A26" s="948" t="s">
        <v>795</v>
      </c>
      <c r="B26" s="255" t="s">
        <v>2363</v>
      </c>
      <c r="C26" s="278">
        <f ca="1">ROUND(IF('数据-取费表'!B22&lt;=1,F21*F22*'数据-取费表'!B22/2,F21*(POWER((1+F22),'数据-取费表'!B22/2)-1)),4)</f>
        <v>1.4E-3</v>
      </c>
      <c r="D26" s="278"/>
      <c r="E26" s="281"/>
      <c r="F26" s="279"/>
      <c r="G26" s="283"/>
    </row>
    <row r="27" spans="1:7" s="254" customFormat="1" ht="24.75">
      <c r="A27" s="295" t="s">
        <v>2364</v>
      </c>
      <c r="B27" s="284" t="s">
        <v>2365</v>
      </c>
      <c r="C27" s="285">
        <f ca="1">C28</f>
        <v>18876226</v>
      </c>
      <c r="D27" s="275">
        <f ca="1">C29</f>
        <v>5.1999999999999998E-3</v>
      </c>
      <c r="E27" s="276" t="s">
        <v>2366</v>
      </c>
      <c r="F27" s="286">
        <f ca="1">IF(B1="",'数据-取费表'!Q16,INDIRECT("'数据-取费表'!q"&amp;$G$1))</f>
        <v>0.26</v>
      </c>
      <c r="G27" s="287" t="s">
        <v>2367</v>
      </c>
    </row>
    <row r="28" spans="1:7" s="254" customFormat="1" ht="13.5" customHeight="1">
      <c r="A28" s="948" t="s">
        <v>791</v>
      </c>
      <c r="B28" s="288" t="s">
        <v>2368</v>
      </c>
      <c r="C28" s="289">
        <f ca="1">ROUND((C5+C19+C20)*F27,0)</f>
        <v>18876226</v>
      </c>
      <c r="D28" s="275"/>
      <c r="E28" s="276"/>
      <c r="F28" s="286"/>
      <c r="G28" s="287"/>
    </row>
    <row r="29" spans="1:7" s="254" customFormat="1" ht="13.5" customHeight="1">
      <c r="A29" s="948" t="s">
        <v>792</v>
      </c>
      <c r="B29" s="288" t="s">
        <v>2369</v>
      </c>
      <c r="C29" s="278">
        <f ca="1">ROUND(C21*F27,4)</f>
        <v>5.1999999999999998E-3</v>
      </c>
      <c r="D29" s="275"/>
      <c r="E29" s="276"/>
      <c r="F29" s="286"/>
      <c r="G29" s="287"/>
    </row>
    <row r="30" spans="1:7" s="254" customFormat="1" ht="13.5" customHeight="1">
      <c r="A30" s="295" t="s">
        <v>2370</v>
      </c>
      <c r="B30" s="250" t="s">
        <v>2371</v>
      </c>
      <c r="C30" s="275">
        <f>ROUND(F30/(1+'数据-取费表'!C42),4)</f>
        <v>5.2400000000000002E-2</v>
      </c>
      <c r="D30" s="276" t="s">
        <v>2366</v>
      </c>
      <c r="E30" s="281"/>
      <c r="F30" s="277">
        <f>'数据-取费表'!B41</f>
        <v>5.5000000000000007E-2</v>
      </c>
      <c r="G30" s="274" t="s">
        <v>2372</v>
      </c>
    </row>
    <row r="31" spans="1:7" ht="16.5" customHeight="1">
      <c r="A31" s="249">
        <v>1</v>
      </c>
      <c r="B31" s="250" t="s">
        <v>2373</v>
      </c>
      <c r="C31" s="251">
        <f ca="1">ROUND((C5+C19+C20+C22+C27)/(1-C21-D22-D27-C30),0)</f>
        <v>111008680</v>
      </c>
      <c r="D31" s="270"/>
      <c r="E31" s="251"/>
      <c r="F31" s="290"/>
      <c r="G31" s="274" t="s">
        <v>2374</v>
      </c>
    </row>
    <row r="32" spans="1:7" s="248" customFormat="1" ht="15.75">
      <c r="A32" s="292" t="s">
        <v>2441</v>
      </c>
      <c r="B32" s="293"/>
      <c r="C32" s="293"/>
      <c r="D32" s="293"/>
      <c r="E32" s="293"/>
      <c r="F32" s="293"/>
      <c r="G32" s="294"/>
    </row>
    <row r="33" spans="1:7" s="254" customFormat="1" ht="13.5" customHeight="1">
      <c r="A33" s="295" t="s">
        <v>782</v>
      </c>
      <c r="B33" s="250" t="s">
        <v>2442</v>
      </c>
      <c r="C33" s="296">
        <f ca="1">SUM(C34:C38)</f>
        <v>686638083</v>
      </c>
      <c r="D33" s="272"/>
      <c r="E33" s="252"/>
      <c r="F33" s="281"/>
      <c r="G33" s="274"/>
    </row>
    <row r="34" spans="1:7" s="298" customFormat="1" ht="13.5" customHeight="1">
      <c r="A34" s="948" t="s">
        <v>791</v>
      </c>
      <c r="B34" s="255" t="s">
        <v>2377</v>
      </c>
      <c r="C34" s="260">
        <f ca="1">ROUND(IF(B1="",SUMPRODUCT('数据-取费表'!K6:K14,'数据-取费表'!L6:L14),INDIRECT("'数据-取费表'!l"&amp;$G$1)*INDIRECT("'数据-取费表'!k"&amp;$G$1)+'数据-取费表'!L14*INDIRECT("'数据-取费表'!S"&amp;$G$1)),0)</f>
        <v>621968500</v>
      </c>
      <c r="D34" s="257"/>
      <c r="E34" s="260"/>
      <c r="F34" s="297"/>
      <c r="G34" s="259"/>
    </row>
    <row r="35" spans="1:7" ht="13.5" customHeight="1">
      <c r="A35" s="948" t="s">
        <v>796</v>
      </c>
      <c r="B35" s="255" t="s">
        <v>2379</v>
      </c>
      <c r="C35" s="260">
        <f ca="1">ROUND(C34*F35,0)</f>
        <v>18659055</v>
      </c>
      <c r="D35" s="260"/>
      <c r="E35" s="260"/>
      <c r="F35" s="299">
        <f>'数据-取费表'!B33</f>
        <v>0.03</v>
      </c>
      <c r="G35" s="259" t="s">
        <v>2380</v>
      </c>
    </row>
    <row r="36" spans="1:7" ht="24">
      <c r="A36" s="948" t="s">
        <v>797</v>
      </c>
      <c r="B36" s="255" t="s">
        <v>2381</v>
      </c>
      <c r="C36" s="260">
        <f ca="1">ROUND(IF(B1="",SUM('数据-取费表'!AP6:AP13)*F36,IF(INDIRECT("'数据-取费表'!c"&amp;$G$1)="住宅",INDIRECT("'数据-取费表'!k"&amp;$G$1)*INDIRECT("'数据-取费表'!l"&amp;$G$1)*F36,0)),0)</f>
        <v>0</v>
      </c>
      <c r="D36" s="260"/>
      <c r="E36" s="260"/>
      <c r="F36" s="299">
        <f>'数据-取费表'!B34</f>
        <v>0</v>
      </c>
      <c r="G36" s="300" t="s">
        <v>2382</v>
      </c>
    </row>
    <row r="37" spans="1:7" s="298" customFormat="1" ht="13.5" customHeight="1">
      <c r="A37" s="948" t="s">
        <v>798</v>
      </c>
      <c r="B37" s="255" t="s">
        <v>2383</v>
      </c>
      <c r="C37" s="289">
        <f ca="1">ROUND(E37*D37,0)</f>
        <v>36681000</v>
      </c>
      <c r="D37" s="257">
        <f ca="1">D19</f>
        <v>183405</v>
      </c>
      <c r="E37" s="289">
        <f>'数据-取费表'!B35</f>
        <v>200</v>
      </c>
      <c r="F37" s="299"/>
      <c r="G37" s="301"/>
    </row>
    <row r="38" spans="1:7" ht="13.5" customHeight="1">
      <c r="A38" s="948" t="s">
        <v>799</v>
      </c>
      <c r="B38" s="255" t="s">
        <v>2385</v>
      </c>
      <c r="C38" s="260">
        <f ca="1">ROUND(C34*F38,0)</f>
        <v>9329528</v>
      </c>
      <c r="D38" s="260"/>
      <c r="E38" s="260"/>
      <c r="F38" s="299">
        <f>'数据-取费表'!B36</f>
        <v>1.4999999999999999E-2</v>
      </c>
      <c r="G38" s="259" t="s">
        <v>2380</v>
      </c>
    </row>
    <row r="39" spans="1:7" s="254" customFormat="1" ht="13.5" customHeight="1">
      <c r="A39" s="295" t="s">
        <v>2386</v>
      </c>
      <c r="B39" s="250" t="s">
        <v>2387</v>
      </c>
      <c r="C39" s="272">
        <f ca="1">ROUND(C33*F20,0)</f>
        <v>10299571</v>
      </c>
      <c r="D39" s="272"/>
      <c r="E39" s="272"/>
      <c r="F39" s="273"/>
      <c r="G39" s="274" t="s">
        <v>2388</v>
      </c>
    </row>
    <row r="40" spans="1:7" s="254" customFormat="1" ht="13.5" customHeight="1">
      <c r="A40" s="295" t="s">
        <v>2389</v>
      </c>
      <c r="B40" s="250" t="s">
        <v>2390</v>
      </c>
      <c r="C40" s="1725">
        <f>F21</f>
        <v>0.02</v>
      </c>
      <c r="D40" s="276" t="s">
        <v>2391</v>
      </c>
      <c r="E40" s="272"/>
      <c r="F40" s="273"/>
      <c r="G40" s="274" t="s">
        <v>2392</v>
      </c>
    </row>
    <row r="41" spans="1:7" s="254" customFormat="1" ht="13.5" customHeight="1">
      <c r="A41" s="295" t="s">
        <v>2393</v>
      </c>
      <c r="B41" s="250" t="s">
        <v>2394</v>
      </c>
      <c r="C41" s="272">
        <f ca="1">ROUND(SUM(C42:C43),0)</f>
        <v>50241895</v>
      </c>
      <c r="D41" s="275">
        <f ca="1">C44</f>
        <v>1.4E-3</v>
      </c>
      <c r="E41" s="276" t="s">
        <v>2391</v>
      </c>
      <c r="F41" s="277"/>
      <c r="G41" s="274" t="str">
        <f>IF('数据-取费表'!B22&lt;=1,"单利计息","复利计息")</f>
        <v>复利计息</v>
      </c>
    </row>
    <row r="42" spans="1:7" ht="13.5" customHeight="1">
      <c r="A42" s="948" t="s">
        <v>791</v>
      </c>
      <c r="B42" s="255" t="s">
        <v>2395</v>
      </c>
      <c r="C42" s="278">
        <f ca="1">ROUND(IF('数据-取费表'!B22&lt;=1,C33*F22*'数据-取费表'!B20/2,C33*(POWER((1+F22),'数据-取费表'!B20/2)-1)),0)</f>
        <v>49499404</v>
      </c>
      <c r="D42" s="278"/>
      <c r="E42" s="278"/>
      <c r="F42" s="279"/>
      <c r="G42" s="3121" t="s">
        <v>2443</v>
      </c>
    </row>
    <row r="43" spans="1:7" ht="13.5" customHeight="1">
      <c r="A43" s="948" t="s">
        <v>792</v>
      </c>
      <c r="B43" s="255" t="s">
        <v>2397</v>
      </c>
      <c r="C43" s="278">
        <f ca="1">ROUND(IF('数据-取费表'!B22&lt;=1,C39*F22*'数据-取费表'!B20/2,C39*(POWER((1+F22),'数据-取费表'!B20/2)-1)),0)</f>
        <v>742491</v>
      </c>
      <c r="D43" s="278"/>
      <c r="E43" s="278"/>
      <c r="F43" s="279"/>
      <c r="G43" s="3122"/>
    </row>
    <row r="44" spans="1:7" ht="13.5" customHeight="1">
      <c r="A44" s="948" t="s">
        <v>793</v>
      </c>
      <c r="B44" s="255" t="s">
        <v>2398</v>
      </c>
      <c r="C44" s="278">
        <f ca="1">ROUND(IF('数据-取费表'!B22&lt;=1,C40*F22*'数据-取费表'!B20/2,C40*(POWER((1+F22),'数据-取费表'!B20/2)-1)),4)</f>
        <v>1.4E-3</v>
      </c>
      <c r="D44" s="278"/>
      <c r="E44" s="278"/>
      <c r="F44" s="279"/>
      <c r="G44" s="3123"/>
    </row>
    <row r="45" spans="1:7" s="254" customFormat="1" ht="13.5" customHeight="1">
      <c r="A45" s="295" t="s">
        <v>2399</v>
      </c>
      <c r="B45" s="284" t="s">
        <v>2365</v>
      </c>
      <c r="C45" s="285">
        <f ca="1">C46</f>
        <v>181203790</v>
      </c>
      <c r="D45" s="275">
        <f ca="1">C47</f>
        <v>5.1999999999999998E-3</v>
      </c>
      <c r="E45" s="276" t="s">
        <v>2391</v>
      </c>
      <c r="F45" s="286"/>
      <c r="G45" s="287" t="s">
        <v>2400</v>
      </c>
    </row>
    <row r="46" spans="1:7" s="254" customFormat="1" ht="13.5" customHeight="1">
      <c r="A46" s="948" t="s">
        <v>791</v>
      </c>
      <c r="B46" s="288" t="s">
        <v>2401</v>
      </c>
      <c r="C46" s="289">
        <f ca="1">ROUND((C33+C39)*F27,0)</f>
        <v>181203790</v>
      </c>
      <c r="D46" s="303"/>
      <c r="E46" s="276"/>
      <c r="F46" s="286"/>
      <c r="G46" s="287"/>
    </row>
    <row r="47" spans="1:7" s="254" customFormat="1" ht="13.5" customHeight="1">
      <c r="A47" s="948" t="s">
        <v>792</v>
      </c>
      <c r="B47" s="288" t="s">
        <v>2402</v>
      </c>
      <c r="C47" s="278">
        <f ca="1">ROUND(C40*F27,4)</f>
        <v>5.1999999999999998E-3</v>
      </c>
      <c r="D47" s="303"/>
      <c r="E47" s="276"/>
      <c r="F47" s="286"/>
      <c r="G47" s="287"/>
    </row>
    <row r="48" spans="1:7" s="254" customFormat="1" ht="13.5" customHeight="1">
      <c r="A48" s="295" t="s">
        <v>2364</v>
      </c>
      <c r="B48" s="250" t="s">
        <v>2403</v>
      </c>
      <c r="C48" s="302">
        <f>ROUND(F30/(1+'数据-取费表'!C42),4)</f>
        <v>5.2400000000000002E-2</v>
      </c>
      <c r="D48" s="276" t="s">
        <v>2391</v>
      </c>
      <c r="E48" s="272"/>
      <c r="F48" s="277"/>
      <c r="G48" s="274" t="s">
        <v>2404</v>
      </c>
    </row>
    <row r="49" spans="1:7" ht="16.5" customHeight="1">
      <c r="A49" s="295" t="s">
        <v>2370</v>
      </c>
      <c r="B49" s="250" t="s">
        <v>2444</v>
      </c>
      <c r="C49" s="272">
        <f ca="1">ROUND((C33+C39+C41+C45)/(1-C40-D41-D45-C48),0)</f>
        <v>1008016655</v>
      </c>
      <c r="D49" s="272"/>
      <c r="E49" s="272"/>
      <c r="F49" s="304"/>
      <c r="G49" s="274" t="s">
        <v>2406</v>
      </c>
    </row>
    <row r="50" spans="1:7" s="298" customFormat="1">
      <c r="A50" s="295" t="s">
        <v>2407</v>
      </c>
      <c r="B50" s="250" t="s">
        <v>2408</v>
      </c>
      <c r="C50" s="272"/>
      <c r="D50" s="272"/>
      <c r="E50" s="272"/>
      <c r="F50" s="304">
        <f>IF('数据-取费表'!B24=0,'数据-取费表'!N16,1)</f>
        <v>1</v>
      </c>
      <c r="G50" s="287"/>
    </row>
    <row r="51" spans="1:7" ht="16.5" customHeight="1">
      <c r="A51" s="295" t="s">
        <v>2410</v>
      </c>
      <c r="B51" s="250" t="s">
        <v>2445</v>
      </c>
      <c r="C51" s="272">
        <f ca="1">ROUND(C49*F50,0)</f>
        <v>1008016655</v>
      </c>
      <c r="D51" s="272"/>
      <c r="E51" s="272"/>
      <c r="F51" s="304"/>
      <c r="G51" s="274" t="s">
        <v>2412</v>
      </c>
    </row>
    <row r="52" spans="1:7" s="248" customFormat="1" ht="16.5" thickBot="1">
      <c r="A52" s="305" t="s">
        <v>2413</v>
      </c>
      <c r="B52" s="306"/>
      <c r="C52" s="307">
        <f ca="1">C31+C51</f>
        <v>1119025335</v>
      </c>
      <c r="D52" s="306"/>
      <c r="E52" s="306"/>
      <c r="F52" s="306"/>
      <c r="G52" s="308"/>
    </row>
    <row r="55" spans="1:7" ht="15">
      <c r="B55" s="310" t="s">
        <v>2414</v>
      </c>
      <c r="C55" s="311"/>
    </row>
    <row r="56" spans="1:7">
      <c r="B56" s="313" t="s">
        <v>1513</v>
      </c>
      <c r="C56" s="315">
        <f ca="1">1-C57</f>
        <v>9.8999999999999977E-2</v>
      </c>
    </row>
    <row r="57" spans="1:7">
      <c r="B57" s="313" t="s">
        <v>1514</v>
      </c>
      <c r="C57" s="314">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8" sqref="M28"/>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6" t="s">
        <v>2446</v>
      </c>
      <c r="B1" s="1578"/>
      <c r="C1" s="1579"/>
      <c r="D1" s="1577"/>
      <c r="E1" s="316"/>
      <c r="F1" s="316"/>
      <c r="G1" s="1578"/>
      <c r="H1" s="316"/>
      <c r="I1" s="316"/>
      <c r="J1" s="316"/>
      <c r="K1" s="316">
        <f>MATCH(C1,'数据-取费表'!A6:A16,0)+5</f>
        <v>9</v>
      </c>
    </row>
    <row r="2" spans="1:33" ht="18" customHeight="1">
      <c r="A2" s="241" t="s">
        <v>2314</v>
      </c>
      <c r="B2" s="244">
        <f ca="1">C32</f>
        <v>203929</v>
      </c>
      <c r="C2" s="316" t="s">
        <v>2447</v>
      </c>
      <c r="D2" s="316"/>
      <c r="E2" s="316"/>
      <c r="F2" s="316"/>
      <c r="G2" s="316"/>
      <c r="H2" s="316"/>
      <c r="I2" s="316"/>
      <c r="J2" s="316"/>
      <c r="K2" s="316"/>
    </row>
    <row r="3" spans="1:33" ht="18" customHeight="1" thickBot="1">
      <c r="A3" s="243" t="s">
        <v>2316</v>
      </c>
      <c r="B3" s="244">
        <f ca="1">ROUND(B2*10000/IF(C1="",'数据-汇总表'!E3,INDIRECT("'数据-取费表'!K"&amp;$K$1)),0)</f>
        <v>11119</v>
      </c>
      <c r="C3" s="316" t="s">
        <v>2448</v>
      </c>
      <c r="D3" s="316"/>
      <c r="E3" s="316"/>
      <c r="F3" s="316"/>
      <c r="G3" s="316"/>
      <c r="H3" s="316"/>
      <c r="I3" s="316"/>
      <c r="J3" s="316"/>
      <c r="K3" s="316"/>
    </row>
    <row r="4" spans="1:33" s="953" customFormat="1" ht="16.5" customHeight="1">
      <c r="A4" s="950" t="s">
        <v>2449</v>
      </c>
      <c r="B4" s="951"/>
      <c r="C4" s="993">
        <f ca="1">SUM(C8:K8)</f>
        <v>344782</v>
      </c>
      <c r="D4" s="951"/>
      <c r="E4" s="951"/>
      <c r="F4" s="951"/>
      <c r="G4" s="951"/>
      <c r="H4" s="951"/>
      <c r="I4" s="951"/>
      <c r="J4" s="951"/>
      <c r="K4" s="952"/>
    </row>
    <row r="5" spans="1:33" s="957" customFormat="1" ht="15">
      <c r="A5" s="954" t="s">
        <v>2450</v>
      </c>
      <c r="B5" s="955" t="s">
        <v>2451</v>
      </c>
      <c r="C5" s="2550" t="s">
        <v>1377</v>
      </c>
      <c r="D5" s="2550" t="s">
        <v>27</v>
      </c>
      <c r="E5" s="2550" t="s">
        <v>2452</v>
      </c>
      <c r="F5" s="2550"/>
      <c r="G5" s="2550"/>
      <c r="H5" s="2550"/>
      <c r="I5" s="2550"/>
      <c r="J5" s="2550"/>
      <c r="K5" s="2550"/>
      <c r="L5" s="3308" t="s">
        <v>1377</v>
      </c>
      <c r="M5" s="3308" t="s">
        <v>27</v>
      </c>
      <c r="N5" s="3308" t="s">
        <v>48</v>
      </c>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6" t="s">
        <v>2453</v>
      </c>
      <c r="C6" s="959">
        <f>'比较法-商业'!B3</f>
        <v>37318</v>
      </c>
      <c r="D6" s="959">
        <f>'比较法-办公'!B3</f>
        <v>22469</v>
      </c>
      <c r="E6" s="959">
        <f ca="1">收益法!B3</f>
        <v>1724</v>
      </c>
      <c r="F6" s="959"/>
      <c r="G6" s="959"/>
      <c r="H6" s="959"/>
      <c r="I6" s="959"/>
      <c r="J6" s="959"/>
      <c r="K6" s="960"/>
      <c r="L6" s="3309">
        <v>36477</v>
      </c>
      <c r="M6" s="3309">
        <v>24562</v>
      </c>
      <c r="N6" s="3309">
        <v>1714</v>
      </c>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36" t="s">
        <v>2455</v>
      </c>
      <c r="C7" s="317">
        <f>SUMIF('数据-汇总表'!$C19:$C33,假设开发法!C5,'数据-汇总表'!$E19:$E33)</f>
        <v>10962.97</v>
      </c>
      <c r="D7" s="317">
        <f>SUMIF('数据-汇总表'!$C19:$C33,假设开发法!D5,'数据-汇总表'!$E19:$E33)</f>
        <v>132544.03000000003</v>
      </c>
      <c r="E7" s="317">
        <f>SUMIF('数据-汇总表'!$C19:$C33,假设开发法!E5,'数据-汇总表'!$E19:$E33)</f>
        <v>35129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3309">
        <v>10962.97</v>
      </c>
      <c r="M7" s="3309">
        <v>132544.03000000003</v>
      </c>
      <c r="N7" s="3309">
        <v>35129</v>
      </c>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2456</v>
      </c>
      <c r="B8" s="173" t="s">
        <v>2457</v>
      </c>
      <c r="C8" s="994">
        <f>'比较法-商业'!B2</f>
        <v>40912</v>
      </c>
      <c r="D8" s="994">
        <f>'比较法-办公'!B2</f>
        <v>297813</v>
      </c>
      <c r="E8" s="994">
        <f ca="1">收益法!B2</f>
        <v>6057</v>
      </c>
      <c r="F8" s="995"/>
      <c r="G8" s="995"/>
      <c r="H8" s="995"/>
      <c r="I8" s="995"/>
      <c r="J8" s="995"/>
      <c r="K8" s="996"/>
      <c r="L8" s="3309">
        <v>39990</v>
      </c>
      <c r="M8" s="3309">
        <v>325555</v>
      </c>
      <c r="N8" s="3309">
        <v>6020</v>
      </c>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1334</v>
      </c>
      <c r="B11" s="969" t="s">
        <v>2465</v>
      </c>
      <c r="C11" s="319">
        <f ca="1">IF(C1="",'数据-取费表'!P16,INDIRECT("'数据-取费表'!p"&amp;$K$1)+INDIRECT("'数据-取费表'!ar"&amp;$K$1))</f>
        <v>37318</v>
      </c>
      <c r="D11" s="970"/>
      <c r="E11" s="371"/>
      <c r="F11" s="971">
        <f ca="1">1-IF('数据-取费表'!B24=0,1,IF(C1="",'数据-取费表'!N16,INDIRECT("'数据-取费表'!n"&amp;$K$1)))</f>
        <v>0.6</v>
      </c>
      <c r="G11" s="8"/>
      <c r="H11" s="965"/>
      <c r="I11" s="965"/>
      <c r="J11" s="965"/>
      <c r="K11" s="966"/>
    </row>
    <row r="12" spans="1:33" s="972" customFormat="1" ht="13.5" customHeight="1">
      <c r="A12" s="968" t="s">
        <v>1335</v>
      </c>
      <c r="B12" s="969" t="s">
        <v>2466</v>
      </c>
      <c r="C12" s="24">
        <f ca="1">ROUND(C11*F12,0)</f>
        <v>1120</v>
      </c>
      <c r="D12" s="970"/>
      <c r="E12" s="371"/>
      <c r="F12" s="973">
        <f>'数据-取费表'!B33</f>
        <v>0.03</v>
      </c>
      <c r="G12" s="8" t="s">
        <v>2467</v>
      </c>
      <c r="H12" s="965"/>
      <c r="I12" s="965"/>
      <c r="J12" s="965"/>
      <c r="K12" s="966"/>
    </row>
    <row r="13" spans="1:33" s="972" customFormat="1" ht="13.5" customHeight="1">
      <c r="A13" s="968" t="s">
        <v>1336</v>
      </c>
      <c r="B13" s="969" t="s">
        <v>2468</v>
      </c>
      <c r="C13" s="24">
        <f ca="1">ROUND(IF(C1="",SUMIF('数据-取费表'!C:C,"住宅",'数据-取费表'!P:P)*F13,IF(INDIRECT("'数据-取费表'!c"&amp;$K$1)="住宅",INDIRECT("'数据-取费表'!P"&amp;$K$1)*F13,0)),0)</f>
        <v>0</v>
      </c>
      <c r="D13" s="1030"/>
      <c r="E13" s="371"/>
      <c r="F13" s="973">
        <f>'数据-取费表'!B34</f>
        <v>0</v>
      </c>
      <c r="G13" s="8" t="s">
        <v>2469</v>
      </c>
      <c r="H13" s="965"/>
      <c r="I13" s="965"/>
      <c r="J13" s="965"/>
      <c r="K13" s="966"/>
    </row>
    <row r="14" spans="1:33" s="974" customFormat="1" ht="13.5" customHeight="1">
      <c r="A14" s="968" t="s">
        <v>1337</v>
      </c>
      <c r="B14" s="969" t="s">
        <v>2470</v>
      </c>
      <c r="C14" s="24">
        <f ca="1">ROUND(D14*E14*F11/10000,0)</f>
        <v>2201</v>
      </c>
      <c r="D14" s="1030">
        <f ca="1">IF(C1="",'数据-汇总表'!E3,INDIRECT("'数据-取费表'!K"&amp;$K$1)+INDIRECT("'数据-取费表'!S"&amp;$K$1))</f>
        <v>183405</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2472</v>
      </c>
      <c r="C15" s="980">
        <f ca="1">ROUND(C11*F15,0)</f>
        <v>560</v>
      </c>
      <c r="D15" s="975"/>
      <c r="E15" s="980"/>
      <c r="F15" s="981">
        <f>'数据-取费表'!B36</f>
        <v>1.4999999999999999E-2</v>
      </c>
      <c r="G15" s="136"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41199</v>
      </c>
      <c r="D16" s="975"/>
      <c r="E16" s="980"/>
      <c r="F16" s="981"/>
      <c r="G16" s="136"/>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183405</v>
      </c>
      <c r="E17" s="24">
        <f>'数据-取费表'!B32</f>
        <v>0</v>
      </c>
      <c r="F17" s="975"/>
      <c r="G17" s="136" t="s">
        <v>2476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2477</v>
      </c>
      <c r="C18" s="24">
        <f ca="1">C19+C20-IF(C1="",'数据-取费表'!B29,IF(G18="已全部缴纳",C19+C20,H18))</f>
        <v>0</v>
      </c>
      <c r="D18" s="1030"/>
      <c r="E18" s="24"/>
      <c r="F18" s="973"/>
      <c r="G18" s="2552"/>
      <c r="H18" s="1574"/>
      <c r="I18" s="2553"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150</v>
      </c>
      <c r="F19" s="973"/>
      <c r="G19" s="15"/>
      <c r="H19" s="1576"/>
      <c r="I19" s="978"/>
      <c r="J19" s="978"/>
      <c r="K19" s="979"/>
    </row>
    <row r="20" spans="1:33" s="972" customFormat="1" ht="13.5" customHeight="1">
      <c r="A20" s="968" t="s">
        <v>806</v>
      </c>
      <c r="B20" s="969" t="s">
        <v>2480</v>
      </c>
      <c r="C20" s="24">
        <f ca="1">ROUND(D20*E20/10000,0)</f>
        <v>3485</v>
      </c>
      <c r="D20" s="1030">
        <f ca="1">IF(C1="",'数据-汇总表'!E6,IF(INDIRECT("'数据-取费表'!c"&amp;$K$1)="住宅",INDIRECT("'数据-取费表'!s"&amp;$K$1),INDIRECT("'数据-取费表'!k"&amp;$K$1)+INDIRECT("'数据-取费表'!s"&amp;$K$1)))</f>
        <v>183405</v>
      </c>
      <c r="E20" s="24">
        <f>'数据-取费表'!B28</f>
        <v>190</v>
      </c>
      <c r="F20" s="973"/>
      <c r="G20" s="15"/>
      <c r="H20" s="978"/>
      <c r="I20" s="978"/>
      <c r="J20" s="978"/>
      <c r="K20" s="979"/>
    </row>
    <row r="21" spans="1:33" s="972" customFormat="1" ht="13.5" customHeight="1">
      <c r="A21" s="958" t="s">
        <v>802</v>
      </c>
      <c r="B21" s="982" t="s">
        <v>2481</v>
      </c>
      <c r="C21" s="983">
        <f ca="1">C16+C17+C18</f>
        <v>41199</v>
      </c>
      <c r="D21" s="984"/>
      <c r="E21" s="321"/>
      <c r="F21" s="321"/>
      <c r="G21" s="136" t="s">
        <v>2482</v>
      </c>
      <c r="H21" s="976"/>
      <c r="I21" s="976"/>
      <c r="J21" s="976"/>
      <c r="K21" s="977"/>
    </row>
    <row r="22" spans="1:33" s="972" customFormat="1" ht="13.5" customHeight="1">
      <c r="A22" s="958" t="s">
        <v>2454</v>
      </c>
      <c r="B22" s="982" t="s">
        <v>2483</v>
      </c>
      <c r="C22" s="983">
        <f ca="1">ROUND(C21*F22,0)</f>
        <v>618</v>
      </c>
      <c r="D22" s="321"/>
      <c r="E22" s="321"/>
      <c r="F22" s="985">
        <f>'数据-取费表'!B37</f>
        <v>1.4999999999999999E-2</v>
      </c>
      <c r="G22" s="8" t="s">
        <v>2484</v>
      </c>
      <c r="H22" s="965"/>
      <c r="I22" s="965"/>
      <c r="J22" s="965"/>
      <c r="K22" s="966"/>
    </row>
    <row r="23" spans="1:33" s="972" customFormat="1" ht="13.5" customHeight="1">
      <c r="A23" s="958" t="s">
        <v>2456</v>
      </c>
      <c r="B23" s="982" t="s">
        <v>2485</v>
      </c>
      <c r="C23" s="983">
        <f ca="1">ROUND(C4*F23*F11,0)</f>
        <v>4137</v>
      </c>
      <c r="D23" s="321"/>
      <c r="E23" s="321"/>
      <c r="F23" s="985">
        <f>'数据-取费表'!B38</f>
        <v>0.02</v>
      </c>
      <c r="G23" s="8" t="s">
        <v>2486</v>
      </c>
      <c r="H23" s="965"/>
      <c r="I23" s="965"/>
      <c r="J23" s="965"/>
      <c r="K23" s="966"/>
    </row>
    <row r="24" spans="1:33" s="972" customFormat="1" ht="13.5" customHeight="1">
      <c r="A24" s="958" t="s">
        <v>2487</v>
      </c>
      <c r="B24" s="982" t="s">
        <v>2488</v>
      </c>
      <c r="C24" s="320">
        <f>ROUND(F24/(1+'数据-取费表'!C42),4)</f>
        <v>2.9000000000000001E-2</v>
      </c>
      <c r="D24" s="321" t="s">
        <v>15</v>
      </c>
      <c r="E24" s="321"/>
      <c r="F24" s="985">
        <f>'数据-取费表'!B48+'数据-取费表'!B49</f>
        <v>3.0499999999999999E-2</v>
      </c>
      <c r="G24" s="8" t="s">
        <v>2489</v>
      </c>
      <c r="H24" s="987"/>
      <c r="I24" s="987"/>
      <c r="J24" s="987"/>
      <c r="K24" s="988"/>
    </row>
    <row r="25" spans="1:33" s="972" customFormat="1" ht="13.5" customHeight="1">
      <c r="A25" s="958" t="s">
        <v>2490</v>
      </c>
      <c r="B25" s="984" t="s">
        <v>2491</v>
      </c>
      <c r="C25" s="1353">
        <f ca="1">C27</f>
        <v>2183</v>
      </c>
      <c r="D25" s="320">
        <f ca="1">C26</f>
        <v>0.10009999999999999</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0.10009999999999999</v>
      </c>
      <c r="D26" s="324"/>
      <c r="E26" s="325"/>
      <c r="F26" s="326"/>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2183</v>
      </c>
      <c r="D27" s="324"/>
      <c r="E27" s="325"/>
      <c r="F27" s="326"/>
      <c r="G27" s="2554" t="str">
        <f>IF('数据-取费表'!B22&lt;=1,"（1）-（3）项×年利率×建设期÷2","（1）-（3）项×((1+年利率)^(建设期÷2)-1)")</f>
        <v>（1）-（3）项×((1+年利率)^(建设期÷2)-1)</v>
      </c>
      <c r="H27" s="976"/>
      <c r="I27" s="976"/>
      <c r="J27" s="976"/>
      <c r="K27" s="977"/>
    </row>
    <row r="28" spans="1:33" s="329" customFormat="1" ht="13.5" customHeight="1">
      <c r="A28" s="958" t="s">
        <v>2494</v>
      </c>
      <c r="B28" s="2555" t="s">
        <v>2495</v>
      </c>
      <c r="C28" s="327">
        <f ca="1">C30</f>
        <v>11948</v>
      </c>
      <c r="D28" s="320">
        <f ca="1">C29</f>
        <v>0.1784</v>
      </c>
      <c r="E28" s="322" t="s">
        <v>15</v>
      </c>
      <c r="F28" s="328">
        <f ca="1">IF(C1="",'数据-取费表'!Q16,INDIRECT("'数据-取费表'!q"&amp;$K$1))</f>
        <v>0.26</v>
      </c>
      <c r="G28" s="986"/>
      <c r="H28" s="987"/>
      <c r="I28" s="987"/>
      <c r="J28" s="987"/>
      <c r="K28" s="988"/>
    </row>
    <row r="29" spans="1:33" s="331" customFormat="1" ht="13.5" customHeight="1">
      <c r="A29" s="968" t="s">
        <v>803</v>
      </c>
      <c r="B29" s="991" t="s">
        <v>2496</v>
      </c>
      <c r="C29" s="324">
        <f ca="1">ROUND((1+C24)*F28*'数据-取费表'!B24/'数据-取费表'!B20,4)</f>
        <v>0.1784</v>
      </c>
      <c r="D29" s="324"/>
      <c r="E29" s="325"/>
      <c r="F29" s="330"/>
      <c r="G29" s="136" t="s">
        <v>2497</v>
      </c>
      <c r="H29" s="976"/>
      <c r="I29" s="976"/>
      <c r="J29" s="976"/>
      <c r="K29" s="977"/>
    </row>
    <row r="30" spans="1:33" s="331" customFormat="1" ht="13.5" customHeight="1">
      <c r="A30" s="968" t="s">
        <v>804</v>
      </c>
      <c r="B30" s="991" t="s">
        <v>2498</v>
      </c>
      <c r="C30" s="332">
        <f ca="1">ROUND((C21+C22+C23)*F28,0)</f>
        <v>11948</v>
      </c>
      <c r="D30" s="324"/>
      <c r="E30" s="325"/>
      <c r="F30" s="330"/>
      <c r="G30" s="136"/>
      <c r="H30" s="976"/>
      <c r="I30" s="976"/>
      <c r="J30" s="976"/>
      <c r="K30" s="977"/>
    </row>
    <row r="31" spans="1:33" s="972" customFormat="1" ht="13.5" customHeight="1" thickBot="1">
      <c r="A31" s="2556" t="s">
        <v>2499</v>
      </c>
      <c r="B31" s="1002" t="s">
        <v>2500</v>
      </c>
      <c r="C31" s="1003">
        <f ca="1">ROUND(C4*F31/(1+'数据-取费表'!C42),0)</f>
        <v>18060</v>
      </c>
      <c r="D31" s="1004"/>
      <c r="E31" s="1005"/>
      <c r="F31" s="1006">
        <f>'数据-取费表'!B41</f>
        <v>5.5000000000000007E-2</v>
      </c>
      <c r="G31" s="1007" t="s">
        <v>2501</v>
      </c>
      <c r="H31" s="1008"/>
      <c r="I31" s="1008"/>
      <c r="J31" s="1008"/>
      <c r="K31" s="1009"/>
    </row>
    <row r="32" spans="1:33" s="967" customFormat="1" ht="13.5" customHeight="1" thickBot="1">
      <c r="A32" s="997" t="s">
        <v>2502</v>
      </c>
      <c r="B32" s="998"/>
      <c r="C32" s="999">
        <f ca="1">ROUND((C4-C21-C22-C23-C25-C28-C31)/(1+C24+D25+D28),0)</f>
        <v>203929</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L43" sqref="L43"/>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578" t="s">
        <v>2627</v>
      </c>
      <c r="C1" s="1631" t="s">
        <v>2515</v>
      </c>
      <c r="D1" s="1618" t="s">
        <v>1377</v>
      </c>
      <c r="E1" s="2653"/>
      <c r="F1" s="2580" t="s">
        <v>3237</v>
      </c>
      <c r="G1" s="1628" t="s">
        <v>2628</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4" customFormat="1" ht="28.5" customHeight="1" thickTop="1">
      <c r="A2" s="1614" t="s">
        <v>2314</v>
      </c>
      <c r="B2" s="1415">
        <f>IF(C2="——",ROUND(C49*D3/10000,0),ROUND(C49*D3/10000,0)-D2)</f>
        <v>40912</v>
      </c>
      <c r="C2" s="2582" t="s">
        <v>70</v>
      </c>
      <c r="D2" s="1362" t="e">
        <f ca="1">SUMIF(INDIRECT("'"&amp;F2&amp;"'"&amp;"!A:A"),"承租人权益价值",INDIRECT("'"&amp;F2&amp;"'"&amp;"!c:c"))</f>
        <v>#REF!</v>
      </c>
      <c r="E2" s="2583" t="s">
        <v>2315</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4" customFormat="1" ht="28.5" customHeight="1" thickBot="1">
      <c r="A3" s="243" t="s">
        <v>2316</v>
      </c>
      <c r="B3" s="605">
        <f>IF(C2="——",C49,ROUND(B2*10000/D3,0))</f>
        <v>37318</v>
      </c>
      <c r="C3" s="396" t="s">
        <v>2629</v>
      </c>
      <c r="D3" s="395">
        <f>IF(D1="",'数据-汇总表'!E3,SUMIF('数据-汇总表'!$C19:$C33,D1,'数据-汇总表'!$E19:$E33))</f>
        <v>10962.97</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397" t="s">
        <v>2630</v>
      </c>
      <c r="B4" s="398"/>
      <c r="C4" s="3169" t="s">
        <v>2631</v>
      </c>
      <c r="D4" s="3170"/>
      <c r="E4" s="3171" t="s">
        <v>2632</v>
      </c>
      <c r="F4" s="3172"/>
      <c r="G4" s="3169" t="s">
        <v>2633</v>
      </c>
      <c r="H4" s="3170"/>
      <c r="I4" s="3169" t="s">
        <v>2634</v>
      </c>
      <c r="J4" s="3170"/>
      <c r="K4" s="606" t="s">
        <v>2635</v>
      </c>
      <c r="L4" s="1127"/>
      <c r="M4" s="1128"/>
      <c r="N4" s="1128"/>
      <c r="O4" s="1128"/>
      <c r="P4" s="3173" t="s">
        <v>2636</v>
      </c>
      <c r="Q4" s="3174"/>
      <c r="R4" s="3179" t="s">
        <v>2632</v>
      </c>
      <c r="S4" s="3180"/>
      <c r="T4" s="3179" t="s">
        <v>2633</v>
      </c>
      <c r="U4" s="3180"/>
      <c r="V4" s="3185" t="s">
        <v>2634</v>
      </c>
      <c r="W4" s="3185"/>
      <c r="X4" s="1810"/>
      <c r="Y4" s="3179" t="s">
        <v>2636</v>
      </c>
      <c r="Z4" s="3180"/>
      <c r="AA4" s="3166" t="s">
        <v>2632</v>
      </c>
      <c r="AB4" s="3185" t="s">
        <v>2633</v>
      </c>
      <c r="AC4" s="3166" t="s">
        <v>2634</v>
      </c>
    </row>
    <row r="5" spans="1:29" ht="15">
      <c r="A5" s="400"/>
      <c r="B5" s="401"/>
      <c r="C5" s="3297" t="s">
        <v>3201</v>
      </c>
      <c r="D5" s="3189"/>
      <c r="E5" s="3298" t="s">
        <v>3202</v>
      </c>
      <c r="F5" s="3196"/>
      <c r="G5" s="3297" t="s">
        <v>3236</v>
      </c>
      <c r="H5" s="3189"/>
      <c r="I5" s="3297" t="s">
        <v>3238</v>
      </c>
      <c r="J5" s="3189"/>
      <c r="K5" s="606"/>
      <c r="L5" s="1127"/>
      <c r="M5" s="1128"/>
      <c r="N5" s="1128"/>
      <c r="O5" s="1128"/>
      <c r="P5" s="3175"/>
      <c r="Q5" s="3176"/>
      <c r="R5" s="3181"/>
      <c r="S5" s="3182"/>
      <c r="T5" s="3181"/>
      <c r="U5" s="3182"/>
      <c r="V5" s="3185"/>
      <c r="W5" s="3185"/>
      <c r="X5" s="1810"/>
      <c r="Y5" s="3181"/>
      <c r="Z5" s="3182"/>
      <c r="AA5" s="3167"/>
      <c r="AB5" s="3185"/>
      <c r="AC5" s="3167"/>
    </row>
    <row r="6" spans="1:29" ht="15.75" thickBot="1">
      <c r="A6" s="402"/>
      <c r="B6" s="403"/>
      <c r="C6" s="3186" t="s">
        <v>2531</v>
      </c>
      <c r="D6" s="3187"/>
      <c r="E6" s="3193" t="s">
        <v>2531</v>
      </c>
      <c r="F6" s="3194"/>
      <c r="G6" s="3186" t="s">
        <v>2531</v>
      </c>
      <c r="H6" s="3187"/>
      <c r="I6" s="3186" t="s">
        <v>2531</v>
      </c>
      <c r="J6" s="3187"/>
      <c r="K6" s="606" t="s">
        <v>2532</v>
      </c>
      <c r="L6" s="1127"/>
      <c r="M6" s="1128"/>
      <c r="N6" s="1128"/>
      <c r="O6" s="1128"/>
      <c r="P6" s="3177"/>
      <c r="Q6" s="3178"/>
      <c r="R6" s="3181"/>
      <c r="S6" s="3182"/>
      <c r="T6" s="3183"/>
      <c r="U6" s="3184"/>
      <c r="V6" s="3185"/>
      <c r="W6" s="3185"/>
      <c r="X6" s="1810"/>
      <c r="Y6" s="3183"/>
      <c r="Z6" s="3184"/>
      <c r="AA6" s="3168"/>
      <c r="AB6" s="3185"/>
      <c r="AC6" s="3168"/>
    </row>
    <row r="7" spans="1:29" s="114" customFormat="1" ht="15.75" thickBot="1">
      <c r="A7" s="404" t="s">
        <v>2533</v>
      </c>
      <c r="B7" s="405"/>
      <c r="C7" s="406">
        <f>'数据-取费表'!B2</f>
        <v>43237</v>
      </c>
      <c r="D7" s="407">
        <v>100</v>
      </c>
      <c r="E7" s="408">
        <v>43227</v>
      </c>
      <c r="F7" s="409">
        <f>SUMIF(58:58,YEAR(E7)&amp;"-"&amp;MONTH(E7),59:59)</f>
        <v>100</v>
      </c>
      <c r="G7" s="408">
        <v>43171</v>
      </c>
      <c r="H7" s="407">
        <f>SUMIF(58:58,YEAR(G7)&amp;"-"&amp;MONTH(G7),59:59)</f>
        <v>99</v>
      </c>
      <c r="I7" s="408">
        <v>43229</v>
      </c>
      <c r="J7" s="407">
        <f>SUMIF(58:58,YEAR(I7)&amp;"-"&amp;MONTH(I7),59:59)</f>
        <v>100</v>
      </c>
      <c r="K7" s="607"/>
      <c r="L7" s="1129"/>
      <c r="M7" s="1130"/>
      <c r="N7" s="1130"/>
      <c r="O7" s="1130"/>
      <c r="P7" s="3190" t="s">
        <v>2534</v>
      </c>
      <c r="Q7" s="3192"/>
      <c r="R7" s="764" t="s">
        <v>17</v>
      </c>
      <c r="S7" s="765">
        <f t="shared" ref="S7:S15" si="0">F7</f>
        <v>100</v>
      </c>
      <c r="T7" s="764" t="s">
        <v>17</v>
      </c>
      <c r="U7" s="765">
        <f t="shared" ref="U7:U15" si="1">H7</f>
        <v>99</v>
      </c>
      <c r="V7" s="764" t="s">
        <v>17</v>
      </c>
      <c r="W7" s="765">
        <f t="shared" ref="W7:W15" si="2">J7</f>
        <v>100</v>
      </c>
      <c r="X7" s="766"/>
      <c r="Y7" s="3190" t="s">
        <v>2534</v>
      </c>
      <c r="Z7" s="3191"/>
      <c r="AA7" s="767">
        <f>D7/F7</f>
        <v>1</v>
      </c>
      <c r="AB7" s="767">
        <f>D7/H7</f>
        <v>1.0101010101010102</v>
      </c>
      <c r="AC7" s="767">
        <f>D7/J7</f>
        <v>1</v>
      </c>
    </row>
    <row r="8" spans="1:29" s="114" customFormat="1" ht="15.75" thickBot="1">
      <c r="A8" s="404" t="s">
        <v>2535</v>
      </c>
      <c r="B8" s="405"/>
      <c r="C8" s="410" t="s">
        <v>2637</v>
      </c>
      <c r="D8" s="407">
        <v>100</v>
      </c>
      <c r="E8" s="410" t="s">
        <v>2572</v>
      </c>
      <c r="F8" s="409">
        <f>SUMIF(61:61,E8,62:62)-SUMIF(61:61,C8,62:62)+100</f>
        <v>100</v>
      </c>
      <c r="G8" s="410" t="s">
        <v>2572</v>
      </c>
      <c r="H8" s="407">
        <f>SUMIF(61:61,G8,62:62)-SUMIF(61:61,C8,62:62)+100</f>
        <v>100</v>
      </c>
      <c r="I8" s="410" t="s">
        <v>2572</v>
      </c>
      <c r="J8" s="407">
        <f>SUMIF(61:61,I8,62:62)-SUMIF(61:61,C8,62:62)+100</f>
        <v>100</v>
      </c>
      <c r="K8" s="607"/>
      <c r="L8" s="1129"/>
      <c r="M8" s="1130"/>
      <c r="N8" s="1130"/>
      <c r="O8" s="1130"/>
      <c r="P8" s="3190" t="s">
        <v>2537</v>
      </c>
      <c r="Q8" s="3191"/>
      <c r="R8" s="764" t="s">
        <v>17</v>
      </c>
      <c r="S8" s="765">
        <f t="shared" si="0"/>
        <v>100</v>
      </c>
      <c r="T8" s="764" t="s">
        <v>17</v>
      </c>
      <c r="U8" s="765">
        <f t="shared" si="1"/>
        <v>100</v>
      </c>
      <c r="V8" s="764" t="s">
        <v>17</v>
      </c>
      <c r="W8" s="765">
        <f t="shared" si="2"/>
        <v>100</v>
      </c>
      <c r="X8" s="766"/>
      <c r="Y8" s="3190" t="s">
        <v>2537</v>
      </c>
      <c r="Z8" s="3191"/>
      <c r="AA8" s="767">
        <f t="shared" ref="AA8:AA46" si="3">D8/F8</f>
        <v>1</v>
      </c>
      <c r="AB8" s="767">
        <f t="shared" ref="AB8:AB46" si="4">D8/H8</f>
        <v>1</v>
      </c>
      <c r="AC8" s="767">
        <f t="shared" ref="AC8:AC46" si="5">D8/J8</f>
        <v>1</v>
      </c>
    </row>
    <row r="9" spans="1:29" s="114" customFormat="1">
      <c r="A9" s="411" t="s">
        <v>2538</v>
      </c>
      <c r="B9" s="69" t="s">
        <v>2539</v>
      </c>
      <c r="C9" s="3299" t="s">
        <v>3203</v>
      </c>
      <c r="D9" s="131">
        <v>100</v>
      </c>
      <c r="E9" s="3300" t="s">
        <v>3203</v>
      </c>
      <c r="F9" s="414">
        <f>SUMIF(63:63,E9,64:64)-SUMIF(63:63,C9,64:64)+100</f>
        <v>100</v>
      </c>
      <c r="G9" s="3300" t="s">
        <v>3203</v>
      </c>
      <c r="H9" s="131">
        <f>SUMIF(63:63,G9,64:64)-SUMIF(63:63,C9,64:64)+100</f>
        <v>100</v>
      </c>
      <c r="I9" s="3300" t="s">
        <v>3203</v>
      </c>
      <c r="J9" s="131">
        <f>SUMIF(63:63,I9,64:64)-SUMIF(63:63,C9,64:64)+100</f>
        <v>100</v>
      </c>
      <c r="K9" s="607"/>
      <c r="L9" s="1129"/>
      <c r="M9" s="1130"/>
      <c r="N9" s="1130"/>
      <c r="O9" s="1130"/>
      <c r="P9" s="3165" t="s">
        <v>2540</v>
      </c>
      <c r="Q9" s="1792" t="str">
        <f t="shared" ref="Q9:Q15" si="6">B9</f>
        <v>用途</v>
      </c>
      <c r="R9" s="764" t="s">
        <v>17</v>
      </c>
      <c r="S9" s="765">
        <f t="shared" si="0"/>
        <v>100</v>
      </c>
      <c r="T9" s="764" t="s">
        <v>17</v>
      </c>
      <c r="U9" s="765">
        <f t="shared" si="1"/>
        <v>100</v>
      </c>
      <c r="V9" s="764" t="s">
        <v>17</v>
      </c>
      <c r="W9" s="765">
        <f t="shared" si="2"/>
        <v>100</v>
      </c>
      <c r="X9" s="766"/>
      <c r="Y9" s="2982" t="s">
        <v>2541</v>
      </c>
      <c r="Z9" s="55" t="str">
        <f t="shared" ref="Z9:Z15" si="7">Q9</f>
        <v>用途</v>
      </c>
      <c r="AA9" s="767">
        <f t="shared" si="3"/>
        <v>1</v>
      </c>
      <c r="AB9" s="767">
        <f t="shared" si="4"/>
        <v>1</v>
      </c>
      <c r="AC9" s="767">
        <f t="shared" si="5"/>
        <v>1</v>
      </c>
    </row>
    <row r="10" spans="1:29" s="423" customFormat="1" ht="27">
      <c r="A10" s="417"/>
      <c r="B10" s="418" t="s">
        <v>2542</v>
      </c>
      <c r="C10" s="419" t="s">
        <v>3204</v>
      </c>
      <c r="D10" s="132">
        <v>100</v>
      </c>
      <c r="E10" s="419" t="s">
        <v>3204</v>
      </c>
      <c r="F10" s="421">
        <f>SUMIF(65:65,E10,66:66)-SUMIF(65:65,C10,66:66)+100</f>
        <v>100</v>
      </c>
      <c r="G10" s="419" t="s">
        <v>3204</v>
      </c>
      <c r="H10" s="132">
        <f>SUMIF(65:65,G10,66:66)-SUMIF(65:65,C10,66:66)+100</f>
        <v>100</v>
      </c>
      <c r="I10" s="419" t="s">
        <v>3204</v>
      </c>
      <c r="J10" s="132">
        <f>SUMIF(65:65,I10,66:66)-SUMIF(65:65,C10,66:66)+100</f>
        <v>100</v>
      </c>
      <c r="K10" s="608">
        <v>1</v>
      </c>
      <c r="L10" s="1132"/>
      <c r="M10" s="1133"/>
      <c r="N10" s="1133"/>
      <c r="O10" s="1133"/>
      <c r="P10" s="3165"/>
      <c r="Q10" s="1792" t="str">
        <f t="shared" si="6"/>
        <v>土地使用年限（年）</v>
      </c>
      <c r="R10" s="764" t="s">
        <v>17</v>
      </c>
      <c r="S10" s="765">
        <f t="shared" si="0"/>
        <v>100</v>
      </c>
      <c r="T10" s="764" t="s">
        <v>17</v>
      </c>
      <c r="U10" s="765">
        <f t="shared" si="1"/>
        <v>100</v>
      </c>
      <c r="V10" s="764" t="s">
        <v>17</v>
      </c>
      <c r="W10" s="765">
        <f t="shared" si="2"/>
        <v>100</v>
      </c>
      <c r="X10" s="766"/>
      <c r="Y10" s="2982"/>
      <c r="Z10" s="55" t="str">
        <f t="shared" si="7"/>
        <v>土地使用年限（年）</v>
      </c>
      <c r="AA10" s="767">
        <f t="shared" si="3"/>
        <v>1</v>
      </c>
      <c r="AB10" s="767">
        <f t="shared" si="4"/>
        <v>1</v>
      </c>
      <c r="AC10" s="767">
        <f t="shared" si="5"/>
        <v>1</v>
      </c>
    </row>
    <row r="11" spans="1:29" ht="15.75" thickBot="1">
      <c r="A11" s="424"/>
      <c r="B11" s="418" t="s">
        <v>2543</v>
      </c>
      <c r="C11" s="425">
        <f>'数据-汇总表'!I4</f>
        <v>3</v>
      </c>
      <c r="D11" s="132">
        <v>100</v>
      </c>
      <c r="E11" s="426">
        <v>2.5</v>
      </c>
      <c r="F11" s="421">
        <f>LOOKUP(E11,68:68,69:69)-LOOKUP(C11,68:68,69:69)+100</f>
        <v>102</v>
      </c>
      <c r="G11" s="425">
        <v>1.8</v>
      </c>
      <c r="H11" s="132">
        <f>LOOKUP(G11,68:68,69:69)-LOOKUP(C11,68:68,69:69)+100</f>
        <v>104</v>
      </c>
      <c r="I11" s="425">
        <v>2.8</v>
      </c>
      <c r="J11" s="132">
        <f>LOOKUP(I11,68:68,69:69)-LOOKUP(C11,68:68,69:69)+100</f>
        <v>102</v>
      </c>
      <c r="K11" s="608">
        <v>2</v>
      </c>
      <c r="L11" s="1135"/>
      <c r="M11" s="1128"/>
      <c r="N11" s="1128"/>
      <c r="O11" s="1128"/>
      <c r="P11" s="3165"/>
      <c r="Q11" s="1792" t="str">
        <f t="shared" si="6"/>
        <v>容积率</v>
      </c>
      <c r="R11" s="764" t="s">
        <v>17</v>
      </c>
      <c r="S11" s="765">
        <f t="shared" si="0"/>
        <v>102</v>
      </c>
      <c r="T11" s="764" t="s">
        <v>17</v>
      </c>
      <c r="U11" s="765">
        <f t="shared" si="1"/>
        <v>104</v>
      </c>
      <c r="V11" s="764" t="s">
        <v>17</v>
      </c>
      <c r="W11" s="765">
        <f t="shared" si="2"/>
        <v>102</v>
      </c>
      <c r="X11" s="766"/>
      <c r="Y11" s="2982"/>
      <c r="Z11" s="55" t="str">
        <f t="shared" si="7"/>
        <v>容积率</v>
      </c>
      <c r="AA11" s="767">
        <f t="shared" si="3"/>
        <v>0.98039215686274506</v>
      </c>
      <c r="AB11" s="767">
        <f t="shared" si="4"/>
        <v>0.96153846153846156</v>
      </c>
      <c r="AC11" s="767">
        <f t="shared" si="5"/>
        <v>0.98039215686274506</v>
      </c>
    </row>
    <row r="12" spans="1:29" s="114" customFormat="1" ht="15" hidden="1">
      <c r="A12" s="427"/>
      <c r="B12" s="2596">
        <v>111</v>
      </c>
      <c r="C12" s="428"/>
      <c r="D12" s="429">
        <v>100</v>
      </c>
      <c r="E12" s="430"/>
      <c r="F12" s="421">
        <f>SUMIF(70:70,E12,71:71)-SUMIF(70:70,C12,71:71)+100</f>
        <v>100</v>
      </c>
      <c r="G12" s="430"/>
      <c r="H12" s="132">
        <f>SUMIF(70:70,G12,71:71)-SUMIF(70:70,C12,71:71)+100</f>
        <v>100</v>
      </c>
      <c r="I12" s="430"/>
      <c r="J12" s="132">
        <f>SUMIF(70:70,I12,71:71)-SUMIF(70:70,C12,71:71)+100</f>
        <v>100</v>
      </c>
      <c r="K12" s="609"/>
      <c r="L12" s="1129"/>
      <c r="M12" s="1130"/>
      <c r="N12" s="1130"/>
      <c r="O12" s="1130"/>
      <c r="P12" s="3165"/>
      <c r="Q12" s="1792">
        <f t="shared" si="6"/>
        <v>111</v>
      </c>
      <c r="R12" s="764" t="s">
        <v>17</v>
      </c>
      <c r="S12" s="765">
        <f t="shared" si="0"/>
        <v>100</v>
      </c>
      <c r="T12" s="764" t="s">
        <v>17</v>
      </c>
      <c r="U12" s="765">
        <f t="shared" si="1"/>
        <v>100</v>
      </c>
      <c r="V12" s="764" t="s">
        <v>17</v>
      </c>
      <c r="W12" s="765">
        <f t="shared" si="2"/>
        <v>100</v>
      </c>
      <c r="X12" s="766"/>
      <c r="Y12" s="2982"/>
      <c r="Z12" s="55">
        <f t="shared" si="7"/>
        <v>111</v>
      </c>
      <c r="AA12" s="767">
        <f>D12/F12</f>
        <v>1</v>
      </c>
      <c r="AB12" s="767">
        <f>D12/H12</f>
        <v>1</v>
      </c>
      <c r="AC12" s="767">
        <f>D12/J12</f>
        <v>1</v>
      </c>
    </row>
    <row r="13" spans="1:29" ht="15" hidden="1">
      <c r="A13" s="424"/>
      <c r="B13" s="2596">
        <v>111</v>
      </c>
      <c r="C13" s="430"/>
      <c r="D13" s="431">
        <v>100</v>
      </c>
      <c r="E13" s="430"/>
      <c r="F13" s="421">
        <f>SUMIF(72:72,E13,73:73)-SUMIF(72:72,C13,73:73)+100</f>
        <v>100</v>
      </c>
      <c r="G13" s="430"/>
      <c r="H13" s="431">
        <f>SUMIF(72:72,G13,73:73)-SUMIF(72:72,C13,73:73)+100</f>
        <v>100</v>
      </c>
      <c r="I13" s="430"/>
      <c r="J13" s="431">
        <f>SUMIF(72:72,I13,73:73)-SUMIF(72:72,C13,73:73)+100</f>
        <v>100</v>
      </c>
      <c r="K13" s="609"/>
      <c r="L13" s="1137"/>
      <c r="M13" s="1128"/>
      <c r="N13" s="1128"/>
      <c r="O13" s="1128"/>
      <c r="P13" s="3165"/>
      <c r="Q13" s="1792">
        <f t="shared" si="6"/>
        <v>111</v>
      </c>
      <c r="R13" s="764" t="s">
        <v>17</v>
      </c>
      <c r="S13" s="765">
        <f t="shared" si="0"/>
        <v>100</v>
      </c>
      <c r="T13" s="764" t="s">
        <v>17</v>
      </c>
      <c r="U13" s="765">
        <f t="shared" si="1"/>
        <v>100</v>
      </c>
      <c r="V13" s="764" t="s">
        <v>17</v>
      </c>
      <c r="W13" s="765">
        <f t="shared" si="2"/>
        <v>100</v>
      </c>
      <c r="X13" s="766"/>
      <c r="Y13" s="2982"/>
      <c r="Z13" s="55">
        <f t="shared" si="7"/>
        <v>111</v>
      </c>
      <c r="AA13" s="767">
        <f t="shared" si="3"/>
        <v>1</v>
      </c>
      <c r="AB13" s="767">
        <f t="shared" si="4"/>
        <v>1</v>
      </c>
      <c r="AC13" s="767">
        <f t="shared" si="5"/>
        <v>1</v>
      </c>
    </row>
    <row r="14" spans="1:29" ht="15.75" hidden="1" thickBot="1">
      <c r="A14" s="432"/>
      <c r="B14" s="2598">
        <v>111</v>
      </c>
      <c r="C14" s="433"/>
      <c r="D14" s="434">
        <v>100</v>
      </c>
      <c r="E14" s="430"/>
      <c r="F14" s="435">
        <f>SUMIF(74:74,E14,75:75)-SUMIF(74:74,C14,75:75)+100</f>
        <v>100</v>
      </c>
      <c r="G14" s="430"/>
      <c r="H14" s="434">
        <f>SUMIF(74:74,G14,75:75)-SUMIF(74:74,C14,75:75)+100</f>
        <v>100</v>
      </c>
      <c r="I14" s="430"/>
      <c r="J14" s="434">
        <f>SUMIF(74:74,I14,75:75)-SUMIF(74:74,C14,75:75)+100</f>
        <v>100</v>
      </c>
      <c r="K14" s="609"/>
      <c r="L14" s="1137"/>
      <c r="M14" s="1128"/>
      <c r="N14" s="1128"/>
      <c r="O14" s="1128"/>
      <c r="P14" s="3165"/>
      <c r="Q14" s="1792">
        <f t="shared" si="6"/>
        <v>111</v>
      </c>
      <c r="R14" s="764" t="s">
        <v>17</v>
      </c>
      <c r="S14" s="765">
        <f t="shared" si="0"/>
        <v>100</v>
      </c>
      <c r="T14" s="764" t="s">
        <v>17</v>
      </c>
      <c r="U14" s="765">
        <f t="shared" si="1"/>
        <v>100</v>
      </c>
      <c r="V14" s="764" t="s">
        <v>17</v>
      </c>
      <c r="W14" s="765">
        <f t="shared" si="2"/>
        <v>100</v>
      </c>
      <c r="X14" s="766"/>
      <c r="Y14" s="2982"/>
      <c r="Z14" s="55">
        <f t="shared" si="7"/>
        <v>111</v>
      </c>
      <c r="AA14" s="767">
        <f t="shared" si="3"/>
        <v>1</v>
      </c>
      <c r="AB14" s="767">
        <f t="shared" si="4"/>
        <v>1</v>
      </c>
      <c r="AC14" s="767">
        <f t="shared" si="5"/>
        <v>1</v>
      </c>
    </row>
    <row r="15" spans="1:29" ht="85.5">
      <c r="A15" s="436" t="s">
        <v>2544</v>
      </c>
      <c r="B15" s="67" t="s">
        <v>2638</v>
      </c>
      <c r="C15" s="2599" t="str">
        <f>估价对象房地状况!C4</f>
        <v>估价对象周边2公里无购物中心，仅有少量住宅配套商业，人流量较小，商业繁华度一般</v>
      </c>
      <c r="D15" s="437">
        <v>100</v>
      </c>
      <c r="E15" s="438"/>
      <c r="F15" s="439">
        <f>SUMIF(76:76,E16,77:77)-SUMIF(76:76,C16,77:77)+100</f>
        <v>102</v>
      </c>
      <c r="G15" s="440"/>
      <c r="H15" s="437">
        <f>SUMIF(76:76,G16,77:77)-SUMIF(76:76,C16,77:77)+100</f>
        <v>102</v>
      </c>
      <c r="I15" s="438"/>
      <c r="J15" s="437">
        <f>SUMIF(76:76,I16,77:77)-SUMIF(76:76,C16,77:77)+100</f>
        <v>102</v>
      </c>
      <c r="K15" s="3306">
        <f>'土地比较法-住宅、综合'!K17</f>
        <v>2</v>
      </c>
      <c r="L15" s="1137"/>
      <c r="M15" s="1128"/>
      <c r="N15" s="1128"/>
      <c r="O15" s="1128"/>
      <c r="P15" s="3163" t="s">
        <v>2545</v>
      </c>
      <c r="Q15" s="1807" t="str">
        <f t="shared" si="6"/>
        <v>商业繁华度</v>
      </c>
      <c r="R15" s="768" t="s">
        <v>17</v>
      </c>
      <c r="S15" s="769">
        <f t="shared" si="0"/>
        <v>102</v>
      </c>
      <c r="T15" s="768" t="s">
        <v>17</v>
      </c>
      <c r="U15" s="769">
        <f t="shared" si="1"/>
        <v>102</v>
      </c>
      <c r="V15" s="768" t="s">
        <v>17</v>
      </c>
      <c r="W15" s="769">
        <f t="shared" si="2"/>
        <v>102</v>
      </c>
      <c r="X15" s="1810"/>
      <c r="Y15" s="3156" t="s">
        <v>2545</v>
      </c>
      <c r="Z15" s="1811" t="str">
        <f t="shared" si="7"/>
        <v>商业繁华度</v>
      </c>
      <c r="AA15" s="1808">
        <f t="shared" si="3"/>
        <v>0.98039215686274506</v>
      </c>
      <c r="AB15" s="1808">
        <f t="shared" si="4"/>
        <v>0.98039215686274506</v>
      </c>
      <c r="AC15" s="1808">
        <f t="shared" si="5"/>
        <v>0.98039215686274506</v>
      </c>
    </row>
    <row r="16" spans="1:29" ht="15">
      <c r="A16" s="424"/>
      <c r="B16" s="442"/>
      <c r="C16" s="443" t="s">
        <v>3178</v>
      </c>
      <c r="D16" s="444"/>
      <c r="E16" s="443" t="s">
        <v>3085</v>
      </c>
      <c r="F16" s="445"/>
      <c r="G16" s="443" t="s">
        <v>3085</v>
      </c>
      <c r="H16" s="446"/>
      <c r="I16" s="443" t="s">
        <v>3085</v>
      </c>
      <c r="J16" s="444"/>
      <c r="K16" s="611"/>
      <c r="L16" s="1137"/>
      <c r="M16" s="1128"/>
      <c r="N16" s="1128"/>
      <c r="O16" s="1128"/>
      <c r="P16" s="3164"/>
      <c r="Q16" s="1807"/>
      <c r="R16" s="768"/>
      <c r="S16" s="769"/>
      <c r="T16" s="768"/>
      <c r="U16" s="769"/>
      <c r="V16" s="768"/>
      <c r="W16" s="769"/>
      <c r="X16" s="1810"/>
      <c r="Y16" s="3157"/>
      <c r="Z16" s="1811"/>
      <c r="AA16" s="1808">
        <v>1</v>
      </c>
      <c r="AB16" s="1808">
        <v>1</v>
      </c>
      <c r="AC16" s="1808">
        <v>1</v>
      </c>
    </row>
    <row r="17" spans="1:29" ht="71.25">
      <c r="A17" s="424"/>
      <c r="B17" s="447" t="s">
        <v>2087</v>
      </c>
      <c r="C17" s="2603" t="str">
        <f>估价对象房地状况!C6</f>
        <v>估价对象周边仅有829、兴52路公交线路，综合评价交通便捷度一般</v>
      </c>
      <c r="D17" s="446">
        <v>100</v>
      </c>
      <c r="E17" s="3290" t="s">
        <v>3242</v>
      </c>
      <c r="F17" s="449">
        <f>SUMIF(78:78,E18,79:79)-SUMIF(78:78,C18,79:79)+100</f>
        <v>102</v>
      </c>
      <c r="G17" s="450"/>
      <c r="H17" s="451">
        <f>SUMIF(78:78,G18,79:79)-SUMIF(78:78,C18,79:79)+100</f>
        <v>100</v>
      </c>
      <c r="I17" s="3290" t="s">
        <v>3242</v>
      </c>
      <c r="J17" s="451">
        <f>SUMIF(78:78,I18,79:79)-SUMIF(78:78,C18,79:79)+100</f>
        <v>102</v>
      </c>
      <c r="K17" s="3306">
        <f>'土地比较法-住宅、综合'!K19</f>
        <v>2</v>
      </c>
      <c r="L17" s="1137"/>
      <c r="M17" s="1128"/>
      <c r="N17" s="1128"/>
      <c r="O17" s="1128"/>
      <c r="P17" s="3164"/>
      <c r="Q17" s="1807" t="str">
        <f>B17</f>
        <v>交通便捷度</v>
      </c>
      <c r="R17" s="768" t="s">
        <v>17</v>
      </c>
      <c r="S17" s="769">
        <f>F17</f>
        <v>102</v>
      </c>
      <c r="T17" s="768" t="s">
        <v>17</v>
      </c>
      <c r="U17" s="769">
        <f>H17</f>
        <v>100</v>
      </c>
      <c r="V17" s="768" t="s">
        <v>17</v>
      </c>
      <c r="W17" s="769">
        <f>J17</f>
        <v>102</v>
      </c>
      <c r="X17" s="1810"/>
      <c r="Y17" s="3157"/>
      <c r="Z17" s="1811" t="str">
        <f>Q17</f>
        <v>交通便捷度</v>
      </c>
      <c r="AA17" s="1808">
        <f t="shared" si="3"/>
        <v>0.98039215686274506</v>
      </c>
      <c r="AB17" s="1808">
        <f t="shared" si="4"/>
        <v>1</v>
      </c>
      <c r="AC17" s="1808">
        <f t="shared" si="5"/>
        <v>0.98039215686274506</v>
      </c>
    </row>
    <row r="18" spans="1:29" ht="15">
      <c r="A18" s="424"/>
      <c r="B18" s="452"/>
      <c r="C18" s="2604" t="s">
        <v>3178</v>
      </c>
      <c r="D18" s="446"/>
      <c r="E18" s="2606" t="s">
        <v>3085</v>
      </c>
      <c r="F18" s="449"/>
      <c r="G18" s="2606" t="s">
        <v>3178</v>
      </c>
      <c r="H18" s="444"/>
      <c r="I18" s="2606" t="s">
        <v>3085</v>
      </c>
      <c r="J18" s="444"/>
      <c r="K18" s="611"/>
      <c r="L18" s="1137"/>
      <c r="M18" s="1128"/>
      <c r="N18" s="1128"/>
      <c r="O18" s="1128"/>
      <c r="P18" s="3164"/>
      <c r="Q18" s="1807"/>
      <c r="R18" s="768"/>
      <c r="S18" s="769"/>
      <c r="T18" s="768"/>
      <c r="U18" s="769"/>
      <c r="V18" s="768"/>
      <c r="W18" s="769"/>
      <c r="X18" s="1810"/>
      <c r="Y18" s="3157"/>
      <c r="Z18" s="1811"/>
      <c r="AA18" s="1808">
        <v>1</v>
      </c>
      <c r="AB18" s="1808">
        <v>1</v>
      </c>
      <c r="AC18" s="1808">
        <v>1</v>
      </c>
    </row>
    <row r="19" spans="1:29" ht="42.75">
      <c r="A19" s="424"/>
      <c r="B19" s="447" t="s">
        <v>2639</v>
      </c>
      <c r="C19" s="2603" t="str">
        <f>估价对象房地状况!C7</f>
        <v>估价对象所在区域公共配套设施齐备度一般</v>
      </c>
      <c r="D19" s="451">
        <v>100</v>
      </c>
      <c r="E19" s="453"/>
      <c r="F19" s="454">
        <f>SUMIF(80:80,E20,81:81)-SUMIF(80:80,C20,81:81)+100</f>
        <v>102</v>
      </c>
      <c r="G19" s="455"/>
      <c r="H19" s="446">
        <f>SUMIF(80:80,G20,81:81)-SUMIF(80:80,C20,81:81)+100</f>
        <v>102</v>
      </c>
      <c r="I19" s="453"/>
      <c r="J19" s="446">
        <f>SUMIF(80:80,I20,81:81)-SUMIF(80:80,C20,81:81)+100</f>
        <v>102</v>
      </c>
      <c r="K19" s="3306">
        <f>'土地比较法-住宅、综合'!K27</f>
        <v>2</v>
      </c>
      <c r="L19" s="1137"/>
      <c r="M19" s="1128"/>
      <c r="N19" s="1128"/>
      <c r="O19" s="1128"/>
      <c r="P19" s="3164"/>
      <c r="Q19" s="1807" t="str">
        <f>B19</f>
        <v>公共配套设施</v>
      </c>
      <c r="R19" s="768" t="s">
        <v>17</v>
      </c>
      <c r="S19" s="769">
        <f>F19</f>
        <v>102</v>
      </c>
      <c r="T19" s="768" t="s">
        <v>17</v>
      </c>
      <c r="U19" s="769">
        <f>H19</f>
        <v>102</v>
      </c>
      <c r="V19" s="768" t="s">
        <v>17</v>
      </c>
      <c r="W19" s="769">
        <f>J19</f>
        <v>102</v>
      </c>
      <c r="X19" s="1810"/>
      <c r="Y19" s="3157"/>
      <c r="Z19" s="1811" t="str">
        <f>Q19</f>
        <v>公共配套设施</v>
      </c>
      <c r="AA19" s="1808">
        <f t="shared" si="3"/>
        <v>0.98039215686274506</v>
      </c>
      <c r="AB19" s="1808">
        <f t="shared" si="4"/>
        <v>0.98039215686274506</v>
      </c>
      <c r="AC19" s="1808">
        <f t="shared" si="5"/>
        <v>0.98039215686274506</v>
      </c>
    </row>
    <row r="20" spans="1:29" ht="15">
      <c r="A20" s="424"/>
      <c r="B20" s="452"/>
      <c r="C20" s="443" t="s">
        <v>3178</v>
      </c>
      <c r="D20" s="444"/>
      <c r="E20" s="2601" t="s">
        <v>3085</v>
      </c>
      <c r="F20" s="445"/>
      <c r="G20" s="2601" t="s">
        <v>3085</v>
      </c>
      <c r="H20" s="444"/>
      <c r="I20" s="2601" t="s">
        <v>3085</v>
      </c>
      <c r="J20" s="444"/>
      <c r="K20" s="611"/>
      <c r="L20" s="1137"/>
      <c r="M20" s="1128"/>
      <c r="N20" s="1128"/>
      <c r="O20" s="1128"/>
      <c r="P20" s="3164"/>
      <c r="Q20" s="1807"/>
      <c r="R20" s="768"/>
      <c r="S20" s="769"/>
      <c r="T20" s="768"/>
      <c r="U20" s="769"/>
      <c r="V20" s="768"/>
      <c r="W20" s="769"/>
      <c r="X20" s="1810"/>
      <c r="Y20" s="3157"/>
      <c r="Z20" s="1811"/>
      <c r="AA20" s="1808">
        <v>1</v>
      </c>
      <c r="AB20" s="1808">
        <v>1</v>
      </c>
      <c r="AC20" s="1808">
        <v>1</v>
      </c>
    </row>
    <row r="21" spans="1:29" ht="42.75">
      <c r="A21" s="424"/>
      <c r="B21" s="1381" t="s">
        <v>2640</v>
      </c>
      <c r="C21" s="2603" t="str">
        <f>估价对象房地状况!C8</f>
        <v>估价对象所在区域基础设施水平达七通</v>
      </c>
      <c r="D21" s="451">
        <v>100</v>
      </c>
      <c r="E21" s="453"/>
      <c r="F21" s="454">
        <f>SUMIF(82:82,E22,83:83)-SUMIF(82:82,C22,83:83)+100</f>
        <v>100</v>
      </c>
      <c r="G21" s="455"/>
      <c r="H21" s="446">
        <f>SUMIF(82:82,G22,83:83)-SUMIF(82:82,C22,83:83)+100</f>
        <v>100</v>
      </c>
      <c r="I21" s="453"/>
      <c r="J21" s="446">
        <f>SUMIF(82:82,I22,83:83)-SUMIF(82:82,C22,83:83)+100</f>
        <v>100</v>
      </c>
      <c r="K21" s="3306">
        <f>'土地比较法-住宅、综合'!K29</f>
        <v>1</v>
      </c>
      <c r="L21" s="1137"/>
      <c r="M21" s="1128"/>
      <c r="N21" s="1128"/>
      <c r="O21" s="1128"/>
      <c r="P21" s="3164"/>
      <c r="Q21" s="1807" t="str">
        <f>B21</f>
        <v>基础设施水平</v>
      </c>
      <c r="R21" s="768" t="s">
        <v>17</v>
      </c>
      <c r="S21" s="769">
        <f>F21</f>
        <v>100</v>
      </c>
      <c r="T21" s="768" t="s">
        <v>17</v>
      </c>
      <c r="U21" s="769">
        <f>H21</f>
        <v>100</v>
      </c>
      <c r="V21" s="768" t="s">
        <v>17</v>
      </c>
      <c r="W21" s="769">
        <f>J21</f>
        <v>100</v>
      </c>
      <c r="X21" s="1810"/>
      <c r="Y21" s="3157"/>
      <c r="Z21" s="1811" t="str">
        <f>Q21</f>
        <v>基础设施水平</v>
      </c>
      <c r="AA21" s="1808">
        <f t="shared" ref="AA21" si="8">D21/F21</f>
        <v>1</v>
      </c>
      <c r="AB21" s="1808">
        <f t="shared" ref="AB21" si="9">D21/H21</f>
        <v>1</v>
      </c>
      <c r="AC21" s="1808">
        <f t="shared" ref="AC21" si="10">D21/J21</f>
        <v>1</v>
      </c>
    </row>
    <row r="22" spans="1:29" ht="15">
      <c r="A22" s="424"/>
      <c r="B22" s="1381"/>
      <c r="C22" s="2604" t="s">
        <v>3181</v>
      </c>
      <c r="D22" s="444"/>
      <c r="E22" s="443" t="s">
        <v>3181</v>
      </c>
      <c r="F22" s="445"/>
      <c r="G22" s="443" t="s">
        <v>3181</v>
      </c>
      <c r="H22" s="444"/>
      <c r="I22" s="443" t="s">
        <v>3181</v>
      </c>
      <c r="J22" s="444"/>
      <c r="K22" s="1380"/>
      <c r="L22" s="1137"/>
      <c r="M22" s="1128"/>
      <c r="N22" s="1128"/>
      <c r="O22" s="1128"/>
      <c r="P22" s="3164"/>
      <c r="Q22" s="1807"/>
      <c r="R22" s="768"/>
      <c r="S22" s="769"/>
      <c r="T22" s="768"/>
      <c r="U22" s="769"/>
      <c r="V22" s="768"/>
      <c r="W22" s="769"/>
      <c r="X22" s="1810"/>
      <c r="Y22" s="3157"/>
      <c r="Z22" s="1811"/>
      <c r="AA22" s="1808">
        <v>1</v>
      </c>
      <c r="AB22" s="1808">
        <v>1</v>
      </c>
      <c r="AC22" s="1808">
        <v>1</v>
      </c>
    </row>
    <row r="23" spans="1:29" ht="90" customHeight="1">
      <c r="A23" s="424"/>
      <c r="B23" s="447" t="s">
        <v>2090</v>
      </c>
      <c r="C23" s="2660" t="str">
        <f>估价对象房地状况!C9</f>
        <v>周边仅有住宅配套绿化，无大型公园及高等教育机构；综合评价环境状况较差</v>
      </c>
      <c r="D23" s="446">
        <v>100</v>
      </c>
      <c r="E23" s="448"/>
      <c r="F23" s="449">
        <f>SUMIF(84:84,E24,85:85)-SUMIF(84:84,C24,85:85)+100</f>
        <v>104</v>
      </c>
      <c r="G23" s="450"/>
      <c r="H23" s="446">
        <f>SUMIF(84:84,G24,85:85)-SUMIF(84:84,C24,85:85)+100</f>
        <v>102</v>
      </c>
      <c r="I23" s="448"/>
      <c r="J23" s="446">
        <f>SUMIF(84:84,I24,85:85)-SUMIF(84:84,C24,85:85)+100</f>
        <v>102</v>
      </c>
      <c r="K23" s="3306">
        <f>'土地比较法-住宅、综合'!K25</f>
        <v>2</v>
      </c>
      <c r="L23" s="1137"/>
      <c r="M23" s="1128"/>
      <c r="N23" s="1128"/>
      <c r="O23" s="1128"/>
      <c r="P23" s="3164"/>
      <c r="Q23" s="1807" t="str">
        <f>B23</f>
        <v>自然及人文环境</v>
      </c>
      <c r="R23" s="768" t="s">
        <v>17</v>
      </c>
      <c r="S23" s="769">
        <f>F23</f>
        <v>104</v>
      </c>
      <c r="T23" s="768" t="s">
        <v>17</v>
      </c>
      <c r="U23" s="769">
        <f>H23</f>
        <v>102</v>
      </c>
      <c r="V23" s="768" t="s">
        <v>17</v>
      </c>
      <c r="W23" s="769">
        <f>J23</f>
        <v>102</v>
      </c>
      <c r="X23" s="1810"/>
      <c r="Y23" s="3157"/>
      <c r="Z23" s="1811" t="str">
        <f>Q23</f>
        <v>自然及人文环境</v>
      </c>
      <c r="AA23" s="1808">
        <f t="shared" si="3"/>
        <v>0.96153846153846156</v>
      </c>
      <c r="AB23" s="1808">
        <f t="shared" si="4"/>
        <v>0.98039215686274506</v>
      </c>
      <c r="AC23" s="1808">
        <f t="shared" si="5"/>
        <v>0.98039215686274506</v>
      </c>
    </row>
    <row r="24" spans="1:29" ht="15">
      <c r="A24" s="424"/>
      <c r="B24" s="452"/>
      <c r="C24" s="443" t="s">
        <v>3179</v>
      </c>
      <c r="D24" s="444"/>
      <c r="E24" s="2601" t="s">
        <v>3085</v>
      </c>
      <c r="F24" s="445"/>
      <c r="G24" s="443" t="s">
        <v>3178</v>
      </c>
      <c r="H24" s="444"/>
      <c r="I24" s="443" t="s">
        <v>3178</v>
      </c>
      <c r="J24" s="444"/>
      <c r="K24" s="611"/>
      <c r="L24" s="1137"/>
      <c r="M24" s="1128"/>
      <c r="N24" s="1128"/>
      <c r="O24" s="1128"/>
      <c r="P24" s="3164"/>
      <c r="Q24" s="1807"/>
      <c r="R24" s="768"/>
      <c r="S24" s="769"/>
      <c r="T24" s="768"/>
      <c r="U24" s="769"/>
      <c r="V24" s="768"/>
      <c r="W24" s="769"/>
      <c r="X24" s="1810"/>
      <c r="Y24" s="3157"/>
      <c r="Z24" s="1811"/>
      <c r="AA24" s="1808">
        <v>1</v>
      </c>
      <c r="AB24" s="1808">
        <v>1</v>
      </c>
      <c r="AC24" s="1808">
        <v>1</v>
      </c>
    </row>
    <row r="25" spans="1:29" ht="15">
      <c r="A25" s="424"/>
      <c r="B25" s="418" t="s">
        <v>2641</v>
      </c>
      <c r="C25" s="612" t="s">
        <v>3229</v>
      </c>
      <c r="D25" s="431">
        <v>100</v>
      </c>
      <c r="E25" s="612" t="s">
        <v>3229</v>
      </c>
      <c r="F25" s="457">
        <f>SUMIF(86:86,E25,87:87)-SUMIF(86:86,C25,87:87)+100</f>
        <v>100</v>
      </c>
      <c r="G25" s="612" t="s">
        <v>3229</v>
      </c>
      <c r="H25" s="431">
        <f>SUMIF(86:86,G25,87:87)-SUMIF(86:86,C25,87:87)+100</f>
        <v>100</v>
      </c>
      <c r="I25" s="612" t="s">
        <v>3229</v>
      </c>
      <c r="J25" s="431">
        <f>SUMIF(86:86,I25,87:87)-SUMIF(86:86,C25,87:87)+100</f>
        <v>100</v>
      </c>
      <c r="K25" s="608">
        <v>1</v>
      </c>
      <c r="L25" s="1137"/>
      <c r="M25" s="1128"/>
      <c r="N25" s="1128"/>
      <c r="O25" s="1128"/>
      <c r="P25" s="3164"/>
      <c r="Q25" s="1807" t="str">
        <f t="shared" ref="Q25:Q46" si="11">B25</f>
        <v>临街状况</v>
      </c>
      <c r="R25" s="768" t="s">
        <v>17</v>
      </c>
      <c r="S25" s="769">
        <f>F25</f>
        <v>100</v>
      </c>
      <c r="T25" s="768" t="s">
        <v>17</v>
      </c>
      <c r="U25" s="769">
        <f>H25</f>
        <v>100</v>
      </c>
      <c r="V25" s="768" t="s">
        <v>17</v>
      </c>
      <c r="W25" s="769">
        <f>J25</f>
        <v>100</v>
      </c>
      <c r="X25" s="1810"/>
      <c r="Y25" s="3157"/>
      <c r="Z25" s="1811" t="str">
        <f>Q25</f>
        <v>临街状况</v>
      </c>
      <c r="AA25" s="1808">
        <f t="shared" si="3"/>
        <v>1</v>
      </c>
      <c r="AB25" s="1808">
        <f t="shared" si="4"/>
        <v>1</v>
      </c>
      <c r="AC25" s="1808">
        <f t="shared" si="5"/>
        <v>1</v>
      </c>
    </row>
    <row r="26" spans="1:29" ht="15">
      <c r="A26" s="424"/>
      <c r="B26" s="1383" t="s">
        <v>2642</v>
      </c>
      <c r="C26" s="3302" t="s">
        <v>3230</v>
      </c>
      <c r="D26" s="431">
        <v>100</v>
      </c>
      <c r="E26" s="3302" t="s">
        <v>3230</v>
      </c>
      <c r="F26" s="457">
        <f>SUMIF(88:88,E26,89:89)-SUMIF(88:88,C26,89:89)+100</f>
        <v>100</v>
      </c>
      <c r="G26" s="3302" t="s">
        <v>3230</v>
      </c>
      <c r="H26" s="431">
        <f>SUMIF(88:88,G26,89:89)-SUMIF(88:88,C26,89:89)+100</f>
        <v>100</v>
      </c>
      <c r="I26" s="3302" t="s">
        <v>3230</v>
      </c>
      <c r="J26" s="431">
        <f>SUMIF(88:88,I26,89:89)-SUMIF(88:88,C26,89:89)+100</f>
        <v>100</v>
      </c>
      <c r="K26" s="609"/>
      <c r="L26" s="1137"/>
      <c r="M26" s="1128"/>
      <c r="N26" s="1128"/>
      <c r="O26" s="1128"/>
      <c r="P26" s="3164"/>
      <c r="Q26" s="1807" t="str">
        <f t="shared" si="11"/>
        <v>平面位置/可视性</v>
      </c>
      <c r="R26" s="768" t="s">
        <v>17</v>
      </c>
      <c r="S26" s="769">
        <f>F26</f>
        <v>100</v>
      </c>
      <c r="T26" s="768" t="s">
        <v>17</v>
      </c>
      <c r="U26" s="769">
        <f>H26</f>
        <v>100</v>
      </c>
      <c r="V26" s="768" t="s">
        <v>17</v>
      </c>
      <c r="W26" s="769">
        <f>J26</f>
        <v>100</v>
      </c>
      <c r="X26" s="1810"/>
      <c r="Y26" s="3157"/>
      <c r="Z26" s="1811" t="str">
        <f>Q26</f>
        <v>平面位置/可视性</v>
      </c>
      <c r="AA26" s="1808">
        <f t="shared" si="3"/>
        <v>1</v>
      </c>
      <c r="AB26" s="1808">
        <f t="shared" si="4"/>
        <v>1</v>
      </c>
      <c r="AC26" s="1808">
        <f t="shared" si="5"/>
        <v>1</v>
      </c>
    </row>
    <row r="27" spans="1:29" s="114" customFormat="1" ht="15">
      <c r="A27" s="427"/>
      <c r="B27" s="447" t="s">
        <v>2643</v>
      </c>
      <c r="C27" s="2661" t="s">
        <v>3241</v>
      </c>
      <c r="D27" s="458">
        <v>100</v>
      </c>
      <c r="E27" s="2661" t="s">
        <v>3178</v>
      </c>
      <c r="F27" s="460">
        <f>SUMIF(90:90,E27,91:91)-SUMIF(90:90,C27,91:91)+100</f>
        <v>105</v>
      </c>
      <c r="G27" s="2661" t="s">
        <v>3241</v>
      </c>
      <c r="H27" s="458">
        <f>SUMIF(90:90,G27,91:91)-SUMIF(90:90,C27,91:91)+100</f>
        <v>100</v>
      </c>
      <c r="I27" s="2661" t="s">
        <v>3178</v>
      </c>
      <c r="J27" s="458">
        <f>SUMIF(90:90,I27,91:91)-SUMIF(90:90,C27,91:91)+100</f>
        <v>105</v>
      </c>
      <c r="K27" s="608">
        <v>5</v>
      </c>
      <c r="L27" s="1129"/>
      <c r="M27" s="1130"/>
      <c r="N27" s="1130"/>
      <c r="O27" s="1130"/>
      <c r="P27" s="3164"/>
      <c r="Q27" s="1792" t="str">
        <f t="shared" si="11"/>
        <v>人流量</v>
      </c>
      <c r="R27" s="764" t="s">
        <v>17</v>
      </c>
      <c r="S27" s="765">
        <f>F27</f>
        <v>105</v>
      </c>
      <c r="T27" s="764" t="s">
        <v>17</v>
      </c>
      <c r="U27" s="765">
        <f>H27</f>
        <v>100</v>
      </c>
      <c r="V27" s="764" t="s">
        <v>17</v>
      </c>
      <c r="W27" s="765">
        <f>J27</f>
        <v>105</v>
      </c>
      <c r="X27" s="766"/>
      <c r="Y27" s="3157"/>
      <c r="Z27" s="55" t="str">
        <f>Q27</f>
        <v>人流量</v>
      </c>
      <c r="AA27" s="1808">
        <f>D27/F27</f>
        <v>0.95238095238095233</v>
      </c>
      <c r="AB27" s="1808">
        <f>D27/H27</f>
        <v>1</v>
      </c>
      <c r="AC27" s="1808">
        <f>D27/J27</f>
        <v>0.95238095238095233</v>
      </c>
    </row>
    <row r="28" spans="1:29" ht="15.75" thickBot="1">
      <c r="A28" s="424"/>
      <c r="B28" s="418" t="s">
        <v>2644</v>
      </c>
      <c r="C28" s="612">
        <v>1</v>
      </c>
      <c r="D28" s="431">
        <v>100</v>
      </c>
      <c r="E28" s="612">
        <v>1</v>
      </c>
      <c r="F28" s="457">
        <f>SUMIF(92:92,E28,93:93)-SUMIF(92:92,C28,93:93)+100</f>
        <v>100</v>
      </c>
      <c r="G28" s="612">
        <v>1</v>
      </c>
      <c r="H28" s="431">
        <f>SUMIF(92:92,G28,93:93)-SUMIF(92:92,C28,93:93)+100</f>
        <v>100</v>
      </c>
      <c r="I28" s="612">
        <v>1</v>
      </c>
      <c r="J28" s="431">
        <f>SUMIF(92:92,I28,93:93)-SUMIF(92:92,C28,93:93)+100</f>
        <v>100</v>
      </c>
      <c r="K28" s="609"/>
      <c r="L28" s="1137"/>
      <c r="M28" s="1128"/>
      <c r="N28" s="1128"/>
      <c r="O28" s="1128"/>
      <c r="P28" s="3164"/>
      <c r="Q28" s="1807" t="str">
        <f t="shared" si="11"/>
        <v>楼层</v>
      </c>
      <c r="R28" s="768" t="s">
        <v>17</v>
      </c>
      <c r="S28" s="769">
        <f t="shared" ref="S28:S46" si="12">F28</f>
        <v>100</v>
      </c>
      <c r="T28" s="768" t="s">
        <v>17</v>
      </c>
      <c r="U28" s="769">
        <f t="shared" ref="U28:U46" si="13">H28</f>
        <v>100</v>
      </c>
      <c r="V28" s="768" t="s">
        <v>17</v>
      </c>
      <c r="W28" s="769">
        <f t="shared" ref="W28:W46" si="14">J28</f>
        <v>100</v>
      </c>
      <c r="X28" s="1810"/>
      <c r="Y28" s="3157"/>
      <c r="Z28" s="1811" t="str">
        <f t="shared" ref="Z28:Z46" si="15">Q28</f>
        <v>楼层</v>
      </c>
      <c r="AA28" s="1808">
        <f t="shared" si="3"/>
        <v>1</v>
      </c>
      <c r="AB28" s="1808">
        <f t="shared" si="4"/>
        <v>1</v>
      </c>
      <c r="AC28" s="1808">
        <f t="shared" si="5"/>
        <v>1</v>
      </c>
    </row>
    <row r="29" spans="1:29" ht="15" hidden="1">
      <c r="A29" s="424"/>
      <c r="B29" s="1383">
        <v>111</v>
      </c>
      <c r="C29" s="430"/>
      <c r="D29" s="431">
        <v>100</v>
      </c>
      <c r="E29" s="430"/>
      <c r="F29" s="457">
        <f>SUMIF(94:94,E29,95:95)-SUMIF(94:94,C29,95:95)+100</f>
        <v>100</v>
      </c>
      <c r="G29" s="430"/>
      <c r="H29" s="431">
        <f>SUMIF(94:94,G29,95:95)-SUMIF(94:94,C29,95:95)+100</f>
        <v>100</v>
      </c>
      <c r="I29" s="430"/>
      <c r="J29" s="431">
        <f>SUMIF(94:94,I29,95:95)-SUMIF(94:94,C29,95:95)+100</f>
        <v>100</v>
      </c>
      <c r="K29" s="609"/>
      <c r="L29" s="1137"/>
      <c r="M29" s="1128"/>
      <c r="N29" s="1128"/>
      <c r="O29" s="1128"/>
      <c r="P29" s="3164"/>
      <c r="Q29" s="1807">
        <f t="shared" si="11"/>
        <v>111</v>
      </c>
      <c r="R29" s="768" t="s">
        <v>17</v>
      </c>
      <c r="S29" s="769">
        <f t="shared" si="12"/>
        <v>100</v>
      </c>
      <c r="T29" s="768" t="s">
        <v>17</v>
      </c>
      <c r="U29" s="769">
        <f t="shared" si="13"/>
        <v>100</v>
      </c>
      <c r="V29" s="768" t="s">
        <v>17</v>
      </c>
      <c r="W29" s="769">
        <f t="shared" si="14"/>
        <v>100</v>
      </c>
      <c r="X29" s="1810"/>
      <c r="Y29" s="3157"/>
      <c r="Z29" s="1811">
        <f t="shared" si="15"/>
        <v>111</v>
      </c>
      <c r="AA29" s="1808">
        <f t="shared" si="3"/>
        <v>1</v>
      </c>
      <c r="AB29" s="1808">
        <f t="shared" si="4"/>
        <v>1</v>
      </c>
      <c r="AC29" s="1808">
        <f t="shared" si="5"/>
        <v>1</v>
      </c>
    </row>
    <row r="30" spans="1:29" ht="15" hidden="1">
      <c r="A30" s="424"/>
      <c r="B30" s="1383">
        <v>111</v>
      </c>
      <c r="C30" s="430"/>
      <c r="D30" s="431">
        <v>100</v>
      </c>
      <c r="E30" s="430"/>
      <c r="F30" s="457">
        <f>SUMIF(96:96,E30,97:97)-SUMIF(96:96,C30,97:97)+100</f>
        <v>100</v>
      </c>
      <c r="G30" s="430"/>
      <c r="H30" s="431">
        <f>SUMIF(96:96,G30,97:97)-SUMIF(96:96,C30,97:97)+100</f>
        <v>100</v>
      </c>
      <c r="I30" s="430"/>
      <c r="J30" s="431">
        <f>SUMIF(96:96,I30,97:97)-SUMIF(96:96,C30,97:97)+100</f>
        <v>100</v>
      </c>
      <c r="K30" s="609"/>
      <c r="L30" s="1137"/>
      <c r="M30" s="1128"/>
      <c r="N30" s="1128"/>
      <c r="O30" s="1128"/>
      <c r="P30" s="3164"/>
      <c r="Q30" s="1807">
        <f t="shared" si="11"/>
        <v>111</v>
      </c>
      <c r="R30" s="768" t="s">
        <v>17</v>
      </c>
      <c r="S30" s="769">
        <f t="shared" si="12"/>
        <v>100</v>
      </c>
      <c r="T30" s="768" t="s">
        <v>17</v>
      </c>
      <c r="U30" s="769">
        <f t="shared" si="13"/>
        <v>100</v>
      </c>
      <c r="V30" s="768" t="s">
        <v>17</v>
      </c>
      <c r="W30" s="769">
        <f t="shared" si="14"/>
        <v>100</v>
      </c>
      <c r="X30" s="1810"/>
      <c r="Y30" s="3157"/>
      <c r="Z30" s="1811">
        <f t="shared" si="15"/>
        <v>111</v>
      </c>
      <c r="AA30" s="1808">
        <f t="shared" si="3"/>
        <v>1</v>
      </c>
      <c r="AB30" s="1808">
        <f t="shared" si="4"/>
        <v>1</v>
      </c>
      <c r="AC30" s="1808">
        <f t="shared" si="5"/>
        <v>1</v>
      </c>
    </row>
    <row r="31" spans="1:29" ht="15.75" hidden="1" thickBot="1">
      <c r="A31" s="432"/>
      <c r="B31" s="1383">
        <v>111</v>
      </c>
      <c r="C31" s="433"/>
      <c r="D31" s="434">
        <v>100</v>
      </c>
      <c r="E31" s="430"/>
      <c r="F31" s="435">
        <f>SUMIF(98:98,E31,99:99)-SUMIF(98:98,C31,99:99)+100</f>
        <v>100</v>
      </c>
      <c r="G31" s="430"/>
      <c r="H31" s="434">
        <f>SUMIF(98:98,G31,99:99)-SUMIF(98:98,C31,99:99)+100</f>
        <v>100</v>
      </c>
      <c r="I31" s="430"/>
      <c r="J31" s="434">
        <f>SUMIF(98:98,I31,99:99)-SUMIF(98:98,C31,99:99)+100</f>
        <v>100</v>
      </c>
      <c r="K31" s="609"/>
      <c r="L31" s="1137"/>
      <c r="M31" s="1128"/>
      <c r="N31" s="1128"/>
      <c r="O31" s="1128"/>
      <c r="P31" s="3164"/>
      <c r="Q31" s="1807">
        <f t="shared" si="11"/>
        <v>111</v>
      </c>
      <c r="R31" s="768" t="s">
        <v>17</v>
      </c>
      <c r="S31" s="769">
        <f t="shared" si="12"/>
        <v>100</v>
      </c>
      <c r="T31" s="768" t="s">
        <v>17</v>
      </c>
      <c r="U31" s="769">
        <f t="shared" si="13"/>
        <v>100</v>
      </c>
      <c r="V31" s="768" t="s">
        <v>17</v>
      </c>
      <c r="W31" s="769">
        <f t="shared" si="14"/>
        <v>100</v>
      </c>
      <c r="X31" s="1810"/>
      <c r="Y31" s="3157"/>
      <c r="Z31" s="1811">
        <f t="shared" si="15"/>
        <v>111</v>
      </c>
      <c r="AA31" s="1808">
        <f t="shared" si="3"/>
        <v>1</v>
      </c>
      <c r="AB31" s="1808">
        <f t="shared" si="4"/>
        <v>1</v>
      </c>
      <c r="AC31" s="1808">
        <f t="shared" si="5"/>
        <v>1</v>
      </c>
    </row>
    <row r="32" spans="1:29" ht="15">
      <c r="A32" s="436" t="s">
        <v>2548</v>
      </c>
      <c r="B32" s="69" t="s">
        <v>2645</v>
      </c>
      <c r="C32" s="2613" t="s">
        <v>3231</v>
      </c>
      <c r="D32" s="463">
        <v>100</v>
      </c>
      <c r="E32" s="2613" t="s">
        <v>3231</v>
      </c>
      <c r="F32" s="457">
        <f>SUMIF(100:100,E32,101:101)-SUMIF(100:100,C32,101:101)+100</f>
        <v>100</v>
      </c>
      <c r="G32" s="2613" t="s">
        <v>3231</v>
      </c>
      <c r="H32" s="431">
        <f>SUMIF(100:100,G32,101:101)-SUMIF(100:100,C32,101:101)+100</f>
        <v>100</v>
      </c>
      <c r="I32" s="2613" t="s">
        <v>3239</v>
      </c>
      <c r="J32" s="463">
        <f>SUMIF(100:100,I32,101:101)-SUMIF(100:100,C32,101:101)+100</f>
        <v>108</v>
      </c>
      <c r="K32" s="608">
        <v>8</v>
      </c>
      <c r="L32" s="1137"/>
      <c r="M32" s="1128"/>
      <c r="N32" s="1128"/>
      <c r="O32" s="1128"/>
      <c r="P32" s="3158" t="s">
        <v>2550</v>
      </c>
      <c r="Q32" s="1807" t="str">
        <f t="shared" si="11"/>
        <v>商业类型</v>
      </c>
      <c r="R32" s="768" t="s">
        <v>17</v>
      </c>
      <c r="S32" s="769">
        <f t="shared" si="12"/>
        <v>100</v>
      </c>
      <c r="T32" s="768" t="s">
        <v>17</v>
      </c>
      <c r="U32" s="769">
        <f t="shared" si="13"/>
        <v>100</v>
      </c>
      <c r="V32" s="768" t="s">
        <v>17</v>
      </c>
      <c r="W32" s="769">
        <f t="shared" si="14"/>
        <v>108</v>
      </c>
      <c r="X32" s="1810"/>
      <c r="Y32" s="3161" t="s">
        <v>2550</v>
      </c>
      <c r="Z32" s="1811" t="str">
        <f t="shared" si="15"/>
        <v>商业类型</v>
      </c>
      <c r="AA32" s="1808">
        <f t="shared" si="3"/>
        <v>1</v>
      </c>
      <c r="AB32" s="1808">
        <f t="shared" si="4"/>
        <v>1</v>
      </c>
      <c r="AC32" s="1808">
        <f t="shared" si="5"/>
        <v>0.92592592592592593</v>
      </c>
    </row>
    <row r="33" spans="1:29" s="467" customFormat="1" ht="15">
      <c r="A33" s="464"/>
      <c r="B33" s="418" t="s">
        <v>2551</v>
      </c>
      <c r="C33" s="465">
        <f>'数据-汇总表'!E3</f>
        <v>183405</v>
      </c>
      <c r="D33" s="132">
        <v>100</v>
      </c>
      <c r="E33" s="426">
        <v>120000</v>
      </c>
      <c r="F33" s="421">
        <f>LOOKUP(E33,103:103,104:104)-LOOKUP(C33,103:103,104:104)+100</f>
        <v>100</v>
      </c>
      <c r="G33" s="425">
        <v>37000</v>
      </c>
      <c r="H33" s="132">
        <f>LOOKUP(G33,103:103,104:104)-LOOKUP(C33,103:103,104:104)+100</f>
        <v>98</v>
      </c>
      <c r="I33" s="425">
        <v>393000</v>
      </c>
      <c r="J33" s="132">
        <f>LOOKUP(I33,103:103,104:104)-LOOKUP(C33,103:103,104:104)+100</f>
        <v>101</v>
      </c>
      <c r="K33" s="609"/>
      <c r="L33" s="1135"/>
      <c r="M33" s="1138"/>
      <c r="N33" s="1138"/>
      <c r="O33" s="1138"/>
      <c r="P33" s="3159"/>
      <c r="Q33" s="770" t="str">
        <f t="shared" si="11"/>
        <v>项目建筑规模</v>
      </c>
      <c r="R33" s="771" t="s">
        <v>17</v>
      </c>
      <c r="S33" s="772">
        <f t="shared" si="12"/>
        <v>100</v>
      </c>
      <c r="T33" s="771" t="s">
        <v>17</v>
      </c>
      <c r="U33" s="772">
        <f t="shared" si="13"/>
        <v>98</v>
      </c>
      <c r="V33" s="771" t="s">
        <v>17</v>
      </c>
      <c r="W33" s="772">
        <f t="shared" si="14"/>
        <v>101</v>
      </c>
      <c r="X33" s="773"/>
      <c r="Y33" s="3161"/>
      <c r="Z33" s="774" t="str">
        <f t="shared" si="15"/>
        <v>项目建筑规模</v>
      </c>
      <c r="AA33" s="1808">
        <f t="shared" si="3"/>
        <v>1</v>
      </c>
      <c r="AB33" s="1808">
        <f t="shared" si="4"/>
        <v>1.0204081632653061</v>
      </c>
      <c r="AC33" s="1808">
        <f t="shared" si="5"/>
        <v>0.99009900990099009</v>
      </c>
    </row>
    <row r="34" spans="1:29" ht="15">
      <c r="A34" s="468"/>
      <c r="B34" s="418" t="s">
        <v>2552</v>
      </c>
      <c r="C34" s="2615" t="s">
        <v>3199</v>
      </c>
      <c r="D34" s="431">
        <v>100</v>
      </c>
      <c r="E34" s="2615" t="s">
        <v>3199</v>
      </c>
      <c r="F34" s="457">
        <f>SUMIF(105:105,E34,106:106)-SUMIF(105:105,C34,106:106)+100</f>
        <v>100</v>
      </c>
      <c r="G34" s="2615" t="s">
        <v>3199</v>
      </c>
      <c r="H34" s="431">
        <f>SUMIF(105:105,G34,106:106)-SUMIF(105:105,C34,106:106)+100</f>
        <v>100</v>
      </c>
      <c r="I34" s="2615" t="s">
        <v>3199</v>
      </c>
      <c r="J34" s="431">
        <f>SUMIF(105:105,I34,106:106)-SUMIF(105:105,C34,106:106)+100</f>
        <v>100</v>
      </c>
      <c r="K34" s="608">
        <v>1</v>
      </c>
      <c r="L34" s="1137"/>
      <c r="M34" s="1128"/>
      <c r="N34" s="1128"/>
      <c r="O34" s="1128"/>
      <c r="P34" s="3159"/>
      <c r="Q34" s="1807" t="str">
        <f t="shared" si="11"/>
        <v>建筑结构</v>
      </c>
      <c r="R34" s="768" t="s">
        <v>17</v>
      </c>
      <c r="S34" s="769">
        <f t="shared" si="12"/>
        <v>100</v>
      </c>
      <c r="T34" s="768" t="s">
        <v>17</v>
      </c>
      <c r="U34" s="769">
        <f t="shared" si="13"/>
        <v>100</v>
      </c>
      <c r="V34" s="768" t="s">
        <v>17</v>
      </c>
      <c r="W34" s="769">
        <f t="shared" si="14"/>
        <v>100</v>
      </c>
      <c r="X34" s="1810"/>
      <c r="Y34" s="3161"/>
      <c r="Z34" s="1811" t="str">
        <f t="shared" si="15"/>
        <v>建筑结构</v>
      </c>
      <c r="AA34" s="1808">
        <f t="shared" si="3"/>
        <v>1</v>
      </c>
      <c r="AB34" s="1808">
        <f t="shared" si="4"/>
        <v>1</v>
      </c>
      <c r="AC34" s="1808">
        <f t="shared" si="5"/>
        <v>1</v>
      </c>
    </row>
    <row r="35" spans="1:29" ht="15">
      <c r="A35" s="468"/>
      <c r="B35" s="418" t="s">
        <v>2646</v>
      </c>
      <c r="C35" s="2609" t="s">
        <v>3232</v>
      </c>
      <c r="D35" s="431">
        <v>100</v>
      </c>
      <c r="E35" s="2609" t="s">
        <v>3232</v>
      </c>
      <c r="F35" s="457">
        <f>SUMIF(107:107,E35,108:108)-SUMIF(107:107,C35,108:108)+100</f>
        <v>100</v>
      </c>
      <c r="G35" s="2609" t="s">
        <v>3232</v>
      </c>
      <c r="H35" s="431">
        <f>SUMIF(107:107,G35,108:108)-SUMIF(107:107,C35,108:108)+100</f>
        <v>100</v>
      </c>
      <c r="I35" s="2609" t="s">
        <v>3232</v>
      </c>
      <c r="J35" s="431">
        <f>SUMIF(107:107,I35,108:108)-SUMIF(107:107,C35,108:108)+100</f>
        <v>100</v>
      </c>
      <c r="K35" s="608">
        <v>1</v>
      </c>
      <c r="L35" s="1137"/>
      <c r="M35" s="1128"/>
      <c r="N35" s="1128"/>
      <c r="O35" s="1128"/>
      <c r="P35" s="3159"/>
      <c r="Q35" s="1807" t="str">
        <f t="shared" si="11"/>
        <v>公共部分装修</v>
      </c>
      <c r="R35" s="768" t="s">
        <v>17</v>
      </c>
      <c r="S35" s="769">
        <f t="shared" si="12"/>
        <v>100</v>
      </c>
      <c r="T35" s="768" t="s">
        <v>17</v>
      </c>
      <c r="U35" s="769">
        <f t="shared" si="13"/>
        <v>100</v>
      </c>
      <c r="V35" s="768" t="s">
        <v>17</v>
      </c>
      <c r="W35" s="769">
        <f t="shared" si="14"/>
        <v>100</v>
      </c>
      <c r="X35" s="1810"/>
      <c r="Y35" s="3161"/>
      <c r="Z35" s="1811" t="str">
        <f t="shared" si="15"/>
        <v>公共部分装修</v>
      </c>
      <c r="AA35" s="1808">
        <f t="shared" si="3"/>
        <v>1</v>
      </c>
      <c r="AB35" s="1808">
        <f t="shared" si="4"/>
        <v>1</v>
      </c>
      <c r="AC35" s="1808">
        <f t="shared" si="5"/>
        <v>1</v>
      </c>
    </row>
    <row r="36" spans="1:29" ht="15">
      <c r="A36" s="468"/>
      <c r="B36" s="418" t="s">
        <v>2647</v>
      </c>
      <c r="C36" s="470">
        <v>1</v>
      </c>
      <c r="D36" s="431">
        <v>100</v>
      </c>
      <c r="E36" s="470">
        <v>1</v>
      </c>
      <c r="F36" s="457">
        <f>LOOKUP(E36,110:110,111:111)-LOOKUP(C36,110:110,111:111)+100</f>
        <v>100</v>
      </c>
      <c r="G36" s="470">
        <v>1</v>
      </c>
      <c r="H36" s="457">
        <f>LOOKUP(G36,110:110,111:111)-LOOKUP(C36,110:110,111:111)+100</f>
        <v>100</v>
      </c>
      <c r="I36" s="470">
        <v>1</v>
      </c>
      <c r="J36" s="431">
        <f>LOOKUP(I36,110:110,111:111)-LOOKUP(C36,110:110,111:111)+100</f>
        <v>100</v>
      </c>
      <c r="K36" s="608">
        <v>1</v>
      </c>
      <c r="L36" s="1137"/>
      <c r="M36" s="1128"/>
      <c r="N36" s="1128"/>
      <c r="O36" s="1128"/>
      <c r="P36" s="3159"/>
      <c r="Q36" s="1807" t="str">
        <f t="shared" si="11"/>
        <v>成新度</v>
      </c>
      <c r="R36" s="768" t="s">
        <v>17</v>
      </c>
      <c r="S36" s="769">
        <f t="shared" si="12"/>
        <v>100</v>
      </c>
      <c r="T36" s="768" t="s">
        <v>17</v>
      </c>
      <c r="U36" s="769">
        <f t="shared" si="13"/>
        <v>100</v>
      </c>
      <c r="V36" s="768" t="s">
        <v>17</v>
      </c>
      <c r="W36" s="769">
        <f t="shared" si="14"/>
        <v>100</v>
      </c>
      <c r="X36" s="1810"/>
      <c r="Y36" s="3161"/>
      <c r="Z36" s="1811" t="str">
        <f t="shared" si="15"/>
        <v>成新度</v>
      </c>
      <c r="AA36" s="1808">
        <f t="shared" si="3"/>
        <v>1</v>
      </c>
      <c r="AB36" s="1808">
        <f t="shared" si="4"/>
        <v>1</v>
      </c>
      <c r="AC36" s="1808">
        <f t="shared" si="5"/>
        <v>1</v>
      </c>
    </row>
    <row r="37" spans="1:29" s="114" customFormat="1" ht="15">
      <c r="A37" s="469"/>
      <c r="B37" s="418" t="s">
        <v>2648</v>
      </c>
      <c r="C37" s="2609" t="s">
        <v>3181</v>
      </c>
      <c r="D37" s="132">
        <v>100</v>
      </c>
      <c r="E37" s="2609" t="s">
        <v>3261</v>
      </c>
      <c r="F37" s="457">
        <f>SUMIF(112:112,E37,113:113)-SUMIF(112:112,C37,113:113)+100</f>
        <v>96</v>
      </c>
      <c r="G37" s="2609" t="s">
        <v>3194</v>
      </c>
      <c r="H37" s="431">
        <f>SUMIF(112:112,G37,113:113)-SUMIF(112:112,C37,113:113)+100</f>
        <v>98</v>
      </c>
      <c r="I37" s="2609" t="s">
        <v>3194</v>
      </c>
      <c r="J37" s="431">
        <f>SUMIF(112:112,I37,113:113)-SUMIF(112:112,C37,113:113)+100</f>
        <v>98</v>
      </c>
      <c r="K37" s="608">
        <v>2</v>
      </c>
      <c r="L37" s="1129"/>
      <c r="M37" s="1130"/>
      <c r="N37" s="1130"/>
      <c r="O37" s="1130"/>
      <c r="P37" s="3159"/>
      <c r="Q37" s="1792" t="str">
        <f t="shared" si="11"/>
        <v>市政基础设施</v>
      </c>
      <c r="R37" s="764" t="s">
        <v>17</v>
      </c>
      <c r="S37" s="765">
        <f t="shared" si="12"/>
        <v>96</v>
      </c>
      <c r="T37" s="764" t="s">
        <v>17</v>
      </c>
      <c r="U37" s="765">
        <f t="shared" si="13"/>
        <v>98</v>
      </c>
      <c r="V37" s="764" t="s">
        <v>17</v>
      </c>
      <c r="W37" s="765">
        <f t="shared" si="14"/>
        <v>98</v>
      </c>
      <c r="X37" s="766"/>
      <c r="Y37" s="3161"/>
      <c r="Z37" s="55" t="str">
        <f t="shared" si="15"/>
        <v>市政基础设施</v>
      </c>
      <c r="AA37" s="767">
        <f t="shared" si="3"/>
        <v>1.0416666666666667</v>
      </c>
      <c r="AB37" s="767">
        <f t="shared" si="4"/>
        <v>1.0204081632653061</v>
      </c>
      <c r="AC37" s="767">
        <f t="shared" si="5"/>
        <v>1.0204081632653061</v>
      </c>
    </row>
    <row r="38" spans="1:29" ht="15">
      <c r="A38" s="468"/>
      <c r="B38" s="418" t="s">
        <v>2649</v>
      </c>
      <c r="C38" s="2609" t="s">
        <v>3233</v>
      </c>
      <c r="D38" s="431">
        <v>100</v>
      </c>
      <c r="E38" s="2609" t="s">
        <v>3233</v>
      </c>
      <c r="F38" s="457">
        <f>SUMIF(114:114,E38,115:115)-SUMIF(114:114,C38,115:115)+100</f>
        <v>100</v>
      </c>
      <c r="G38" s="2609" t="s">
        <v>3233</v>
      </c>
      <c r="H38" s="431">
        <f>SUMIF(114:114,G38,115:115)-SUMIF(114:114,C38,115:115)+100</f>
        <v>100</v>
      </c>
      <c r="I38" s="2609" t="s">
        <v>3233</v>
      </c>
      <c r="J38" s="431">
        <f>SUMIF(114:114,I38,115:115)-SUMIF(114:114,C38,115:115)+100</f>
        <v>100</v>
      </c>
      <c r="K38" s="608">
        <v>4</v>
      </c>
      <c r="L38" s="1137"/>
      <c r="M38" s="1128"/>
      <c r="N38" s="1128"/>
      <c r="O38" s="1128"/>
      <c r="P38" s="3159" t="s">
        <v>2550</v>
      </c>
      <c r="Q38" s="1807" t="str">
        <f t="shared" si="11"/>
        <v>业态</v>
      </c>
      <c r="R38" s="768" t="s">
        <v>17</v>
      </c>
      <c r="S38" s="769">
        <f t="shared" si="12"/>
        <v>100</v>
      </c>
      <c r="T38" s="768" t="s">
        <v>17</v>
      </c>
      <c r="U38" s="769">
        <f t="shared" si="13"/>
        <v>100</v>
      </c>
      <c r="V38" s="768" t="s">
        <v>17</v>
      </c>
      <c r="W38" s="769">
        <f t="shared" si="14"/>
        <v>100</v>
      </c>
      <c r="X38" s="1810"/>
      <c r="Y38" s="3161" t="s">
        <v>2550</v>
      </c>
      <c r="Z38" s="1811" t="str">
        <f t="shared" si="15"/>
        <v>业态</v>
      </c>
      <c r="AA38" s="1808">
        <f t="shared" si="3"/>
        <v>1</v>
      </c>
      <c r="AB38" s="1808">
        <f t="shared" si="4"/>
        <v>1</v>
      </c>
      <c r="AC38" s="1808">
        <f t="shared" si="5"/>
        <v>1</v>
      </c>
    </row>
    <row r="39" spans="1:29" ht="15">
      <c r="A39" s="468"/>
      <c r="B39" s="418" t="s">
        <v>2650</v>
      </c>
      <c r="C39" s="2609" t="s">
        <v>3234</v>
      </c>
      <c r="D39" s="431">
        <v>100</v>
      </c>
      <c r="E39" s="2609" t="s">
        <v>3234</v>
      </c>
      <c r="F39" s="457">
        <f>SUMIF(116:116,E39,117:117)-SUMIF(116:116,C39,117:117)+100</f>
        <v>100</v>
      </c>
      <c r="G39" s="2609" t="s">
        <v>3234</v>
      </c>
      <c r="H39" s="431">
        <f>SUMIF(116:116,G39,117:117)-SUMIF(116:116,C39,117:117)+100</f>
        <v>100</v>
      </c>
      <c r="I39" s="2609" t="s">
        <v>3234</v>
      </c>
      <c r="J39" s="431">
        <f>SUMIF(116:116,I39,117:117)-SUMIF(116:116,C39,117:117)+100</f>
        <v>100</v>
      </c>
      <c r="K39" s="608">
        <v>2</v>
      </c>
      <c r="L39" s="1137"/>
      <c r="M39" s="1128"/>
      <c r="N39" s="1128"/>
      <c r="O39" s="1128"/>
      <c r="P39" s="3159"/>
      <c r="Q39" s="1807" t="str">
        <f t="shared" si="11"/>
        <v>层高</v>
      </c>
      <c r="R39" s="768" t="s">
        <v>17</v>
      </c>
      <c r="S39" s="769">
        <f t="shared" si="12"/>
        <v>100</v>
      </c>
      <c r="T39" s="768" t="s">
        <v>17</v>
      </c>
      <c r="U39" s="769">
        <f t="shared" si="13"/>
        <v>100</v>
      </c>
      <c r="V39" s="768" t="s">
        <v>17</v>
      </c>
      <c r="W39" s="769">
        <f t="shared" si="14"/>
        <v>100</v>
      </c>
      <c r="X39" s="1810"/>
      <c r="Y39" s="3161"/>
      <c r="Z39" s="1811" t="str">
        <f t="shared" si="15"/>
        <v>层高</v>
      </c>
      <c r="AA39" s="1808">
        <f t="shared" si="3"/>
        <v>1</v>
      </c>
      <c r="AB39" s="1808">
        <f t="shared" si="4"/>
        <v>1</v>
      </c>
      <c r="AC39" s="1808">
        <f t="shared" si="5"/>
        <v>1</v>
      </c>
    </row>
    <row r="40" spans="1:29" ht="15">
      <c r="A40" s="468"/>
      <c r="B40" s="418" t="s">
        <v>2651</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7"/>
      <c r="M40" s="1128"/>
      <c r="N40" s="1128"/>
      <c r="O40" s="1128"/>
      <c r="P40" s="3159"/>
      <c r="Q40" s="1807" t="str">
        <f t="shared" si="11"/>
        <v>单套建筑面积</v>
      </c>
      <c r="R40" s="768" t="s">
        <v>17</v>
      </c>
      <c r="S40" s="769">
        <f t="shared" si="12"/>
        <v>100</v>
      </c>
      <c r="T40" s="768" t="s">
        <v>17</v>
      </c>
      <c r="U40" s="769">
        <f t="shared" si="13"/>
        <v>100</v>
      </c>
      <c r="V40" s="768" t="s">
        <v>17</v>
      </c>
      <c r="W40" s="769">
        <f t="shared" si="14"/>
        <v>100</v>
      </c>
      <c r="X40" s="1810"/>
      <c r="Y40" s="3161"/>
      <c r="Z40" s="1811" t="str">
        <f t="shared" si="15"/>
        <v>单套建筑面积</v>
      </c>
      <c r="AA40" s="1808">
        <f t="shared" si="3"/>
        <v>1</v>
      </c>
      <c r="AB40" s="1808">
        <f t="shared" si="4"/>
        <v>1</v>
      </c>
      <c r="AC40" s="1808">
        <f t="shared" si="5"/>
        <v>1</v>
      </c>
    </row>
    <row r="41" spans="1:29" s="467" customFormat="1" ht="15">
      <c r="A41" s="464"/>
      <c r="B41" s="1809" t="s">
        <v>2652</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v>1</v>
      </c>
      <c r="L41" s="1135"/>
      <c r="M41" s="1138"/>
      <c r="N41" s="1138"/>
      <c r="O41" s="1138"/>
      <c r="P41" s="3159"/>
      <c r="Q41" s="770" t="str">
        <f t="shared" si="11"/>
        <v>进深比</v>
      </c>
      <c r="R41" s="771" t="s">
        <v>17</v>
      </c>
      <c r="S41" s="772">
        <f t="shared" si="12"/>
        <v>100</v>
      </c>
      <c r="T41" s="771" t="s">
        <v>17</v>
      </c>
      <c r="U41" s="772">
        <f t="shared" si="13"/>
        <v>100</v>
      </c>
      <c r="V41" s="771" t="s">
        <v>17</v>
      </c>
      <c r="W41" s="772">
        <f t="shared" si="14"/>
        <v>100</v>
      </c>
      <c r="X41" s="773"/>
      <c r="Y41" s="3161"/>
      <c r="Z41" s="774" t="str">
        <f t="shared" si="15"/>
        <v>进深比</v>
      </c>
      <c r="AA41" s="1808">
        <f t="shared" si="3"/>
        <v>1</v>
      </c>
      <c r="AB41" s="1808">
        <f t="shared" si="4"/>
        <v>1</v>
      </c>
      <c r="AC41" s="1808">
        <f t="shared" si="5"/>
        <v>1</v>
      </c>
    </row>
    <row r="42" spans="1:29" ht="15">
      <c r="A42" s="468"/>
      <c r="B42" s="418" t="s">
        <v>2653</v>
      </c>
      <c r="C42" s="2609" t="s">
        <v>3235</v>
      </c>
      <c r="D42" s="431">
        <v>100</v>
      </c>
      <c r="E42" s="2609" t="s">
        <v>3235</v>
      </c>
      <c r="F42" s="457">
        <f>SUMIF(122:122,E42,123:123)-SUMIF(122:122,C42,123:123)+100</f>
        <v>100</v>
      </c>
      <c r="G42" s="2609" t="s">
        <v>3235</v>
      </c>
      <c r="H42" s="431">
        <f>SUMIF(122:122,G42,123:123)-SUMIF(122:122,C42,123:123)+100</f>
        <v>100</v>
      </c>
      <c r="I42" s="2609" t="s">
        <v>3235</v>
      </c>
      <c r="J42" s="431">
        <f>SUMIF(122:122,I42,123:123)-SUMIF(122:122,C42,123:123)+100</f>
        <v>100</v>
      </c>
      <c r="K42" s="608">
        <v>1</v>
      </c>
      <c r="L42" s="1137"/>
      <c r="M42" s="1128"/>
      <c r="N42" s="1128"/>
      <c r="O42" s="1128"/>
      <c r="P42" s="3159"/>
      <c r="Q42" s="1807" t="str">
        <f t="shared" si="11"/>
        <v>内部装修</v>
      </c>
      <c r="R42" s="768" t="s">
        <v>17</v>
      </c>
      <c r="S42" s="769">
        <f t="shared" si="12"/>
        <v>100</v>
      </c>
      <c r="T42" s="768" t="s">
        <v>17</v>
      </c>
      <c r="U42" s="769">
        <f t="shared" si="13"/>
        <v>100</v>
      </c>
      <c r="V42" s="768" t="s">
        <v>17</v>
      </c>
      <c r="W42" s="769">
        <f t="shared" si="14"/>
        <v>100</v>
      </c>
      <c r="X42" s="1810"/>
      <c r="Y42" s="3161"/>
      <c r="Z42" s="1811" t="str">
        <f t="shared" si="15"/>
        <v>内部装修</v>
      </c>
      <c r="AA42" s="1808">
        <f t="shared" si="3"/>
        <v>1</v>
      </c>
      <c r="AB42" s="1808">
        <f t="shared" si="4"/>
        <v>1</v>
      </c>
      <c r="AC42" s="1808">
        <f t="shared" si="5"/>
        <v>1</v>
      </c>
    </row>
    <row r="43" spans="1:29" ht="15.75" thickBot="1">
      <c r="A43" s="468"/>
      <c r="B43" s="418" t="s">
        <v>2561</v>
      </c>
      <c r="C43" s="2609" t="s">
        <v>3085</v>
      </c>
      <c r="D43" s="431">
        <v>100</v>
      </c>
      <c r="E43" s="2609" t="s">
        <v>3085</v>
      </c>
      <c r="F43" s="457">
        <f>SUMIF(124:124,E43,125:125)-SUMIF(124:124,C43,125:125)+100</f>
        <v>100</v>
      </c>
      <c r="G43" s="2609" t="s">
        <v>3085</v>
      </c>
      <c r="H43" s="431">
        <f>SUMIF(124:124,G43,125:125)-SUMIF(124:124,C43,125:125)+100</f>
        <v>100</v>
      </c>
      <c r="I43" s="2609" t="s">
        <v>3085</v>
      </c>
      <c r="J43" s="431">
        <f>SUMIF(124:124,I43,125:125)-SUMIF(124:124,C43,125:125)+100</f>
        <v>100</v>
      </c>
      <c r="K43" s="608">
        <v>1</v>
      </c>
      <c r="L43" s="1137"/>
      <c r="M43" s="1128"/>
      <c r="N43" s="1128"/>
      <c r="O43" s="1128"/>
      <c r="P43" s="3159"/>
      <c r="Q43" s="1807" t="str">
        <f t="shared" si="11"/>
        <v>内部装修维护情况</v>
      </c>
      <c r="R43" s="768" t="s">
        <v>17</v>
      </c>
      <c r="S43" s="769">
        <f t="shared" si="12"/>
        <v>100</v>
      </c>
      <c r="T43" s="768" t="s">
        <v>17</v>
      </c>
      <c r="U43" s="769">
        <f t="shared" si="13"/>
        <v>100</v>
      </c>
      <c r="V43" s="768" t="s">
        <v>17</v>
      </c>
      <c r="W43" s="769">
        <f t="shared" si="14"/>
        <v>100</v>
      </c>
      <c r="X43" s="1810"/>
      <c r="Y43" s="3161"/>
      <c r="Z43" s="1811" t="str">
        <f t="shared" si="15"/>
        <v>内部装修维护情况</v>
      </c>
      <c r="AA43" s="1808">
        <f t="shared" si="3"/>
        <v>1</v>
      </c>
      <c r="AB43" s="1808">
        <f t="shared" si="4"/>
        <v>1</v>
      </c>
      <c r="AC43" s="1808">
        <f t="shared" si="5"/>
        <v>1</v>
      </c>
    </row>
    <row r="44" spans="1:29" s="114" customFormat="1" ht="15" hidden="1">
      <c r="A44" s="469"/>
      <c r="B44" s="1383">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9"/>
      <c r="M44" s="1130"/>
      <c r="N44" s="1130"/>
      <c r="O44" s="1130"/>
      <c r="P44" s="3159"/>
      <c r="Q44" s="1792">
        <f t="shared" si="11"/>
        <v>111</v>
      </c>
      <c r="R44" s="764" t="s">
        <v>17</v>
      </c>
      <c r="S44" s="765">
        <f t="shared" si="12"/>
        <v>100</v>
      </c>
      <c r="T44" s="764" t="s">
        <v>17</v>
      </c>
      <c r="U44" s="765">
        <f t="shared" si="13"/>
        <v>100</v>
      </c>
      <c r="V44" s="764" t="s">
        <v>17</v>
      </c>
      <c r="W44" s="765">
        <f t="shared" si="14"/>
        <v>100</v>
      </c>
      <c r="X44" s="766"/>
      <c r="Y44" s="3161"/>
      <c r="Z44" s="55">
        <f t="shared" si="15"/>
        <v>111</v>
      </c>
      <c r="AA44" s="767">
        <f t="shared" si="3"/>
        <v>1</v>
      </c>
      <c r="AB44" s="767">
        <f t="shared" si="4"/>
        <v>1</v>
      </c>
      <c r="AC44" s="767">
        <f t="shared" si="5"/>
        <v>1</v>
      </c>
    </row>
    <row r="45" spans="1:29" ht="15" hidden="1">
      <c r="A45" s="468"/>
      <c r="B45" s="138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7"/>
      <c r="M45" s="1128"/>
      <c r="N45" s="1128"/>
      <c r="O45" s="1128"/>
      <c r="P45" s="3159"/>
      <c r="Q45" s="1807">
        <f t="shared" si="11"/>
        <v>111</v>
      </c>
      <c r="R45" s="768" t="s">
        <v>17</v>
      </c>
      <c r="S45" s="769">
        <f t="shared" si="12"/>
        <v>100</v>
      </c>
      <c r="T45" s="768" t="s">
        <v>17</v>
      </c>
      <c r="U45" s="769">
        <f t="shared" si="13"/>
        <v>100</v>
      </c>
      <c r="V45" s="768" t="s">
        <v>17</v>
      </c>
      <c r="W45" s="769">
        <f t="shared" si="14"/>
        <v>100</v>
      </c>
      <c r="X45" s="1810"/>
      <c r="Y45" s="3161"/>
      <c r="Z45" s="1811">
        <f t="shared" si="15"/>
        <v>111</v>
      </c>
      <c r="AA45" s="1808">
        <f t="shared" si="3"/>
        <v>1</v>
      </c>
      <c r="AB45" s="1808">
        <f t="shared" si="4"/>
        <v>1</v>
      </c>
      <c r="AC45" s="1808">
        <f t="shared" si="5"/>
        <v>1</v>
      </c>
    </row>
    <row r="46" spans="1:29" ht="15.75" hidden="1" thickBot="1">
      <c r="A46" s="474"/>
      <c r="B46" s="2598">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7"/>
      <c r="M46" s="1128"/>
      <c r="N46" s="1128"/>
      <c r="O46" s="1128"/>
      <c r="P46" s="3160"/>
      <c r="Q46" s="1807">
        <f t="shared" si="11"/>
        <v>111</v>
      </c>
      <c r="R46" s="768" t="s">
        <v>17</v>
      </c>
      <c r="S46" s="769">
        <f t="shared" si="12"/>
        <v>100</v>
      </c>
      <c r="T46" s="768" t="s">
        <v>17</v>
      </c>
      <c r="U46" s="769">
        <f t="shared" si="13"/>
        <v>100</v>
      </c>
      <c r="V46" s="768" t="s">
        <v>17</v>
      </c>
      <c r="W46" s="769">
        <f t="shared" si="14"/>
        <v>100</v>
      </c>
      <c r="X46" s="1810"/>
      <c r="Y46" s="3162"/>
      <c r="Z46" s="1811">
        <f t="shared" si="15"/>
        <v>111</v>
      </c>
      <c r="AA46" s="1808">
        <f t="shared" si="3"/>
        <v>1</v>
      </c>
      <c r="AB46" s="1808">
        <f t="shared" si="4"/>
        <v>1</v>
      </c>
      <c r="AC46" s="1808">
        <f t="shared" si="5"/>
        <v>1</v>
      </c>
    </row>
    <row r="47" spans="1:29" ht="15">
      <c r="A47" s="475" t="s">
        <v>2562</v>
      </c>
      <c r="B47" s="476"/>
      <c r="C47" s="1404" t="s">
        <v>1</v>
      </c>
      <c r="D47" s="1405"/>
      <c r="E47" s="1406">
        <v>44424</v>
      </c>
      <c r="F47" s="1407"/>
      <c r="G47" s="1408">
        <v>40200</v>
      </c>
      <c r="H47" s="1409"/>
      <c r="I47" s="1406">
        <f>ROUND(45000*0.95,0)</f>
        <v>42750</v>
      </c>
      <c r="J47" s="1409"/>
      <c r="K47" s="777"/>
      <c r="L47" s="1140"/>
      <c r="M47" s="1141"/>
      <c r="N47" s="1128"/>
      <c r="O47" s="1141"/>
      <c r="P47" s="3154" t="str">
        <f>A47</f>
        <v>成交单价（元/平方米）</v>
      </c>
      <c r="Q47" s="3154"/>
      <c r="R47" s="3185">
        <f>E47</f>
        <v>44424</v>
      </c>
      <c r="S47" s="3185"/>
      <c r="T47" s="3185">
        <f>G47</f>
        <v>40200</v>
      </c>
      <c r="U47" s="3185"/>
      <c r="V47" s="3185">
        <f>I47</f>
        <v>42750</v>
      </c>
      <c r="W47" s="3185"/>
      <c r="X47" s="753"/>
      <c r="Y47" s="775"/>
      <c r="Z47" s="753"/>
      <c r="AA47" s="753"/>
      <c r="AB47" s="753"/>
      <c r="AC47" s="753"/>
    </row>
    <row r="48" spans="1:29" ht="15.75" thickBot="1">
      <c r="A48" s="482" t="s">
        <v>2654</v>
      </c>
      <c r="B48" s="483"/>
      <c r="C48" s="1410">
        <f>R49</f>
        <v>37318</v>
      </c>
      <c r="D48" s="1411"/>
      <c r="E48" s="1412">
        <f>R48</f>
        <v>39149</v>
      </c>
      <c r="F48" s="1412"/>
      <c r="G48" s="1410">
        <f>T48</f>
        <v>38309</v>
      </c>
      <c r="H48" s="1411"/>
      <c r="I48" s="1412">
        <f>V48</f>
        <v>34496</v>
      </c>
      <c r="J48" s="1411"/>
      <c r="K48" s="778"/>
      <c r="L48" s="1140"/>
      <c r="M48" s="1141"/>
      <c r="N48" s="1128"/>
      <c r="O48" s="1141"/>
      <c r="P48" s="3154" t="str">
        <f>A48</f>
        <v>比较价值（元/平方米）</v>
      </c>
      <c r="Q48" s="3154"/>
      <c r="R48" s="3155">
        <f>IF(F1="售价",ROUND(PRODUCT(R47,AA7:AA46),0),ROUND(PRODUCT(R47,AA7:AA46),1))</f>
        <v>39149</v>
      </c>
      <c r="S48" s="3155"/>
      <c r="T48" s="3155">
        <f>IF(F1="售价",ROUND(PRODUCT(T47,AB7:AB46),0),ROUND(PRODUCT(T47,AB7:AB46),1))</f>
        <v>38309</v>
      </c>
      <c r="U48" s="3155"/>
      <c r="V48" s="3155">
        <f>IF(F1="售价",ROUND(PRODUCT(V47,AC7:AC46),0),ROUND(PRODUCT(V47,AC7:AC46),1))</f>
        <v>34496</v>
      </c>
      <c r="W48" s="3155"/>
      <c r="X48" s="753"/>
      <c r="Y48" s="753"/>
      <c r="Z48" s="753"/>
      <c r="AA48" s="753"/>
      <c r="AB48" s="753"/>
      <c r="AC48" s="753"/>
    </row>
    <row r="49" spans="1:29" ht="15.75" thickBot="1">
      <c r="A49" s="488" t="s">
        <v>2655</v>
      </c>
      <c r="B49" s="489"/>
      <c r="C49" s="1414">
        <f>R49</f>
        <v>37318</v>
      </c>
      <c r="D49" s="1414"/>
      <c r="E49" s="1414"/>
      <c r="F49" s="1414"/>
      <c r="G49" s="1414"/>
      <c r="H49" s="1414"/>
      <c r="I49" s="1414"/>
      <c r="J49" s="1414"/>
      <c r="K49" s="779"/>
      <c r="L49" s="1140"/>
      <c r="M49" s="1141"/>
      <c r="N49" s="1128"/>
      <c r="O49" s="1141"/>
      <c r="P49" s="3151" t="str">
        <f>A49</f>
        <v>估价对象XX用房的比较价值（楼面单价，元/平方米）</v>
      </c>
      <c r="Q49" s="3152"/>
      <c r="R49" s="3153">
        <f>IF(F1="售价",ROUND(AVERAGE(R48:V48),0),ROUND(AVERAGE(R48:V48),1))</f>
        <v>37318</v>
      </c>
      <c r="S49" s="3153"/>
      <c r="T49" s="3153"/>
      <c r="U49" s="3153"/>
      <c r="V49" s="3153"/>
      <c r="W49" s="3153"/>
      <c r="X49" s="753"/>
      <c r="Y49" s="753"/>
      <c r="Z49" s="753"/>
      <c r="AA49" s="753"/>
      <c r="AB49" s="753"/>
      <c r="AC49" s="753"/>
    </row>
    <row r="50" spans="1:29">
      <c r="A50" s="1141"/>
      <c r="B50" s="1141"/>
      <c r="C50" s="1141"/>
      <c r="D50" s="1141"/>
      <c r="E50" s="1141"/>
      <c r="F50" s="1141"/>
      <c r="G50" s="1144"/>
      <c r="H50" s="1141"/>
      <c r="I50" s="1141"/>
      <c r="J50" s="1141"/>
      <c r="K50" s="1102"/>
      <c r="L50" s="1103"/>
      <c r="M50" s="1141"/>
      <c r="N50" s="1141"/>
      <c r="O50" s="1141"/>
      <c r="P50" s="671"/>
      <c r="Q50" s="753"/>
      <c r="R50" s="753"/>
      <c r="S50" s="753"/>
      <c r="T50" s="753"/>
      <c r="U50" s="753"/>
      <c r="V50" s="753"/>
      <c r="W50" s="753"/>
      <c r="X50" s="753"/>
      <c r="Y50" s="753"/>
      <c r="Z50" s="753"/>
      <c r="AA50" s="753"/>
      <c r="AB50" s="753"/>
      <c r="AC50" s="753"/>
    </row>
    <row r="51" spans="1:29">
      <c r="A51" s="1141"/>
      <c r="B51" s="1141"/>
      <c r="C51" s="1141"/>
      <c r="D51" s="1141"/>
      <c r="E51" s="1141"/>
      <c r="F51" s="1141"/>
      <c r="G51" s="1141"/>
      <c r="H51" s="1141"/>
      <c r="I51" s="1141"/>
      <c r="J51" s="1141"/>
      <c r="K51" s="1102"/>
      <c r="L51" s="1103"/>
      <c r="M51" s="1141"/>
      <c r="N51" s="1141"/>
      <c r="O51" s="1141"/>
      <c r="P51" s="671"/>
      <c r="Q51" s="753"/>
      <c r="R51" s="753"/>
      <c r="S51" s="753"/>
      <c r="T51" s="753"/>
      <c r="U51" s="753"/>
      <c r="V51" s="753"/>
      <c r="W51" s="753"/>
      <c r="X51" s="753"/>
      <c r="Y51" s="753"/>
      <c r="Z51" s="753"/>
      <c r="AA51" s="753"/>
      <c r="AB51" s="753"/>
      <c r="AC51" s="753"/>
    </row>
    <row r="52" spans="1:29" ht="13.5" customHeight="1">
      <c r="A52" s="1141"/>
      <c r="B52" s="1141"/>
      <c r="C52" s="493" t="s">
        <v>2656</v>
      </c>
      <c r="D52" s="494"/>
      <c r="E52" s="495">
        <f>IF(E47&lt;E48,E48/E47-1,E47/E48-1)</f>
        <v>0.13474162813864976</v>
      </c>
      <c r="F52" s="496" t="str">
        <f>IF(OR(E52&gt;=0.3,E52&lt;=-0.3),"超过30%","")</f>
        <v/>
      </c>
      <c r="G52" s="495">
        <f>IF(G47&lt;G48,G48/G47-1,G47/G48-1)</f>
        <v>4.9361768774961456E-2</v>
      </c>
      <c r="H52" s="496" t="str">
        <f>IF(OR(G52&gt;=0.3,G52&lt;=-0.3),"超过30%","")</f>
        <v/>
      </c>
      <c r="I52" s="495">
        <f>IF(I47&lt;I48,I48/I47-1,I47/I48-1)</f>
        <v>0.23927411873840443</v>
      </c>
      <c r="J52" s="496" t="str">
        <f>IF(OR(I52&gt;=0.3,I52&lt;=-0.3),"超过30%","")</f>
        <v/>
      </c>
      <c r="K52" s="1102"/>
      <c r="L52" s="1103"/>
      <c r="M52" s="1141"/>
      <c r="N52" s="1141"/>
      <c r="O52" s="1141"/>
      <c r="P52" s="671"/>
      <c r="Q52" s="753"/>
      <c r="R52" s="753"/>
      <c r="S52" s="753"/>
      <c r="T52" s="753"/>
      <c r="U52" s="753"/>
      <c r="V52" s="753"/>
      <c r="W52" s="753"/>
      <c r="X52" s="753"/>
      <c r="Y52" s="753"/>
      <c r="Z52" s="753"/>
      <c r="AA52" s="753"/>
      <c r="AB52" s="753"/>
      <c r="AC52" s="753"/>
    </row>
    <row r="53" spans="1:29" ht="13.5" customHeight="1">
      <c r="A53" s="1141"/>
      <c r="B53" s="1141"/>
      <c r="C53" s="493" t="s">
        <v>2657</v>
      </c>
      <c r="D53" s="497"/>
      <c r="E53" s="495">
        <f>IF(E48&lt;G48,G48/E48-1,E48/G48-1)</f>
        <v>2.1926962332611044E-2</v>
      </c>
      <c r="F53" s="496" t="str">
        <f>IF(OR(E53&gt;=0.2,E53&lt;=-0.2),"超过20%","")</f>
        <v/>
      </c>
      <c r="G53" s="495">
        <f>IF(G48&lt;I48,I48/G48-1,G48/I48-1)</f>
        <v>0.11053455473098328</v>
      </c>
      <c r="H53" s="496" t="str">
        <f>IF(OR(G53&gt;=0.2,G53&lt;=-0.2),"超过20%","")</f>
        <v/>
      </c>
      <c r="I53" s="495">
        <f>IF(I48&lt;E48,E48/I48-1,I48/E48-1)</f>
        <v>0.13488520408163263</v>
      </c>
      <c r="J53" s="496" t="str">
        <f>IF(OR(I53&gt;=0.2,I53&lt;=-0.2),"超过20%","")</f>
        <v/>
      </c>
      <c r="K53" s="1102"/>
      <c r="L53" s="1103"/>
      <c r="M53" s="1141"/>
      <c r="N53" s="1141"/>
      <c r="O53" s="1141"/>
      <c r="P53" s="671"/>
      <c r="Q53" s="753"/>
      <c r="R53" s="753"/>
      <c r="S53" s="753"/>
      <c r="T53" s="753"/>
      <c r="U53" s="753"/>
      <c r="V53" s="753"/>
      <c r="W53" s="753"/>
      <c r="X53" s="753"/>
      <c r="Y53" s="753"/>
      <c r="Z53" s="753"/>
      <c r="AA53" s="753"/>
      <c r="AB53" s="753"/>
      <c r="AC53" s="753"/>
    </row>
    <row r="54" spans="1:29" s="498" customFormat="1" ht="13.5" customHeight="1">
      <c r="A54" s="1142"/>
      <c r="B54" s="1142"/>
      <c r="C54" s="493" t="s">
        <v>2658</v>
      </c>
      <c r="D54" s="497"/>
      <c r="E54" s="495">
        <f>IF(E47&lt;G47,G47/E47-1,E47/G47-1)</f>
        <v>0.10507462686567171</v>
      </c>
      <c r="F54" s="496" t="str">
        <f>IF(OR(E54&gt;=0.3,E54&lt;=-0.3),"超过30%","")</f>
        <v/>
      </c>
      <c r="G54" s="495">
        <f>IF(G47&lt;I47,I47/G47-1,G47/I47-1)</f>
        <v>6.3432835820895539E-2</v>
      </c>
      <c r="H54" s="496" t="str">
        <f>IF(OR(G54&gt;=0.3,G54&lt;=-0.3),"超过30%","")</f>
        <v/>
      </c>
      <c r="I54" s="495">
        <f>IF(I47&lt;E47,E47/I47-1,I47/E47-1)</f>
        <v>3.9157894736842058E-2</v>
      </c>
      <c r="J54" s="496" t="str">
        <f>IF(OR(I54&gt;=0.3,I54&lt;=-0.3),"超过30%","")</f>
        <v/>
      </c>
      <c r="K54" s="1145"/>
      <c r="L54" s="1146"/>
      <c r="M54" s="1142"/>
      <c r="N54" s="1142"/>
      <c r="O54" s="1142"/>
      <c r="P54" s="2662"/>
      <c r="Q54" s="754"/>
      <c r="R54" s="754"/>
      <c r="S54" s="754"/>
      <c r="T54" s="754"/>
      <c r="U54" s="754"/>
      <c r="V54" s="754"/>
      <c r="W54" s="754"/>
      <c r="X54" s="754"/>
      <c r="Y54" s="754"/>
      <c r="Z54" s="754"/>
      <c r="AA54" s="754"/>
      <c r="AB54" s="754"/>
      <c r="AC54" s="754"/>
    </row>
    <row r="55" spans="1:29" s="498" customFormat="1">
      <c r="A55" s="1142"/>
      <c r="B55" s="1143"/>
      <c r="C55" s="1147"/>
      <c r="D55" s="1142"/>
      <c r="E55" s="1142"/>
      <c r="F55" s="1142"/>
      <c r="G55" s="1142"/>
      <c r="H55" s="1142"/>
      <c r="I55" s="1142"/>
      <c r="J55" s="1142"/>
      <c r="K55" s="1145"/>
      <c r="L55" s="1146"/>
      <c r="M55" s="1142"/>
      <c r="N55" s="1142"/>
      <c r="O55" s="1142"/>
      <c r="P55" s="2662"/>
      <c r="Q55" s="754"/>
      <c r="R55" s="754"/>
      <c r="S55" s="754"/>
      <c r="T55" s="754"/>
      <c r="U55" s="754"/>
      <c r="V55" s="754"/>
      <c r="W55" s="754"/>
      <c r="X55" s="754"/>
      <c r="Y55" s="754"/>
      <c r="Z55" s="754"/>
      <c r="AA55" s="754"/>
      <c r="AB55" s="754"/>
      <c r="AC55" s="754"/>
    </row>
    <row r="56" spans="1:29">
      <c r="A56" s="1141"/>
      <c r="B56" s="1143"/>
      <c r="C56" s="1147"/>
      <c r="D56" s="1141"/>
      <c r="E56" s="1141"/>
      <c r="F56" s="1141"/>
      <c r="G56" s="1141"/>
      <c r="H56" s="1141"/>
      <c r="I56" s="1141"/>
      <c r="J56" s="1141"/>
      <c r="K56" s="1102"/>
      <c r="L56" s="1103"/>
      <c r="M56" s="1141"/>
      <c r="N56" s="1141"/>
      <c r="O56" s="1141"/>
      <c r="P56" s="671"/>
      <c r="Q56" s="753"/>
      <c r="R56" s="753"/>
      <c r="S56" s="753"/>
      <c r="T56" s="753"/>
      <c r="U56" s="753"/>
      <c r="V56" s="753"/>
      <c r="W56" s="753"/>
      <c r="X56" s="753"/>
      <c r="Y56" s="753"/>
      <c r="Z56" s="753"/>
      <c r="AA56" s="753"/>
      <c r="AB56" s="753"/>
      <c r="AC56" s="753"/>
    </row>
    <row r="57" spans="1:29" ht="21.75" thickBot="1">
      <c r="A57" s="757" t="s">
        <v>2659</v>
      </c>
      <c r="B57" s="753"/>
      <c r="C57" s="758"/>
      <c r="D57" s="758"/>
      <c r="E57" s="758"/>
      <c r="F57" s="759"/>
      <c r="G57" s="759"/>
      <c r="H57" s="758"/>
      <c r="I57" s="758"/>
      <c r="J57" s="758"/>
      <c r="K57" s="760"/>
      <c r="L57" s="1158"/>
      <c r="M57" s="1156"/>
      <c r="N57" s="1156"/>
      <c r="O57" s="1156"/>
      <c r="P57" s="2663"/>
      <c r="Q57" s="2664"/>
      <c r="R57" s="753"/>
      <c r="S57" s="753"/>
      <c r="T57" s="753"/>
      <c r="U57" s="753"/>
      <c r="V57" s="753"/>
      <c r="W57" s="753"/>
      <c r="X57" s="753"/>
      <c r="Y57" s="753"/>
      <c r="Z57" s="753"/>
      <c r="AA57" s="753"/>
      <c r="AB57" s="753"/>
      <c r="AC57" s="753"/>
    </row>
    <row r="58" spans="1:29" s="504" customFormat="1" ht="15">
      <c r="A58" s="501" t="s">
        <v>2533</v>
      </c>
      <c r="B58" s="502"/>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4" customFormat="1" ht="15">
      <c r="A59" s="505"/>
      <c r="B59" s="506"/>
      <c r="C59" s="1570">
        <v>100</v>
      </c>
      <c r="D59" s="508">
        <f>C59-0.5</f>
        <v>99.5</v>
      </c>
      <c r="E59" s="508">
        <f t="shared" ref="E59:K59" si="17">D59-0.5</f>
        <v>99</v>
      </c>
      <c r="F59" s="508">
        <f t="shared" si="17"/>
        <v>98.5</v>
      </c>
      <c r="G59" s="508">
        <f t="shared" si="17"/>
        <v>98</v>
      </c>
      <c r="H59" s="508">
        <f t="shared" si="17"/>
        <v>97.5</v>
      </c>
      <c r="I59" s="508">
        <f t="shared" si="17"/>
        <v>97</v>
      </c>
      <c r="J59" s="508">
        <f t="shared" si="17"/>
        <v>96.5</v>
      </c>
      <c r="K59" s="508">
        <f t="shared" si="17"/>
        <v>96</v>
      </c>
      <c r="L59" s="508"/>
      <c r="M59" s="509"/>
      <c r="N59" s="508"/>
      <c r="O59" s="509"/>
      <c r="P59" s="2624"/>
    </row>
    <row r="60" spans="1:29" s="114" customFormat="1" ht="15.75" thickBot="1">
      <c r="A60" s="511" t="s">
        <v>2570</v>
      </c>
      <c r="B60" s="512"/>
      <c r="C60" s="513"/>
      <c r="D60" s="514"/>
      <c r="E60" s="514"/>
      <c r="F60" s="514"/>
      <c r="G60" s="514"/>
      <c r="H60" s="514"/>
      <c r="I60" s="514"/>
      <c r="J60" s="514"/>
      <c r="K60" s="514"/>
      <c r="L60" s="514"/>
      <c r="M60" s="515"/>
      <c r="N60" s="514"/>
      <c r="O60" s="515"/>
      <c r="P60" s="2624"/>
      <c r="Q60" s="500"/>
    </row>
    <row r="61" spans="1:29" s="114" customFormat="1" ht="15">
      <c r="A61" s="517" t="s">
        <v>2535</v>
      </c>
      <c r="B61" s="506"/>
      <c r="C61" s="518" t="s">
        <v>2637</v>
      </c>
      <c r="D61" s="519"/>
      <c r="E61" s="519"/>
      <c r="F61" s="519"/>
      <c r="G61" s="519"/>
      <c r="H61" s="519"/>
      <c r="I61" s="519"/>
      <c r="J61" s="519"/>
      <c r="K61" s="519"/>
      <c r="L61" s="520"/>
      <c r="M61" s="521"/>
      <c r="N61" s="1148"/>
      <c r="O61" s="1148"/>
      <c r="P61" s="2625"/>
      <c r="Q61" s="500"/>
    </row>
    <row r="62" spans="1:29" s="114" customFormat="1" ht="15.75" thickBot="1">
      <c r="A62" s="517"/>
      <c r="B62" s="506"/>
      <c r="C62" s="507">
        <v>100</v>
      </c>
      <c r="D62" s="508"/>
      <c r="E62" s="508"/>
      <c r="F62" s="508"/>
      <c r="G62" s="508"/>
      <c r="H62" s="508"/>
      <c r="I62" s="508"/>
      <c r="J62" s="508"/>
      <c r="K62" s="508"/>
      <c r="L62" s="508"/>
      <c r="M62" s="510"/>
      <c r="N62" s="1148"/>
      <c r="O62" s="1148"/>
      <c r="P62" s="2624"/>
      <c r="Q62" s="500"/>
    </row>
    <row r="63" spans="1:29">
      <c r="A63" s="523" t="s">
        <v>2573</v>
      </c>
      <c r="B63" s="524" t="s">
        <v>2539</v>
      </c>
      <c r="C63" s="525" t="str">
        <f>C9</f>
        <v>商业</v>
      </c>
      <c r="D63" s="526"/>
      <c r="E63" s="526"/>
      <c r="F63" s="526"/>
      <c r="G63" s="526"/>
      <c r="H63" s="526"/>
      <c r="I63" s="526"/>
      <c r="J63" s="526"/>
      <c r="K63" s="527"/>
      <c r="L63" s="528"/>
      <c r="M63" s="529"/>
      <c r="N63" s="1149"/>
      <c r="O63" s="1149"/>
      <c r="P63" s="2626"/>
      <c r="Q63" s="500"/>
    </row>
    <row r="64" spans="1:29" ht="15.75" thickBot="1">
      <c r="A64" s="530"/>
      <c r="B64" s="531"/>
      <c r="C64" s="532">
        <v>100</v>
      </c>
      <c r="D64" s="532"/>
      <c r="E64" s="532"/>
      <c r="F64" s="532"/>
      <c r="G64" s="532"/>
      <c r="H64" s="532"/>
      <c r="I64" s="532"/>
      <c r="J64" s="532"/>
      <c r="K64" s="532"/>
      <c r="L64" s="532"/>
      <c r="M64" s="533"/>
      <c r="N64" s="1150"/>
      <c r="O64" s="1150"/>
      <c r="P64" s="2626"/>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49"/>
      <c r="O65" s="1149"/>
      <c r="P65" s="2626"/>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50"/>
      <c r="O66" s="1150"/>
      <c r="P66" s="2626"/>
      <c r="Q66" s="500"/>
    </row>
    <row r="67" spans="1:17" ht="15.75" thickTop="1">
      <c r="A67" s="530"/>
      <c r="B67" s="542" t="s">
        <v>2543</v>
      </c>
      <c r="C67" s="543" t="str">
        <f>C68&amp;"（含）"&amp;"-"&amp;D68</f>
        <v>0（含）-1</v>
      </c>
      <c r="D67" s="543" t="str">
        <f t="shared" ref="D67:L67" si="18">D68&amp;"（含）"&amp;"-"&amp;E68</f>
        <v>1（含）-2</v>
      </c>
      <c r="E67" s="543" t="str">
        <f t="shared" si="18"/>
        <v>2（含）-3</v>
      </c>
      <c r="F67" s="543" t="str">
        <f t="shared" si="18"/>
        <v>3（含）-4</v>
      </c>
      <c r="G67" s="543" t="str">
        <f t="shared" si="18"/>
        <v>4（含）-5</v>
      </c>
      <c r="H67" s="543" t="str">
        <f t="shared" si="18"/>
        <v>5（含）-6</v>
      </c>
      <c r="I67" s="543" t="str">
        <f t="shared" si="18"/>
        <v>6（含）-</v>
      </c>
      <c r="J67" s="543" t="str">
        <f t="shared" si="18"/>
        <v>（含）-</v>
      </c>
      <c r="K67" s="543" t="str">
        <f t="shared" si="18"/>
        <v>（含）-</v>
      </c>
      <c r="L67" s="543" t="str">
        <f t="shared" si="18"/>
        <v>（含）-</v>
      </c>
      <c r="M67" s="444" t="str">
        <f>M68&amp;"（含）"&amp;"-"&amp;P68</f>
        <v>（含）-</v>
      </c>
      <c r="N67" s="1150"/>
      <c r="O67" s="1150"/>
      <c r="P67" s="2626"/>
      <c r="Q67" s="500"/>
    </row>
    <row r="68" spans="1:17" ht="15">
      <c r="A68" s="530"/>
      <c r="B68" s="544"/>
      <c r="C68" s="545">
        <v>0</v>
      </c>
      <c r="D68" s="545">
        <v>1</v>
      </c>
      <c r="E68" s="545">
        <v>2</v>
      </c>
      <c r="F68" s="545">
        <v>3</v>
      </c>
      <c r="G68" s="545">
        <v>4</v>
      </c>
      <c r="H68" s="545">
        <v>5</v>
      </c>
      <c r="I68" s="545">
        <v>6</v>
      </c>
      <c r="J68" s="545"/>
      <c r="K68" s="546"/>
      <c r="L68" s="547"/>
      <c r="M68" s="548"/>
      <c r="N68" s="1149"/>
      <c r="O68" s="1149"/>
      <c r="P68" s="2626"/>
      <c r="Q68" s="500"/>
    </row>
    <row r="69" spans="1:17" ht="15.75" thickBot="1">
      <c r="A69" s="530"/>
      <c r="B69" s="531"/>
      <c r="C69" s="540">
        <v>100</v>
      </c>
      <c r="D69" s="540">
        <f t="shared" ref="D69:M69" si="19">C69-$K11</f>
        <v>98</v>
      </c>
      <c r="E69" s="540">
        <f t="shared" si="19"/>
        <v>96</v>
      </c>
      <c r="F69" s="540">
        <f t="shared" si="19"/>
        <v>94</v>
      </c>
      <c r="G69" s="540">
        <f t="shared" si="19"/>
        <v>92</v>
      </c>
      <c r="H69" s="540">
        <f t="shared" si="19"/>
        <v>90</v>
      </c>
      <c r="I69" s="540">
        <f t="shared" si="19"/>
        <v>88</v>
      </c>
      <c r="J69" s="540">
        <f t="shared" si="19"/>
        <v>86</v>
      </c>
      <c r="K69" s="540">
        <f t="shared" si="19"/>
        <v>84</v>
      </c>
      <c r="L69" s="540">
        <f t="shared" si="19"/>
        <v>82</v>
      </c>
      <c r="M69" s="541">
        <f t="shared" si="19"/>
        <v>80</v>
      </c>
      <c r="N69" s="1150"/>
      <c r="O69" s="1150"/>
      <c r="P69" s="2626"/>
      <c r="Q69" s="500"/>
    </row>
    <row r="70" spans="1:17" s="467" customFormat="1" ht="15.75" thickTop="1">
      <c r="A70" s="549"/>
      <c r="B70" s="534">
        <f>B12</f>
        <v>111</v>
      </c>
      <c r="C70" s="550"/>
      <c r="D70" s="550"/>
      <c r="E70" s="550"/>
      <c r="F70" s="550"/>
      <c r="G70" s="550"/>
      <c r="H70" s="551"/>
      <c r="I70" s="551"/>
      <c r="J70" s="551"/>
      <c r="K70" s="551"/>
      <c r="L70" s="552"/>
      <c r="M70" s="553"/>
      <c r="N70" s="1151"/>
      <c r="O70" s="1151"/>
      <c r="P70" s="2627"/>
      <c r="Q70" s="555"/>
    </row>
    <row r="71" spans="1:17" s="467" customFormat="1" ht="15.75" thickBot="1">
      <c r="A71" s="549"/>
      <c r="B71" s="539"/>
      <c r="C71" s="556"/>
      <c r="D71" s="532"/>
      <c r="E71" s="532"/>
      <c r="F71" s="532"/>
      <c r="G71" s="532"/>
      <c r="H71" s="532"/>
      <c r="I71" s="532"/>
      <c r="J71" s="532"/>
      <c r="K71" s="532"/>
      <c r="L71" s="532"/>
      <c r="M71" s="533"/>
      <c r="N71" s="1150"/>
      <c r="O71" s="1150"/>
      <c r="P71" s="2627"/>
      <c r="Q71" s="555"/>
    </row>
    <row r="72" spans="1:17" s="467" customFormat="1" ht="15.75" thickTop="1">
      <c r="A72" s="549"/>
      <c r="B72" s="534">
        <f>B13</f>
        <v>111</v>
      </c>
      <c r="C72" s="550"/>
      <c r="D72" s="550"/>
      <c r="E72" s="550"/>
      <c r="F72" s="550"/>
      <c r="G72" s="550"/>
      <c r="H72" s="551"/>
      <c r="I72" s="551"/>
      <c r="J72" s="551"/>
      <c r="K72" s="551"/>
      <c r="L72" s="552"/>
      <c r="M72" s="553"/>
      <c r="N72" s="1151"/>
      <c r="O72" s="1151"/>
      <c r="P72" s="2628"/>
      <c r="Q72" s="557"/>
    </row>
    <row r="73" spans="1:17" s="467" customFormat="1" ht="15.75" thickBot="1">
      <c r="A73" s="549"/>
      <c r="B73" s="539"/>
      <c r="C73" s="556"/>
      <c r="D73" s="532"/>
      <c r="E73" s="532"/>
      <c r="F73" s="532"/>
      <c r="G73" s="556"/>
      <c r="H73" s="558"/>
      <c r="I73" s="558"/>
      <c r="J73" s="558"/>
      <c r="K73" s="558"/>
      <c r="L73" s="558"/>
      <c r="M73" s="559"/>
      <c r="N73" s="1151"/>
      <c r="O73" s="1151"/>
      <c r="P73" s="2627"/>
      <c r="Q73" s="555"/>
    </row>
    <row r="74" spans="1:17" s="467" customFormat="1" ht="15.75" thickTop="1">
      <c r="A74" s="549"/>
      <c r="B74" s="542">
        <f>B14</f>
        <v>111</v>
      </c>
      <c r="C74" s="550"/>
      <c r="D74" s="550"/>
      <c r="E74" s="550"/>
      <c r="F74" s="550"/>
      <c r="G74" s="519"/>
      <c r="H74" s="560"/>
      <c r="I74" s="560"/>
      <c r="J74" s="560"/>
      <c r="K74" s="560"/>
      <c r="L74" s="561"/>
      <c r="M74" s="562"/>
      <c r="N74" s="1151"/>
      <c r="O74" s="1151"/>
      <c r="P74" s="2629"/>
      <c r="Q74" s="555"/>
    </row>
    <row r="75" spans="1:17" s="467" customFormat="1" ht="15.75" thickBot="1">
      <c r="A75" s="564"/>
      <c r="B75" s="565"/>
      <c r="C75" s="566"/>
      <c r="D75" s="566"/>
      <c r="E75" s="566"/>
      <c r="F75" s="566"/>
      <c r="G75" s="566"/>
      <c r="H75" s="567"/>
      <c r="I75" s="567"/>
      <c r="J75" s="567"/>
      <c r="K75" s="567"/>
      <c r="L75" s="567"/>
      <c r="M75" s="568"/>
      <c r="N75" s="1151"/>
      <c r="O75" s="1151"/>
      <c r="P75" s="2627"/>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49"/>
      <c r="O76" s="1149"/>
      <c r="P76" s="2630"/>
      <c r="Q76" s="500"/>
    </row>
    <row r="77" spans="1:17" ht="15.75" thickBot="1">
      <c r="A77" s="530"/>
      <c r="B77" s="539"/>
      <c r="C77" s="540">
        <v>100</v>
      </c>
      <c r="D77" s="540">
        <f>C77-$K15</f>
        <v>98</v>
      </c>
      <c r="E77" s="540">
        <f>D77-$K15</f>
        <v>96</v>
      </c>
      <c r="F77" s="540">
        <f>E77-$K15</f>
        <v>94</v>
      </c>
      <c r="G77" s="540">
        <f>F77-$K15</f>
        <v>92</v>
      </c>
      <c r="H77" s="540"/>
      <c r="I77" s="540"/>
      <c r="J77" s="540"/>
      <c r="K77" s="540"/>
      <c r="L77" s="540"/>
      <c r="M77" s="541"/>
      <c r="N77" s="1150"/>
      <c r="O77" s="1150"/>
      <c r="P77" s="2626"/>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49"/>
      <c r="O78" s="1149"/>
      <c r="P78" s="2626"/>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50"/>
      <c r="O79" s="1150"/>
      <c r="P79" s="2626"/>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49"/>
      <c r="O80" s="1149"/>
      <c r="P80" s="2626"/>
      <c r="Q80" s="500"/>
    </row>
    <row r="81" spans="1:17" ht="15.75" thickBot="1">
      <c r="A81" s="530"/>
      <c r="B81" s="539"/>
      <c r="C81" s="540">
        <v>100</v>
      </c>
      <c r="D81" s="540">
        <f>C81-$K19</f>
        <v>98</v>
      </c>
      <c r="E81" s="540">
        <f>D81-$K19</f>
        <v>96</v>
      </c>
      <c r="F81" s="540">
        <f>E81-$K19</f>
        <v>94</v>
      </c>
      <c r="G81" s="540">
        <f>F81-$K19</f>
        <v>92</v>
      </c>
      <c r="H81" s="540"/>
      <c r="I81" s="540"/>
      <c r="J81" s="540"/>
      <c r="K81" s="540"/>
      <c r="L81" s="540"/>
      <c r="M81" s="541"/>
      <c r="N81" s="1150"/>
      <c r="O81" s="1150"/>
      <c r="P81" s="2626"/>
      <c r="Q81" s="500"/>
    </row>
    <row r="82" spans="1:17" ht="15.75" thickTop="1">
      <c r="A82" s="530"/>
      <c r="B82" s="542" t="s">
        <v>2640</v>
      </c>
      <c r="C82" s="656" t="s">
        <v>2660</v>
      </c>
      <c r="D82" s="656" t="s">
        <v>2661</v>
      </c>
      <c r="E82" s="656" t="s">
        <v>2662</v>
      </c>
      <c r="F82" s="656" t="s">
        <v>2663</v>
      </c>
      <c r="G82" s="656" t="s">
        <v>2664</v>
      </c>
      <c r="H82" s="535"/>
      <c r="I82" s="535"/>
      <c r="J82" s="535"/>
      <c r="K82" s="535"/>
      <c r="L82" s="535"/>
      <c r="M82" s="1379"/>
      <c r="N82" s="1150"/>
      <c r="O82" s="1150"/>
      <c r="P82" s="2626"/>
      <c r="Q82" s="500"/>
    </row>
    <row r="83" spans="1:17" ht="15.75" thickBot="1">
      <c r="A83" s="530"/>
      <c r="B83" s="542"/>
      <c r="C83" s="540">
        <v>100</v>
      </c>
      <c r="D83" s="540">
        <f>C83-$K21</f>
        <v>99</v>
      </c>
      <c r="E83" s="540">
        <f t="shared" ref="E83:G83" si="20">D83-$K21</f>
        <v>98</v>
      </c>
      <c r="F83" s="540">
        <f t="shared" si="20"/>
        <v>97</v>
      </c>
      <c r="G83" s="540">
        <f t="shared" si="20"/>
        <v>96</v>
      </c>
      <c r="H83" s="656"/>
      <c r="I83" s="656"/>
      <c r="J83" s="656"/>
      <c r="K83" s="656"/>
      <c r="L83" s="656"/>
      <c r="M83" s="446"/>
      <c r="N83" s="1150"/>
      <c r="O83" s="1150"/>
      <c r="P83" s="2626"/>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49"/>
      <c r="O84" s="1149"/>
      <c r="P84" s="2626"/>
      <c r="Q84" s="500"/>
    </row>
    <row r="85" spans="1:17" ht="15.75" thickBot="1">
      <c r="A85" s="530"/>
      <c r="B85" s="539"/>
      <c r="C85" s="540">
        <v>100</v>
      </c>
      <c r="D85" s="540">
        <f>C85-$K23</f>
        <v>98</v>
      </c>
      <c r="E85" s="540">
        <f>D85-$K23</f>
        <v>96</v>
      </c>
      <c r="F85" s="540">
        <f>E85-$K23</f>
        <v>94</v>
      </c>
      <c r="G85" s="540">
        <f>F85-$K23</f>
        <v>92</v>
      </c>
      <c r="H85" s="540"/>
      <c r="I85" s="540"/>
      <c r="J85" s="540"/>
      <c r="K85" s="540"/>
      <c r="L85" s="540"/>
      <c r="M85" s="541"/>
      <c r="N85" s="1150"/>
      <c r="O85" s="1150"/>
      <c r="P85" s="2626"/>
      <c r="Q85" s="500"/>
    </row>
    <row r="86" spans="1:17" s="114" customFormat="1" ht="15.75" thickTop="1">
      <c r="A86" s="575"/>
      <c r="B86" s="534" t="s">
        <v>2665</v>
      </c>
      <c r="C86" s="3287" t="s">
        <v>3205</v>
      </c>
      <c r="D86" s="3287" t="s">
        <v>3206</v>
      </c>
      <c r="E86" s="3287" t="s">
        <v>3207</v>
      </c>
      <c r="F86" s="3287" t="s">
        <v>3208</v>
      </c>
      <c r="G86" s="550"/>
      <c r="H86" s="550"/>
      <c r="I86" s="550"/>
      <c r="J86" s="550"/>
      <c r="K86" s="550"/>
      <c r="L86" s="576"/>
      <c r="M86" s="577"/>
      <c r="N86" s="1148"/>
      <c r="O86" s="1148"/>
      <c r="P86" s="2626"/>
      <c r="Q86" s="500"/>
    </row>
    <row r="87" spans="1:17" s="114" customFormat="1" ht="15.75" thickBot="1">
      <c r="A87" s="575"/>
      <c r="B87" s="539"/>
      <c r="C87" s="578">
        <v>100</v>
      </c>
      <c r="D87" s="540">
        <f t="shared" ref="D87:M87" si="21">C87-$K25</f>
        <v>99</v>
      </c>
      <c r="E87" s="540">
        <f t="shared" si="21"/>
        <v>98</v>
      </c>
      <c r="F87" s="540">
        <f t="shared" si="21"/>
        <v>97</v>
      </c>
      <c r="G87" s="540">
        <f t="shared" si="21"/>
        <v>96</v>
      </c>
      <c r="H87" s="540">
        <f t="shared" si="21"/>
        <v>95</v>
      </c>
      <c r="I87" s="540">
        <f t="shared" si="21"/>
        <v>94</v>
      </c>
      <c r="J87" s="540">
        <f t="shared" si="21"/>
        <v>93</v>
      </c>
      <c r="K87" s="540">
        <f t="shared" si="21"/>
        <v>92</v>
      </c>
      <c r="L87" s="540">
        <f t="shared" si="21"/>
        <v>91</v>
      </c>
      <c r="M87" s="540">
        <f t="shared" si="21"/>
        <v>90</v>
      </c>
      <c r="N87" s="1150"/>
      <c r="O87" s="1150"/>
      <c r="P87" s="2626"/>
      <c r="Q87" s="500"/>
    </row>
    <row r="88" spans="1:17" s="114" customFormat="1" ht="15.75" thickTop="1">
      <c r="A88" s="575"/>
      <c r="B88" s="534" t="str">
        <f>B26</f>
        <v>平面位置/可视性</v>
      </c>
      <c r="C88" s="3287" t="s">
        <v>3209</v>
      </c>
      <c r="D88" s="3287" t="s">
        <v>3210</v>
      </c>
      <c r="E88" s="3287" t="s">
        <v>3170</v>
      </c>
      <c r="F88" s="3301" t="s">
        <v>3211</v>
      </c>
      <c r="G88" s="3287" t="s">
        <v>3212</v>
      </c>
      <c r="H88" s="550"/>
      <c r="I88" s="550"/>
      <c r="J88" s="550"/>
      <c r="K88" s="550"/>
      <c r="L88" s="550"/>
      <c r="M88" s="577"/>
      <c r="N88" s="1148"/>
      <c r="O88" s="1148"/>
      <c r="P88" s="2626"/>
      <c r="Q88" s="500"/>
    </row>
    <row r="89" spans="1:17" s="114" customFormat="1" ht="15.75" thickBot="1">
      <c r="A89" s="575"/>
      <c r="B89" s="539"/>
      <c r="C89" s="556"/>
      <c r="D89" s="532"/>
      <c r="E89" s="532"/>
      <c r="F89" s="532"/>
      <c r="G89" s="532"/>
      <c r="H89" s="532"/>
      <c r="I89" s="532"/>
      <c r="J89" s="532"/>
      <c r="K89" s="532"/>
      <c r="L89" s="532"/>
      <c r="M89" s="532"/>
      <c r="N89" s="1150"/>
      <c r="O89" s="1150"/>
      <c r="P89" s="2626"/>
      <c r="Q89" s="500"/>
    </row>
    <row r="90" spans="1:17" s="467" customFormat="1" ht="15.75" thickTop="1">
      <c r="A90" s="549"/>
      <c r="B90" s="534" t="str">
        <f>B27</f>
        <v>人流量</v>
      </c>
      <c r="C90" s="3287" t="s">
        <v>3213</v>
      </c>
      <c r="D90" s="3287" t="s">
        <v>3214</v>
      </c>
      <c r="E90" s="3287" t="s">
        <v>3170</v>
      </c>
      <c r="F90" s="3287" t="s">
        <v>3215</v>
      </c>
      <c r="G90" s="3287" t="s">
        <v>3216</v>
      </c>
      <c r="H90" s="551"/>
      <c r="I90" s="551"/>
      <c r="J90" s="551"/>
      <c r="K90" s="551"/>
      <c r="L90" s="552"/>
      <c r="M90" s="553"/>
      <c r="N90" s="1151"/>
      <c r="O90" s="1151"/>
      <c r="P90" s="2627"/>
      <c r="Q90" s="555"/>
    </row>
    <row r="91" spans="1:17" s="467" customFormat="1" ht="15.75" thickBot="1">
      <c r="A91" s="549"/>
      <c r="B91" s="539"/>
      <c r="C91" s="578">
        <v>100</v>
      </c>
      <c r="D91" s="540">
        <f>C91-$K27</f>
        <v>95</v>
      </c>
      <c r="E91" s="540">
        <f t="shared" ref="E91:M91" si="22">D91-$K27</f>
        <v>90</v>
      </c>
      <c r="F91" s="540">
        <f t="shared" si="22"/>
        <v>85</v>
      </c>
      <c r="G91" s="540">
        <f t="shared" si="22"/>
        <v>80</v>
      </c>
      <c r="H91" s="540">
        <f t="shared" si="22"/>
        <v>75</v>
      </c>
      <c r="I91" s="540">
        <f t="shared" si="22"/>
        <v>70</v>
      </c>
      <c r="J91" s="540">
        <f t="shared" si="22"/>
        <v>65</v>
      </c>
      <c r="K91" s="540">
        <f t="shared" si="22"/>
        <v>60</v>
      </c>
      <c r="L91" s="540">
        <f t="shared" si="22"/>
        <v>55</v>
      </c>
      <c r="M91" s="540">
        <f t="shared" si="22"/>
        <v>50</v>
      </c>
      <c r="N91" s="1151"/>
      <c r="O91" s="1151"/>
      <c r="P91" s="2627"/>
      <c r="Q91" s="555"/>
    </row>
    <row r="92" spans="1:17" ht="15.75" thickTop="1">
      <c r="A92" s="530"/>
      <c r="B92" s="534" t="str">
        <f>B28</f>
        <v>楼层</v>
      </c>
      <c r="C92" s="550">
        <v>1</v>
      </c>
      <c r="D92" s="550">
        <v>2</v>
      </c>
      <c r="E92" s="550" t="s">
        <v>3217</v>
      </c>
      <c r="F92" s="550"/>
      <c r="G92" s="550"/>
      <c r="H92" s="550"/>
      <c r="I92" s="550"/>
      <c r="J92" s="550"/>
      <c r="K92" s="550"/>
      <c r="L92" s="576"/>
      <c r="M92" s="577"/>
      <c r="N92" s="1149"/>
      <c r="O92" s="1149"/>
      <c r="P92" s="2626"/>
      <c r="Q92" s="500"/>
    </row>
    <row r="93" spans="1:17" ht="15.75" thickBot="1">
      <c r="A93" s="530"/>
      <c r="B93" s="539"/>
      <c r="C93" s="532">
        <v>100</v>
      </c>
      <c r="D93" s="532">
        <v>80</v>
      </c>
      <c r="E93" s="532">
        <v>98</v>
      </c>
      <c r="F93" s="532"/>
      <c r="G93" s="532"/>
      <c r="H93" s="532"/>
      <c r="I93" s="532"/>
      <c r="J93" s="532"/>
      <c r="K93" s="532"/>
      <c r="L93" s="532"/>
      <c r="M93" s="533"/>
      <c r="N93" s="1150"/>
      <c r="O93" s="1150"/>
      <c r="P93" s="2626"/>
      <c r="Q93" s="500"/>
    </row>
    <row r="94" spans="1:17" ht="15.75" thickTop="1">
      <c r="A94" s="530"/>
      <c r="B94" s="534">
        <f>B29</f>
        <v>111</v>
      </c>
      <c r="C94" s="550"/>
      <c r="D94" s="550"/>
      <c r="E94" s="550"/>
      <c r="F94" s="550"/>
      <c r="G94" s="579"/>
      <c r="H94" s="579"/>
      <c r="I94" s="579"/>
      <c r="J94" s="579"/>
      <c r="K94" s="580"/>
      <c r="L94" s="581"/>
      <c r="M94" s="582"/>
      <c r="N94" s="1149"/>
      <c r="O94" s="1149"/>
      <c r="P94" s="2626"/>
      <c r="Q94" s="500"/>
    </row>
    <row r="95" spans="1:17" ht="15.75" thickBot="1">
      <c r="A95" s="530"/>
      <c r="B95" s="539"/>
      <c r="C95" s="556"/>
      <c r="D95" s="532"/>
      <c r="E95" s="532"/>
      <c r="F95" s="532"/>
      <c r="G95" s="532"/>
      <c r="H95" s="532"/>
      <c r="I95" s="532"/>
      <c r="J95" s="532"/>
      <c r="K95" s="532"/>
      <c r="L95" s="532"/>
      <c r="M95" s="533"/>
      <c r="N95" s="1150"/>
      <c r="O95" s="1150"/>
      <c r="P95" s="2626"/>
      <c r="Q95" s="500"/>
    </row>
    <row r="96" spans="1:17" ht="15.75" thickTop="1">
      <c r="A96" s="530"/>
      <c r="B96" s="534">
        <f>B30</f>
        <v>111</v>
      </c>
      <c r="C96" s="550"/>
      <c r="D96" s="550"/>
      <c r="E96" s="550"/>
      <c r="F96" s="550"/>
      <c r="G96" s="579"/>
      <c r="H96" s="579"/>
      <c r="I96" s="579"/>
      <c r="J96" s="579"/>
      <c r="K96" s="580"/>
      <c r="L96" s="581"/>
      <c r="M96" s="582"/>
      <c r="N96" s="1149"/>
      <c r="O96" s="1149"/>
      <c r="P96" s="2626"/>
      <c r="Q96" s="500"/>
    </row>
    <row r="97" spans="1:17" ht="15.75" thickBot="1">
      <c r="A97" s="530"/>
      <c r="B97" s="539"/>
      <c r="C97" s="556"/>
      <c r="D97" s="532"/>
      <c r="E97" s="532"/>
      <c r="F97" s="532"/>
      <c r="G97" s="532"/>
      <c r="H97" s="532"/>
      <c r="I97" s="532"/>
      <c r="J97" s="532"/>
      <c r="K97" s="532"/>
      <c r="L97" s="532"/>
      <c r="M97" s="533"/>
      <c r="N97" s="1150"/>
      <c r="O97" s="1150"/>
      <c r="P97" s="2626"/>
      <c r="Q97" s="500"/>
    </row>
    <row r="98" spans="1:17" ht="15.75" thickTop="1">
      <c r="A98" s="530"/>
      <c r="B98" s="542">
        <f>B31</f>
        <v>111</v>
      </c>
      <c r="C98" s="550"/>
      <c r="D98" s="550"/>
      <c r="E98" s="550"/>
      <c r="F98" s="550"/>
      <c r="G98" s="583"/>
      <c r="H98" s="583"/>
      <c r="I98" s="583"/>
      <c r="J98" s="583"/>
      <c r="K98" s="584"/>
      <c r="L98" s="585"/>
      <c r="M98" s="586"/>
      <c r="N98" s="1149"/>
      <c r="O98" s="1149"/>
      <c r="P98" s="2626"/>
      <c r="Q98" s="500"/>
    </row>
    <row r="99" spans="1:17" ht="15.75" thickBot="1">
      <c r="A99" s="2632"/>
      <c r="B99" s="565"/>
      <c r="C99" s="566"/>
      <c r="D99" s="566"/>
      <c r="E99" s="566"/>
      <c r="F99" s="566"/>
      <c r="G99" s="587"/>
      <c r="H99" s="587"/>
      <c r="I99" s="587"/>
      <c r="J99" s="587"/>
      <c r="K99" s="587"/>
      <c r="L99" s="587"/>
      <c r="M99" s="588"/>
      <c r="N99" s="1150"/>
      <c r="O99" s="1150"/>
      <c r="P99" s="2626"/>
      <c r="Q99" s="500"/>
    </row>
    <row r="100" spans="1:17">
      <c r="A100" s="523" t="s">
        <v>2548</v>
      </c>
      <c r="B100" s="524" t="s">
        <v>2666</v>
      </c>
      <c r="C100" s="3286" t="s">
        <v>3240</v>
      </c>
      <c r="D100" s="3286" t="s">
        <v>3218</v>
      </c>
      <c r="E100" s="3286" t="s">
        <v>3219</v>
      </c>
      <c r="F100" s="526"/>
      <c r="G100" s="526"/>
      <c r="H100" s="526"/>
      <c r="I100" s="526"/>
      <c r="J100" s="526"/>
      <c r="K100" s="527"/>
      <c r="L100" s="528"/>
      <c r="M100" s="529"/>
      <c r="N100" s="1149"/>
      <c r="O100" s="1149"/>
      <c r="P100" s="2626"/>
      <c r="Q100" s="500"/>
    </row>
    <row r="101" spans="1:17" ht="15.75" thickBot="1">
      <c r="A101" s="530"/>
      <c r="B101" s="539"/>
      <c r="C101" s="540">
        <v>100</v>
      </c>
      <c r="D101" s="540">
        <f t="shared" ref="D101:M101" si="23">C101-$K32</f>
        <v>92</v>
      </c>
      <c r="E101" s="540">
        <f t="shared" si="23"/>
        <v>84</v>
      </c>
      <c r="F101" s="540">
        <f t="shared" si="23"/>
        <v>76</v>
      </c>
      <c r="G101" s="540">
        <f t="shared" si="23"/>
        <v>68</v>
      </c>
      <c r="H101" s="540">
        <f t="shared" si="23"/>
        <v>60</v>
      </c>
      <c r="I101" s="540">
        <f t="shared" si="23"/>
        <v>52</v>
      </c>
      <c r="J101" s="540">
        <f t="shared" si="23"/>
        <v>44</v>
      </c>
      <c r="K101" s="540">
        <f t="shared" si="23"/>
        <v>36</v>
      </c>
      <c r="L101" s="540">
        <f t="shared" si="23"/>
        <v>28</v>
      </c>
      <c r="M101" s="541">
        <f t="shared" si="23"/>
        <v>20</v>
      </c>
      <c r="N101" s="1150"/>
      <c r="O101" s="1150"/>
      <c r="P101" s="2626"/>
      <c r="Q101" s="500"/>
    </row>
    <row r="102" spans="1:17" ht="15.75" thickTop="1">
      <c r="A102" s="530"/>
      <c r="B102" s="534" t="s">
        <v>2598</v>
      </c>
      <c r="C102" s="574" t="str">
        <f>C103&amp;"(含)"&amp;"-"&amp;D103</f>
        <v>0(含)-10000</v>
      </c>
      <c r="D102" s="574" t="str">
        <f t="shared" ref="D102:L102" si="24">D103&amp;"(含)"&amp;"-"&amp;E103</f>
        <v>10000(含)-20000</v>
      </c>
      <c r="E102" s="574" t="str">
        <f t="shared" si="24"/>
        <v>20000(含)-50000</v>
      </c>
      <c r="F102" s="574" t="str">
        <f t="shared" si="24"/>
        <v>50000(含)-100000</v>
      </c>
      <c r="G102" s="574" t="str">
        <f t="shared" si="24"/>
        <v>100000(含)-200000</v>
      </c>
      <c r="H102" s="574" t="str">
        <f t="shared" si="24"/>
        <v>200000(含)-500000</v>
      </c>
      <c r="I102" s="574" t="str">
        <f t="shared" si="24"/>
        <v>500000(含)-1000000</v>
      </c>
      <c r="J102" s="574" t="str">
        <f t="shared" si="24"/>
        <v>1000000(含)-</v>
      </c>
      <c r="K102" s="574" t="str">
        <f t="shared" si="24"/>
        <v>(含)-</v>
      </c>
      <c r="L102" s="574" t="str">
        <f t="shared" si="24"/>
        <v>(含)-</v>
      </c>
      <c r="M102" s="618" t="str">
        <f>M103&amp;"(含)"&amp;"-"&amp;P103</f>
        <v>(含)-</v>
      </c>
      <c r="N102" s="1148"/>
      <c r="O102" s="1148"/>
      <c r="P102" s="2626"/>
      <c r="Q102" s="500"/>
    </row>
    <row r="103" spans="1:17" s="467" customFormat="1">
      <c r="A103" s="589"/>
      <c r="B103" s="590"/>
      <c r="C103" s="591">
        <v>0</v>
      </c>
      <c r="D103" s="591">
        <v>10000</v>
      </c>
      <c r="E103" s="591">
        <v>20000</v>
      </c>
      <c r="F103" s="591">
        <v>50000</v>
      </c>
      <c r="G103" s="591">
        <v>100000</v>
      </c>
      <c r="H103" s="591">
        <v>200000</v>
      </c>
      <c r="I103" s="591">
        <v>500000</v>
      </c>
      <c r="J103" s="592">
        <v>1000000</v>
      </c>
      <c r="K103" s="592"/>
      <c r="L103" s="593"/>
      <c r="M103" s="594"/>
      <c r="N103" s="1151"/>
      <c r="O103" s="1151"/>
      <c r="P103" s="2627"/>
      <c r="Q103" s="555"/>
    </row>
    <row r="104" spans="1:17" s="467" customFormat="1" ht="15.75" thickBot="1">
      <c r="A104" s="549"/>
      <c r="B104" s="539"/>
      <c r="C104" s="556">
        <v>100</v>
      </c>
      <c r="D104" s="532">
        <f>C104+1</f>
        <v>101</v>
      </c>
      <c r="E104" s="532">
        <f t="shared" ref="E104:J104" si="25">D104+1</f>
        <v>102</v>
      </c>
      <c r="F104" s="532">
        <f t="shared" si="25"/>
        <v>103</v>
      </c>
      <c r="G104" s="532">
        <f t="shared" si="25"/>
        <v>104</v>
      </c>
      <c r="H104" s="532">
        <f t="shared" si="25"/>
        <v>105</v>
      </c>
      <c r="I104" s="532">
        <f t="shared" si="25"/>
        <v>106</v>
      </c>
      <c r="J104" s="532">
        <f t="shared" si="25"/>
        <v>107</v>
      </c>
      <c r="K104" s="532"/>
      <c r="L104" s="532"/>
      <c r="M104" s="533"/>
      <c r="N104" s="1150"/>
      <c r="O104" s="1150"/>
      <c r="P104" s="2627"/>
      <c r="Q104" s="555"/>
    </row>
    <row r="105" spans="1:17" ht="15" thickTop="1">
      <c r="A105" s="595"/>
      <c r="B105" s="534" t="s">
        <v>2599</v>
      </c>
      <c r="C105" s="3287" t="s">
        <v>3220</v>
      </c>
      <c r="D105" s="550"/>
      <c r="E105" s="579"/>
      <c r="F105" s="579"/>
      <c r="G105" s="579"/>
      <c r="H105" s="579"/>
      <c r="I105" s="579"/>
      <c r="J105" s="579"/>
      <c r="K105" s="580"/>
      <c r="L105" s="581"/>
      <c r="M105" s="582"/>
      <c r="N105" s="1149"/>
      <c r="O105" s="1149"/>
      <c r="P105" s="2626"/>
      <c r="Q105" s="500"/>
    </row>
    <row r="106" spans="1:17" ht="15.75" thickBot="1">
      <c r="A106" s="530"/>
      <c r="B106" s="539"/>
      <c r="C106" s="540">
        <v>100</v>
      </c>
      <c r="D106" s="540">
        <f t="shared" ref="D106:M106" si="26">C106-$K34</f>
        <v>99</v>
      </c>
      <c r="E106" s="540">
        <f t="shared" si="26"/>
        <v>98</v>
      </c>
      <c r="F106" s="540">
        <f t="shared" si="26"/>
        <v>97</v>
      </c>
      <c r="G106" s="540">
        <f t="shared" si="26"/>
        <v>96</v>
      </c>
      <c r="H106" s="540">
        <f t="shared" si="26"/>
        <v>95</v>
      </c>
      <c r="I106" s="540">
        <f t="shared" si="26"/>
        <v>94</v>
      </c>
      <c r="J106" s="540">
        <f t="shared" si="26"/>
        <v>93</v>
      </c>
      <c r="K106" s="540">
        <f t="shared" si="26"/>
        <v>92</v>
      </c>
      <c r="L106" s="540">
        <f t="shared" si="26"/>
        <v>91</v>
      </c>
      <c r="M106" s="541">
        <f t="shared" si="26"/>
        <v>90</v>
      </c>
      <c r="N106" s="1150"/>
      <c r="O106" s="1150"/>
      <c r="P106" s="2626"/>
      <c r="Q106" s="500"/>
    </row>
    <row r="107" spans="1:17" ht="15" thickTop="1">
      <c r="A107" s="595"/>
      <c r="B107" s="534" t="s">
        <v>2601</v>
      </c>
      <c r="C107" s="3287" t="s">
        <v>3221</v>
      </c>
      <c r="D107" s="3287" t="s">
        <v>3222</v>
      </c>
      <c r="E107" s="3287" t="s">
        <v>3223</v>
      </c>
      <c r="F107" s="3288" t="s">
        <v>3224</v>
      </c>
      <c r="G107" s="579"/>
      <c r="H107" s="579"/>
      <c r="I107" s="579"/>
      <c r="J107" s="579"/>
      <c r="K107" s="580"/>
      <c r="L107" s="581"/>
      <c r="M107" s="582"/>
      <c r="N107" s="1149"/>
      <c r="O107" s="1149"/>
      <c r="P107" s="2626"/>
      <c r="Q107" s="500"/>
    </row>
    <row r="108" spans="1:17" ht="15.75" thickBot="1">
      <c r="A108" s="530"/>
      <c r="B108" s="539"/>
      <c r="C108" s="540">
        <v>100</v>
      </c>
      <c r="D108" s="540">
        <f t="shared" ref="D108:M108" si="27">C108-$K35</f>
        <v>99</v>
      </c>
      <c r="E108" s="540">
        <f t="shared" si="27"/>
        <v>98</v>
      </c>
      <c r="F108" s="540">
        <f t="shared" si="27"/>
        <v>97</v>
      </c>
      <c r="G108" s="540">
        <f t="shared" si="27"/>
        <v>96</v>
      </c>
      <c r="H108" s="540">
        <f t="shared" si="27"/>
        <v>95</v>
      </c>
      <c r="I108" s="540">
        <f t="shared" si="27"/>
        <v>94</v>
      </c>
      <c r="J108" s="540">
        <f t="shared" si="27"/>
        <v>93</v>
      </c>
      <c r="K108" s="540">
        <f t="shared" si="27"/>
        <v>92</v>
      </c>
      <c r="L108" s="540">
        <f t="shared" si="27"/>
        <v>91</v>
      </c>
      <c r="M108" s="541">
        <f t="shared" si="27"/>
        <v>90</v>
      </c>
      <c r="N108" s="1150"/>
      <c r="O108" s="1150"/>
      <c r="P108" s="2626"/>
      <c r="Q108" s="500"/>
    </row>
    <row r="109" spans="1:17" ht="15" thickTop="1">
      <c r="A109" s="595"/>
      <c r="B109" s="534" t="s">
        <v>1991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9"/>
      <c r="O109" s="1149"/>
      <c r="P109" s="2626"/>
      <c r="Q109" s="500"/>
    </row>
    <row r="110" spans="1:17">
      <c r="A110" s="595"/>
      <c r="B110" s="542"/>
      <c r="C110" s="599">
        <v>0.5</v>
      </c>
      <c r="D110" s="599">
        <v>0.6</v>
      </c>
      <c r="E110" s="599">
        <v>0.7</v>
      </c>
      <c r="F110" s="599">
        <v>0.8</v>
      </c>
      <c r="G110" s="599">
        <v>0.9</v>
      </c>
      <c r="H110" s="599">
        <v>1.0001</v>
      </c>
      <c r="I110" s="619"/>
      <c r="J110" s="619"/>
      <c r="K110" s="620"/>
      <c r="L110" s="621"/>
      <c r="M110" s="622"/>
      <c r="N110" s="1149"/>
      <c r="O110" s="1149"/>
      <c r="P110" s="2626"/>
      <c r="Q110" s="500"/>
    </row>
    <row r="111" spans="1:17" ht="15.75" thickBot="1">
      <c r="A111" s="530"/>
      <c r="B111" s="539"/>
      <c r="C111" s="578">
        <v>100</v>
      </c>
      <c r="D111" s="540">
        <f>C111+$K36</f>
        <v>101</v>
      </c>
      <c r="E111" s="540">
        <f t="shared" ref="E111:M111" si="28">D111+$K36</f>
        <v>102</v>
      </c>
      <c r="F111" s="540">
        <f t="shared" si="28"/>
        <v>103</v>
      </c>
      <c r="G111" s="540">
        <f t="shared" si="28"/>
        <v>104</v>
      </c>
      <c r="H111" s="540">
        <f t="shared" si="28"/>
        <v>105</v>
      </c>
      <c r="I111" s="540">
        <f t="shared" si="28"/>
        <v>106</v>
      </c>
      <c r="J111" s="540">
        <f t="shared" si="28"/>
        <v>107</v>
      </c>
      <c r="K111" s="540">
        <f t="shared" si="28"/>
        <v>108</v>
      </c>
      <c r="L111" s="540">
        <f t="shared" si="28"/>
        <v>109</v>
      </c>
      <c r="M111" s="540">
        <f t="shared" si="28"/>
        <v>110</v>
      </c>
      <c r="N111" s="1150"/>
      <c r="O111" s="1150"/>
      <c r="P111" s="2626"/>
      <c r="Q111" s="500"/>
    </row>
    <row r="112" spans="1:17" s="467" customFormat="1" ht="15" thickTop="1">
      <c r="A112" s="589"/>
      <c r="B112" s="534" t="s">
        <v>2603</v>
      </c>
      <c r="C112" s="3287" t="s">
        <v>3172</v>
      </c>
      <c r="D112" s="3287" t="s">
        <v>3173</v>
      </c>
      <c r="E112" s="3287" t="s">
        <v>3174</v>
      </c>
      <c r="F112" s="3287" t="s">
        <v>3175</v>
      </c>
      <c r="G112" s="3287" t="s">
        <v>3176</v>
      </c>
      <c r="H112" s="579"/>
      <c r="I112" s="579"/>
      <c r="J112" s="579"/>
      <c r="K112" s="580"/>
      <c r="L112" s="581"/>
      <c r="M112" s="582"/>
      <c r="N112" s="1151"/>
      <c r="O112" s="1151"/>
      <c r="P112" s="2627"/>
      <c r="Q112" s="555"/>
    </row>
    <row r="113" spans="1:17" s="467" customFormat="1" ht="15.75" thickBot="1">
      <c r="A113" s="549"/>
      <c r="B113" s="539"/>
      <c r="C113" s="540">
        <v>100</v>
      </c>
      <c r="D113" s="540">
        <f>C113-$K37</f>
        <v>98</v>
      </c>
      <c r="E113" s="540">
        <f t="shared" ref="E113:M113" si="29">D113-$K37</f>
        <v>96</v>
      </c>
      <c r="F113" s="540">
        <f t="shared" si="29"/>
        <v>94</v>
      </c>
      <c r="G113" s="540">
        <f t="shared" si="29"/>
        <v>92</v>
      </c>
      <c r="H113" s="540">
        <f t="shared" si="29"/>
        <v>90</v>
      </c>
      <c r="I113" s="540">
        <f t="shared" si="29"/>
        <v>88</v>
      </c>
      <c r="J113" s="540">
        <f t="shared" si="29"/>
        <v>86</v>
      </c>
      <c r="K113" s="540">
        <f t="shared" si="29"/>
        <v>84</v>
      </c>
      <c r="L113" s="540">
        <f t="shared" si="29"/>
        <v>82</v>
      </c>
      <c r="M113" s="540">
        <f t="shared" si="29"/>
        <v>80</v>
      </c>
      <c r="N113" s="1151"/>
      <c r="O113" s="1151"/>
      <c r="P113" s="2627"/>
      <c r="Q113" s="555"/>
    </row>
    <row r="114" spans="1:17" ht="15" thickTop="1">
      <c r="A114" s="595"/>
      <c r="B114" s="534" t="s">
        <v>2667</v>
      </c>
      <c r="C114" s="3287" t="s">
        <v>3225</v>
      </c>
      <c r="D114" s="3287" t="s">
        <v>3226</v>
      </c>
      <c r="E114" s="579"/>
      <c r="F114" s="579"/>
      <c r="G114" s="579"/>
      <c r="H114" s="579"/>
      <c r="I114" s="579"/>
      <c r="J114" s="579"/>
      <c r="K114" s="580"/>
      <c r="L114" s="581"/>
      <c r="M114" s="582"/>
      <c r="N114" s="1149"/>
      <c r="O114" s="1149"/>
      <c r="P114" s="2626"/>
      <c r="Q114" s="500"/>
    </row>
    <row r="115" spans="1:17" ht="15.75" thickBot="1">
      <c r="A115" s="530"/>
      <c r="B115" s="539"/>
      <c r="C115" s="540">
        <v>100</v>
      </c>
      <c r="D115" s="540">
        <f t="shared" ref="D115:M115" si="30">C115-$K38</f>
        <v>96</v>
      </c>
      <c r="E115" s="540">
        <f t="shared" si="30"/>
        <v>92</v>
      </c>
      <c r="F115" s="540">
        <f t="shared" si="30"/>
        <v>88</v>
      </c>
      <c r="G115" s="540">
        <f t="shared" si="30"/>
        <v>84</v>
      </c>
      <c r="H115" s="540">
        <f t="shared" si="30"/>
        <v>80</v>
      </c>
      <c r="I115" s="540">
        <f t="shared" si="30"/>
        <v>76</v>
      </c>
      <c r="J115" s="540">
        <f t="shared" si="30"/>
        <v>72</v>
      </c>
      <c r="K115" s="540">
        <f t="shared" si="30"/>
        <v>68</v>
      </c>
      <c r="L115" s="540">
        <f t="shared" si="30"/>
        <v>64</v>
      </c>
      <c r="M115" s="541">
        <f t="shared" si="30"/>
        <v>60</v>
      </c>
      <c r="N115" s="1150"/>
      <c r="O115" s="1150"/>
      <c r="P115" s="2626"/>
      <c r="Q115" s="500"/>
    </row>
    <row r="116" spans="1:17" ht="15" thickTop="1">
      <c r="A116" s="595"/>
      <c r="B116" s="534" t="s">
        <v>2668</v>
      </c>
      <c r="C116" s="3287" t="s">
        <v>3227</v>
      </c>
      <c r="D116" s="3287" t="s">
        <v>3228</v>
      </c>
      <c r="E116" s="550"/>
      <c r="F116" s="550"/>
      <c r="G116" s="550"/>
      <c r="H116" s="579"/>
      <c r="I116" s="579"/>
      <c r="J116" s="579"/>
      <c r="K116" s="580"/>
      <c r="L116" s="581"/>
      <c r="M116" s="582"/>
      <c r="N116" s="1149"/>
      <c r="O116" s="1149"/>
      <c r="P116" s="2626"/>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50"/>
      <c r="O117" s="1150"/>
      <c r="P117" s="2626"/>
      <c r="Q117" s="500"/>
    </row>
    <row r="118" spans="1:17" ht="15" thickTop="1">
      <c r="A118" s="595"/>
      <c r="B118" s="534" t="s">
        <v>2669</v>
      </c>
      <c r="C118" s="623"/>
      <c r="D118" s="623"/>
      <c r="E118" s="623"/>
      <c r="F118" s="623"/>
      <c r="G118" s="623"/>
      <c r="H118" s="551"/>
      <c r="I118" s="551"/>
      <c r="J118" s="551"/>
      <c r="K118" s="551"/>
      <c r="L118" s="552"/>
      <c r="M118" s="553"/>
      <c r="N118" s="1149"/>
      <c r="O118" s="1149"/>
      <c r="P118" s="2626"/>
      <c r="Q118" s="500"/>
    </row>
    <row r="119" spans="1:17" ht="15.75" thickBot="1">
      <c r="A119" s="530"/>
      <c r="B119" s="539"/>
      <c r="C119" s="556"/>
      <c r="D119" s="532"/>
      <c r="E119" s="532"/>
      <c r="F119" s="532"/>
      <c r="G119" s="532"/>
      <c r="H119" s="532"/>
      <c r="I119" s="532"/>
      <c r="J119" s="532"/>
      <c r="K119" s="532"/>
      <c r="L119" s="532"/>
      <c r="M119" s="533"/>
      <c r="N119" s="1150"/>
      <c r="O119" s="1150"/>
      <c r="P119" s="2626"/>
      <c r="Q119" s="500"/>
    </row>
    <row r="120" spans="1:17" s="467" customFormat="1" ht="15" thickTop="1">
      <c r="A120" s="589"/>
      <c r="B120" s="534" t="s">
        <v>2670</v>
      </c>
      <c r="C120" s="579"/>
      <c r="D120" s="579"/>
      <c r="E120" s="579"/>
      <c r="F120" s="579"/>
      <c r="G120" s="551"/>
      <c r="H120" s="551"/>
      <c r="I120" s="551"/>
      <c r="J120" s="551"/>
      <c r="K120" s="551"/>
      <c r="L120" s="552"/>
      <c r="M120" s="553"/>
      <c r="N120" s="1151"/>
      <c r="O120" s="1151"/>
      <c r="P120" s="2627"/>
      <c r="Q120" s="555"/>
    </row>
    <row r="121" spans="1:17" s="467" customFormat="1" ht="15.75" thickBot="1">
      <c r="A121" s="549"/>
      <c r="B121" s="531"/>
      <c r="C121" s="578">
        <v>100</v>
      </c>
      <c r="D121" s="540">
        <f>C121-$K41</f>
        <v>99</v>
      </c>
      <c r="E121" s="540">
        <f t="shared" ref="E121:M121" si="31">D121-$K41</f>
        <v>98</v>
      </c>
      <c r="F121" s="540">
        <f t="shared" si="31"/>
        <v>97</v>
      </c>
      <c r="G121" s="540">
        <f t="shared" si="31"/>
        <v>96</v>
      </c>
      <c r="H121" s="540">
        <f t="shared" si="31"/>
        <v>95</v>
      </c>
      <c r="I121" s="540">
        <f t="shared" si="31"/>
        <v>94</v>
      </c>
      <c r="J121" s="540">
        <f t="shared" si="31"/>
        <v>93</v>
      </c>
      <c r="K121" s="540">
        <f t="shared" si="31"/>
        <v>92</v>
      </c>
      <c r="L121" s="540">
        <f t="shared" si="31"/>
        <v>91</v>
      </c>
      <c r="M121" s="541">
        <f t="shared" si="31"/>
        <v>90</v>
      </c>
      <c r="N121" s="1151"/>
      <c r="O121" s="1151"/>
      <c r="P121" s="2627"/>
      <c r="Q121" s="555"/>
    </row>
    <row r="122" spans="1:17" ht="15" thickTop="1">
      <c r="A122" s="595"/>
      <c r="B122" s="534" t="s">
        <v>2605</v>
      </c>
      <c r="C122" s="3287" t="s">
        <v>3221</v>
      </c>
      <c r="D122" s="3287" t="s">
        <v>3222</v>
      </c>
      <c r="E122" s="3287" t="s">
        <v>3223</v>
      </c>
      <c r="F122" s="3288" t="s">
        <v>3224</v>
      </c>
      <c r="G122" s="579"/>
      <c r="H122" s="579"/>
      <c r="I122" s="579"/>
      <c r="J122" s="579"/>
      <c r="K122" s="580"/>
      <c r="L122" s="581"/>
      <c r="M122" s="582"/>
      <c r="N122" s="1149"/>
      <c r="O122" s="1149"/>
      <c r="P122" s="2626"/>
      <c r="Q122" s="500"/>
    </row>
    <row r="123" spans="1:17" ht="15.75" thickBot="1">
      <c r="A123" s="530"/>
      <c r="B123" s="539"/>
      <c r="C123" s="540">
        <v>100</v>
      </c>
      <c r="D123" s="540">
        <f t="shared" ref="D123:M123" si="32">C123-$K42</f>
        <v>99</v>
      </c>
      <c r="E123" s="540">
        <f t="shared" si="32"/>
        <v>98</v>
      </c>
      <c r="F123" s="540">
        <f t="shared" si="32"/>
        <v>97</v>
      </c>
      <c r="G123" s="540">
        <f t="shared" si="32"/>
        <v>96</v>
      </c>
      <c r="H123" s="540">
        <f t="shared" si="32"/>
        <v>95</v>
      </c>
      <c r="I123" s="540">
        <f t="shared" si="32"/>
        <v>94</v>
      </c>
      <c r="J123" s="540">
        <f t="shared" si="32"/>
        <v>93</v>
      </c>
      <c r="K123" s="540">
        <f t="shared" si="32"/>
        <v>92</v>
      </c>
      <c r="L123" s="540">
        <f t="shared" si="32"/>
        <v>91</v>
      </c>
      <c r="M123" s="541">
        <f t="shared" si="32"/>
        <v>90</v>
      </c>
      <c r="N123" s="1150"/>
      <c r="O123" s="1150"/>
      <c r="P123" s="2626"/>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49"/>
      <c r="O124" s="1149"/>
      <c r="P124" s="2627"/>
      <c r="Q124" s="500"/>
    </row>
    <row r="125" spans="1:17" ht="15.75" thickBot="1">
      <c r="A125" s="530"/>
      <c r="B125" s="539"/>
      <c r="C125" s="540">
        <v>100</v>
      </c>
      <c r="D125" s="540">
        <f>C125-$K43</f>
        <v>99</v>
      </c>
      <c r="E125" s="540">
        <f>D125-$K43</f>
        <v>98</v>
      </c>
      <c r="F125" s="540">
        <f>E125-$K43</f>
        <v>97</v>
      </c>
      <c r="G125" s="540">
        <f>F125-$K43</f>
        <v>96</v>
      </c>
      <c r="H125" s="540"/>
      <c r="I125" s="540"/>
      <c r="J125" s="540"/>
      <c r="K125" s="540"/>
      <c r="L125" s="540"/>
      <c r="M125" s="541"/>
      <c r="N125" s="1150"/>
      <c r="O125" s="1150"/>
      <c r="P125" s="2626"/>
      <c r="Q125" s="500"/>
    </row>
    <row r="126" spans="1:17" s="467" customFormat="1" ht="15" thickTop="1">
      <c r="A126" s="589"/>
      <c r="B126" s="534">
        <f>B44</f>
        <v>111</v>
      </c>
      <c r="C126" s="550"/>
      <c r="D126" s="550"/>
      <c r="E126" s="550"/>
      <c r="F126" s="550"/>
      <c r="G126" s="550"/>
      <c r="H126" s="551"/>
      <c r="I126" s="551"/>
      <c r="J126" s="551"/>
      <c r="K126" s="551"/>
      <c r="L126" s="552"/>
      <c r="M126" s="553"/>
      <c r="N126" s="1151"/>
      <c r="O126" s="1151"/>
      <c r="P126" s="2627"/>
      <c r="Q126" s="555"/>
    </row>
    <row r="127" spans="1:17" s="467" customFormat="1" ht="15.75" thickBot="1">
      <c r="A127" s="549"/>
      <c r="B127" s="539"/>
      <c r="C127" s="556"/>
      <c r="D127" s="532"/>
      <c r="E127" s="532"/>
      <c r="F127" s="532"/>
      <c r="G127" s="556"/>
      <c r="H127" s="558"/>
      <c r="I127" s="558"/>
      <c r="J127" s="558"/>
      <c r="K127" s="558"/>
      <c r="L127" s="558"/>
      <c r="M127" s="559"/>
      <c r="N127" s="1151"/>
      <c r="O127" s="1151"/>
      <c r="P127" s="2627"/>
      <c r="Q127" s="555"/>
    </row>
    <row r="128" spans="1:17" ht="15" thickTop="1">
      <c r="A128" s="595"/>
      <c r="B128" s="534">
        <f>B45</f>
        <v>111</v>
      </c>
      <c r="C128" s="550"/>
      <c r="D128" s="550"/>
      <c r="E128" s="550"/>
      <c r="F128" s="550"/>
      <c r="G128" s="579"/>
      <c r="H128" s="579"/>
      <c r="I128" s="579"/>
      <c r="J128" s="579"/>
      <c r="K128" s="580"/>
      <c r="L128" s="581"/>
      <c r="M128" s="582"/>
      <c r="N128" s="1149"/>
      <c r="O128" s="1149"/>
      <c r="P128" s="2626"/>
      <c r="Q128" s="500"/>
    </row>
    <row r="129" spans="1:17" ht="15.75" thickBot="1">
      <c r="A129" s="530"/>
      <c r="B129" s="539"/>
      <c r="C129" s="556"/>
      <c r="D129" s="532"/>
      <c r="E129" s="532"/>
      <c r="F129" s="532"/>
      <c r="G129" s="532"/>
      <c r="H129" s="532"/>
      <c r="I129" s="532"/>
      <c r="J129" s="532"/>
      <c r="K129" s="532"/>
      <c r="L129" s="532"/>
      <c r="M129" s="533"/>
      <c r="N129" s="1150"/>
      <c r="O129" s="1150"/>
      <c r="P129" s="2626"/>
      <c r="Q129" s="500"/>
    </row>
    <row r="130" spans="1:17" ht="15" thickTop="1">
      <c r="A130" s="595"/>
      <c r="B130" s="542">
        <f>B46</f>
        <v>111</v>
      </c>
      <c r="C130" s="550"/>
      <c r="D130" s="550"/>
      <c r="E130" s="550"/>
      <c r="F130" s="550"/>
      <c r="G130" s="583"/>
      <c r="H130" s="583"/>
      <c r="I130" s="583"/>
      <c r="J130" s="583"/>
      <c r="K130" s="519"/>
      <c r="L130" s="520"/>
      <c r="M130" s="586"/>
      <c r="N130" s="1149"/>
      <c r="O130" s="1149"/>
      <c r="P130" s="2626"/>
      <c r="Q130" s="500"/>
    </row>
    <row r="131" spans="1:17" ht="15.75" thickBot="1">
      <c r="A131" s="2632"/>
      <c r="B131" s="565"/>
      <c r="C131" s="566"/>
      <c r="D131" s="566"/>
      <c r="E131" s="566"/>
      <c r="F131" s="566"/>
      <c r="G131" s="587"/>
      <c r="H131" s="587"/>
      <c r="I131" s="587"/>
      <c r="J131" s="587"/>
      <c r="K131" s="587"/>
      <c r="L131" s="587"/>
      <c r="M131" s="588"/>
      <c r="N131" s="1150"/>
      <c r="O131" s="1150"/>
      <c r="P131" s="2626"/>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3" zoomScale="90" zoomScaleNormal="90" workbookViewId="0">
      <selection activeCell="M53" sqref="M53"/>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665" t="s">
        <v>2671</v>
      </c>
      <c r="C1" s="1617" t="s">
        <v>2515</v>
      </c>
      <c r="D1" s="1618" t="s">
        <v>27</v>
      </c>
      <c r="E1" s="1627"/>
      <c r="F1" s="2580" t="s">
        <v>3237</v>
      </c>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2314</v>
      </c>
      <c r="B2" s="1415">
        <f>IF(C2="——",ROUND(C50*D3/10000,0),ROUND(C50*D3/10000,0)-D2)</f>
        <v>297813</v>
      </c>
      <c r="C2" s="2582" t="s">
        <v>70</v>
      </c>
      <c r="D2" s="1362" t="e">
        <f ca="1">SUMIF(INDIRECT("'"&amp;F2&amp;"'"&amp;"!A:A"),"承租人权益价值",INDIRECT("'"&amp;F2&amp;"'"&amp;"!c:c"))</f>
        <v>#REF!</v>
      </c>
      <c r="E2" s="2583" t="s">
        <v>2315</v>
      </c>
      <c r="F2" s="2584"/>
      <c r="G2" s="1122"/>
      <c r="H2" s="1122"/>
      <c r="I2" s="1122"/>
      <c r="J2" s="1122"/>
      <c r="K2" s="1122"/>
      <c r="L2" s="1125"/>
      <c r="M2" s="1126"/>
      <c r="N2" s="1126"/>
      <c r="O2" s="1126"/>
      <c r="P2" s="762"/>
      <c r="Q2" s="762"/>
      <c r="R2" s="762"/>
      <c r="S2" s="762"/>
      <c r="T2" s="762"/>
      <c r="U2" s="762"/>
      <c r="V2" s="762"/>
      <c r="W2" s="762"/>
      <c r="X2" s="762"/>
      <c r="Y2" s="762"/>
      <c r="Z2" s="762"/>
      <c r="AA2" s="762"/>
      <c r="AB2" s="762"/>
      <c r="AC2" s="763"/>
    </row>
    <row r="3" spans="1:29" s="394" customFormat="1" ht="28.5" customHeight="1" thickBot="1">
      <c r="A3" s="243" t="s">
        <v>2316</v>
      </c>
      <c r="B3" s="605">
        <f>IF(C2="——",C50,ROUND(B2*10000/D3,0))</f>
        <v>22469</v>
      </c>
      <c r="C3" s="396" t="s">
        <v>2629</v>
      </c>
      <c r="D3" s="395">
        <f>IF(D1="",'数据-汇总表'!E3,SUMIF('数据-汇总表'!$C19:$C33,D1,'数据-汇总表'!$E19:$E33))</f>
        <v>132544.03000000003</v>
      </c>
      <c r="E3" s="2659"/>
      <c r="F3" s="1123"/>
      <c r="G3" s="1122"/>
      <c r="H3" s="1122"/>
      <c r="I3" s="1122"/>
      <c r="J3" s="1122"/>
      <c r="K3" s="1124"/>
      <c r="L3" s="1125"/>
      <c r="M3" s="1126"/>
      <c r="N3" s="1126"/>
      <c r="O3" s="1126"/>
      <c r="P3" s="762"/>
      <c r="Q3" s="762"/>
      <c r="R3" s="762"/>
      <c r="S3" s="762"/>
      <c r="T3" s="762"/>
      <c r="U3" s="762"/>
      <c r="V3" s="762"/>
      <c r="W3" s="762"/>
      <c r="X3" s="762"/>
      <c r="Y3" s="762"/>
      <c r="Z3" s="762"/>
      <c r="AA3" s="762"/>
      <c r="AB3" s="762"/>
      <c r="AC3" s="763"/>
    </row>
    <row r="4" spans="1:29" ht="15">
      <c r="A4" s="397" t="s">
        <v>2630</v>
      </c>
      <c r="B4" s="398"/>
      <c r="C4" s="3169" t="s">
        <v>2631</v>
      </c>
      <c r="D4" s="3170"/>
      <c r="E4" s="3171" t="s">
        <v>2632</v>
      </c>
      <c r="F4" s="3172"/>
      <c r="G4" s="3169" t="s">
        <v>2633</v>
      </c>
      <c r="H4" s="3170"/>
      <c r="I4" s="3169" t="s">
        <v>2634</v>
      </c>
      <c r="J4" s="3170"/>
      <c r="K4" s="606" t="s">
        <v>2635</v>
      </c>
      <c r="L4" s="1127"/>
      <c r="M4" s="1128"/>
      <c r="N4" s="1128"/>
      <c r="O4" s="1128"/>
      <c r="P4" s="3203" t="s">
        <v>2636</v>
      </c>
      <c r="Q4" s="3204"/>
      <c r="R4" s="3207" t="s">
        <v>2632</v>
      </c>
      <c r="S4" s="3208"/>
      <c r="T4" s="3207" t="s">
        <v>2633</v>
      </c>
      <c r="U4" s="3208"/>
      <c r="V4" s="3209" t="s">
        <v>2634</v>
      </c>
      <c r="W4" s="3209"/>
      <c r="X4" s="2666"/>
      <c r="Y4" s="3207" t="s">
        <v>2636</v>
      </c>
      <c r="Z4" s="3208"/>
      <c r="AA4" s="3211" t="s">
        <v>2632</v>
      </c>
      <c r="AB4" s="3211" t="s">
        <v>2633</v>
      </c>
      <c r="AC4" s="3200" t="s">
        <v>2634</v>
      </c>
    </row>
    <row r="5" spans="1:29" ht="15">
      <c r="A5" s="400"/>
      <c r="B5" s="401"/>
      <c r="C5" s="3188" t="str">
        <f>'比较法-商业'!C5:D5</f>
        <v>绿地智汇健康城</v>
      </c>
      <c r="D5" s="3189"/>
      <c r="E5" s="3195" t="str">
        <f>'比较法-商业'!E5:F5</f>
        <v>绿地大兴启航国际</v>
      </c>
      <c r="F5" s="3196"/>
      <c r="G5" s="3188" t="str">
        <f>'比较法-商业'!G5:H5</f>
        <v>首创悦都汇</v>
      </c>
      <c r="H5" s="3189"/>
      <c r="I5" s="3297" t="s">
        <v>3243</v>
      </c>
      <c r="J5" s="3189"/>
      <c r="K5" s="606"/>
      <c r="L5" s="1127"/>
      <c r="M5" s="1128"/>
      <c r="N5" s="1128"/>
      <c r="O5" s="1128"/>
      <c r="P5" s="3205"/>
      <c r="Q5" s="3176"/>
      <c r="R5" s="3181"/>
      <c r="S5" s="3182"/>
      <c r="T5" s="3181"/>
      <c r="U5" s="3182"/>
      <c r="V5" s="3185"/>
      <c r="W5" s="3185"/>
      <c r="X5" s="1810"/>
      <c r="Y5" s="3181"/>
      <c r="Z5" s="3182"/>
      <c r="AA5" s="3167"/>
      <c r="AB5" s="3167"/>
      <c r="AC5" s="3201"/>
    </row>
    <row r="6" spans="1:29" ht="15.75" thickBot="1">
      <c r="A6" s="402"/>
      <c r="B6" s="403"/>
      <c r="C6" s="3186" t="s">
        <v>2531</v>
      </c>
      <c r="D6" s="3187"/>
      <c r="E6" s="3193" t="s">
        <v>2531</v>
      </c>
      <c r="F6" s="3194"/>
      <c r="G6" s="3186" t="s">
        <v>2531</v>
      </c>
      <c r="H6" s="3187"/>
      <c r="I6" s="3186" t="s">
        <v>2531</v>
      </c>
      <c r="J6" s="3187"/>
      <c r="K6" s="606" t="s">
        <v>2532</v>
      </c>
      <c r="L6" s="1127"/>
      <c r="M6" s="1128"/>
      <c r="N6" s="1128"/>
      <c r="O6" s="1128"/>
      <c r="P6" s="3206"/>
      <c r="Q6" s="3178"/>
      <c r="R6" s="3181"/>
      <c r="S6" s="3182"/>
      <c r="T6" s="3183"/>
      <c r="U6" s="3184"/>
      <c r="V6" s="3185"/>
      <c r="W6" s="3185"/>
      <c r="X6" s="1810"/>
      <c r="Y6" s="3183"/>
      <c r="Z6" s="3184"/>
      <c r="AA6" s="3168"/>
      <c r="AB6" s="3168"/>
      <c r="AC6" s="3202"/>
    </row>
    <row r="7" spans="1:29" s="114" customFormat="1" ht="15.75" thickBot="1">
      <c r="A7" s="404" t="s">
        <v>2533</v>
      </c>
      <c r="B7" s="405"/>
      <c r="C7" s="406">
        <f>'数据-取费表'!B2</f>
        <v>43237</v>
      </c>
      <c r="D7" s="407">
        <v>100</v>
      </c>
      <c r="E7" s="408">
        <v>43055</v>
      </c>
      <c r="F7" s="409">
        <f>SUMIF(59:59,YEAR(E7)&amp;"-"&amp;MONTH(E7),60:60)</f>
        <v>97</v>
      </c>
      <c r="G7" s="408">
        <v>43174</v>
      </c>
      <c r="H7" s="407">
        <f>SUMIF(59:59,YEAR(G7)&amp;"-"&amp;MONTH(G7),60:60)</f>
        <v>99</v>
      </c>
      <c r="I7" s="408">
        <v>43063</v>
      </c>
      <c r="J7" s="407">
        <f>SUMIF(59:59,YEAR(I7)&amp;"-"&amp;MONTH(I7),60:60)</f>
        <v>97</v>
      </c>
      <c r="K7" s="607"/>
      <c r="L7" s="1129"/>
      <c r="M7" s="1130"/>
      <c r="N7" s="1130"/>
      <c r="O7" s="1130"/>
      <c r="P7" s="3210" t="s">
        <v>2534</v>
      </c>
      <c r="Q7" s="3192"/>
      <c r="R7" s="764" t="s">
        <v>17</v>
      </c>
      <c r="S7" s="765">
        <f t="shared" ref="S7:S15" si="0">F7</f>
        <v>97</v>
      </c>
      <c r="T7" s="764" t="s">
        <v>17</v>
      </c>
      <c r="U7" s="765">
        <f t="shared" ref="U7:U15" si="1">H7</f>
        <v>99</v>
      </c>
      <c r="V7" s="764" t="s">
        <v>17</v>
      </c>
      <c r="W7" s="765">
        <f t="shared" ref="W7:W15" si="2">J7</f>
        <v>97</v>
      </c>
      <c r="X7" s="766"/>
      <c r="Y7" s="3190" t="s">
        <v>2534</v>
      </c>
      <c r="Z7" s="3191"/>
      <c r="AA7" s="767">
        <f>D7/F7</f>
        <v>1.0309278350515463</v>
      </c>
      <c r="AB7" s="767">
        <f>D7/H7</f>
        <v>1.0101010101010102</v>
      </c>
      <c r="AC7" s="2667">
        <f>D7/J7</f>
        <v>1.0309278350515463</v>
      </c>
    </row>
    <row r="8" spans="1:29" s="114" customFormat="1" ht="15.75" thickBot="1">
      <c r="A8" s="404" t="s">
        <v>2535</v>
      </c>
      <c r="B8" s="405"/>
      <c r="C8" s="410" t="s">
        <v>2637</v>
      </c>
      <c r="D8" s="407">
        <v>100</v>
      </c>
      <c r="E8" s="410" t="s">
        <v>2572</v>
      </c>
      <c r="F8" s="409">
        <f>SUMIF(62:62,E8,63:63)-SUMIF(62:62,C8,63:63)+100</f>
        <v>100</v>
      </c>
      <c r="G8" s="410" t="s">
        <v>2572</v>
      </c>
      <c r="H8" s="407">
        <f>SUMIF(62:62,G8,63:63)-SUMIF(62:62,C8,63:63)+100</f>
        <v>100</v>
      </c>
      <c r="I8" s="410" t="s">
        <v>2572</v>
      </c>
      <c r="J8" s="407">
        <f>SUMIF(62:62,I8,63:63)-SUMIF(62:62,C8,63:63)+100</f>
        <v>100</v>
      </c>
      <c r="K8" s="607"/>
      <c r="L8" s="1129"/>
      <c r="M8" s="1130"/>
      <c r="N8" s="1130"/>
      <c r="O8" s="1130"/>
      <c r="P8" s="3210" t="s">
        <v>2537</v>
      </c>
      <c r="Q8" s="3191"/>
      <c r="R8" s="764" t="s">
        <v>17</v>
      </c>
      <c r="S8" s="765">
        <f t="shared" si="0"/>
        <v>100</v>
      </c>
      <c r="T8" s="764" t="s">
        <v>17</v>
      </c>
      <c r="U8" s="765">
        <f t="shared" si="1"/>
        <v>100</v>
      </c>
      <c r="V8" s="764" t="s">
        <v>17</v>
      </c>
      <c r="W8" s="765">
        <f t="shared" si="2"/>
        <v>100</v>
      </c>
      <c r="X8" s="766"/>
      <c r="Y8" s="3190" t="s">
        <v>2537</v>
      </c>
      <c r="Z8" s="3191"/>
      <c r="AA8" s="767">
        <f t="shared" ref="AA8:AA47" si="3">D8/F8</f>
        <v>1</v>
      </c>
      <c r="AB8" s="767">
        <f t="shared" ref="AB8:AB47" si="4">D8/H8</f>
        <v>1</v>
      </c>
      <c r="AC8" s="2667">
        <f t="shared" ref="AC8:AC47" si="5">D8/J8</f>
        <v>1</v>
      </c>
    </row>
    <row r="9" spans="1:29" s="114" customFormat="1">
      <c r="A9" s="411" t="s">
        <v>2538</v>
      </c>
      <c r="B9" s="69" t="s">
        <v>2539</v>
      </c>
      <c r="C9" s="3299" t="s">
        <v>3244</v>
      </c>
      <c r="D9" s="131">
        <v>100</v>
      </c>
      <c r="E9" s="3304" t="s">
        <v>3244</v>
      </c>
      <c r="F9" s="131">
        <f>SUMIF(64:64,E9,65:65)-SUMIF(64:64,C9,65:65)+100</f>
        <v>100</v>
      </c>
      <c r="G9" s="3304" t="s">
        <v>3244</v>
      </c>
      <c r="H9" s="131">
        <f>SUMIF(64:64,G9,65:65)-SUMIF(64:64,C9,65:65)+100</f>
        <v>100</v>
      </c>
      <c r="I9" s="3304" t="s">
        <v>3244</v>
      </c>
      <c r="J9" s="131">
        <f>SUMIF(64:64,I9,65:65)-SUMIF(64:64,C9,65:65)+100</f>
        <v>100</v>
      </c>
      <c r="K9" s="607"/>
      <c r="L9" s="1129"/>
      <c r="M9" s="1130"/>
      <c r="N9" s="1130"/>
      <c r="O9" s="1130"/>
      <c r="P9" s="3165" t="s">
        <v>2540</v>
      </c>
      <c r="Q9" s="1792" t="str">
        <f t="shared" ref="Q9:Q15" si="6">B9</f>
        <v>用途</v>
      </c>
      <c r="R9" s="764" t="s">
        <v>17</v>
      </c>
      <c r="S9" s="765">
        <f t="shared" si="0"/>
        <v>100</v>
      </c>
      <c r="T9" s="764" t="s">
        <v>17</v>
      </c>
      <c r="U9" s="765">
        <f t="shared" si="1"/>
        <v>100</v>
      </c>
      <c r="V9" s="764" t="s">
        <v>17</v>
      </c>
      <c r="W9" s="765">
        <f t="shared" si="2"/>
        <v>100</v>
      </c>
      <c r="X9" s="766"/>
      <c r="Y9" s="2982" t="s">
        <v>2541</v>
      </c>
      <c r="Z9" s="55" t="str">
        <f t="shared" ref="Z9:Z15" si="7">Q9</f>
        <v>用途</v>
      </c>
      <c r="AA9" s="767">
        <f t="shared" si="3"/>
        <v>1</v>
      </c>
      <c r="AB9" s="767">
        <f t="shared" si="4"/>
        <v>1</v>
      </c>
      <c r="AC9" s="2667">
        <f t="shared" si="5"/>
        <v>1</v>
      </c>
    </row>
    <row r="10" spans="1:29" s="423" customFormat="1" ht="27">
      <c r="A10" s="417"/>
      <c r="B10" s="418" t="s">
        <v>2542</v>
      </c>
      <c r="C10" s="419" t="s">
        <v>3245</v>
      </c>
      <c r="D10" s="132">
        <v>100</v>
      </c>
      <c r="E10" s="419" t="s">
        <v>3245</v>
      </c>
      <c r="F10" s="132">
        <f>SUMIF(66:66,E10,67:67)-SUMIF(66:66,C10,67:67)+100</f>
        <v>100</v>
      </c>
      <c r="G10" s="419" t="s">
        <v>3245</v>
      </c>
      <c r="H10" s="132">
        <f>SUMIF(66:66,G10,67:67)-SUMIF(66:66,C10,67:67)+100</f>
        <v>100</v>
      </c>
      <c r="I10" s="419" t="s">
        <v>3245</v>
      </c>
      <c r="J10" s="132">
        <f>SUMIF(66:66,I10,67:67)-SUMIF(66:66,C10,67:67)+100</f>
        <v>100</v>
      </c>
      <c r="K10" s="3303">
        <f>'比较法-商业'!K10</f>
        <v>1</v>
      </c>
      <c r="L10" s="1132"/>
      <c r="M10" s="1133"/>
      <c r="N10" s="1133"/>
      <c r="O10" s="1133"/>
      <c r="P10" s="3165"/>
      <c r="Q10" s="1792" t="str">
        <f t="shared" si="6"/>
        <v>土地使用年限（年）</v>
      </c>
      <c r="R10" s="764" t="s">
        <v>17</v>
      </c>
      <c r="S10" s="765">
        <f t="shared" si="0"/>
        <v>100</v>
      </c>
      <c r="T10" s="764" t="s">
        <v>17</v>
      </c>
      <c r="U10" s="765">
        <f t="shared" si="1"/>
        <v>100</v>
      </c>
      <c r="V10" s="764" t="s">
        <v>17</v>
      </c>
      <c r="W10" s="765">
        <f t="shared" si="2"/>
        <v>100</v>
      </c>
      <c r="X10" s="766"/>
      <c r="Y10" s="2982"/>
      <c r="Z10" s="55" t="str">
        <f t="shared" si="7"/>
        <v>土地使用年限（年）</v>
      </c>
      <c r="AA10" s="767">
        <f t="shared" si="3"/>
        <v>1</v>
      </c>
      <c r="AB10" s="767">
        <f t="shared" si="4"/>
        <v>1</v>
      </c>
      <c r="AC10" s="2667">
        <f t="shared" si="5"/>
        <v>1</v>
      </c>
    </row>
    <row r="11" spans="1:29" ht="15.75" thickBot="1">
      <c r="A11" s="424"/>
      <c r="B11" s="418" t="s">
        <v>2543</v>
      </c>
      <c r="C11" s="425">
        <f>'比较法-商业'!C11</f>
        <v>3</v>
      </c>
      <c r="D11" s="132">
        <v>100</v>
      </c>
      <c r="E11" s="425">
        <f>'比较法-商业'!E11</f>
        <v>2.5</v>
      </c>
      <c r="F11" s="132">
        <f>LOOKUP(E11,69:69,70:70)-LOOKUP(C11,69:69,70:70)+100</f>
        <v>102</v>
      </c>
      <c r="G11" s="426">
        <f>'比较法-商业'!G11</f>
        <v>1.8</v>
      </c>
      <c r="H11" s="132">
        <f>LOOKUP(G11,69:69,70:70)-LOOKUP(C11,69:69,70:70)+100</f>
        <v>104</v>
      </c>
      <c r="I11" s="425">
        <v>3</v>
      </c>
      <c r="J11" s="132">
        <f>LOOKUP(I11,69:69,70:70)-LOOKUP(C11,69:69,70:70)+100</f>
        <v>100</v>
      </c>
      <c r="K11" s="608">
        <v>2</v>
      </c>
      <c r="L11" s="1135"/>
      <c r="M11" s="1128"/>
      <c r="N11" s="1128"/>
      <c r="O11" s="1128"/>
      <c r="P11" s="3165"/>
      <c r="Q11" s="1792" t="str">
        <f t="shared" si="6"/>
        <v>容积率</v>
      </c>
      <c r="R11" s="764" t="s">
        <v>17</v>
      </c>
      <c r="S11" s="765">
        <f t="shared" si="0"/>
        <v>102</v>
      </c>
      <c r="T11" s="764" t="s">
        <v>17</v>
      </c>
      <c r="U11" s="765">
        <f t="shared" si="1"/>
        <v>104</v>
      </c>
      <c r="V11" s="764" t="s">
        <v>17</v>
      </c>
      <c r="W11" s="765">
        <f t="shared" si="2"/>
        <v>100</v>
      </c>
      <c r="X11" s="766"/>
      <c r="Y11" s="2982"/>
      <c r="Z11" s="55" t="str">
        <f t="shared" si="7"/>
        <v>容积率</v>
      </c>
      <c r="AA11" s="767">
        <f t="shared" si="3"/>
        <v>0.98039215686274506</v>
      </c>
      <c r="AB11" s="767">
        <f t="shared" si="4"/>
        <v>0.96153846153846156</v>
      </c>
      <c r="AC11" s="2667">
        <f t="shared" si="5"/>
        <v>1</v>
      </c>
    </row>
    <row r="12" spans="1:29" s="114" customFormat="1" ht="15" hidden="1">
      <c r="A12" s="427"/>
      <c r="B12" s="2596">
        <v>111</v>
      </c>
      <c r="C12" s="428"/>
      <c r="D12" s="429">
        <v>100</v>
      </c>
      <c r="E12" s="428"/>
      <c r="F12" s="132">
        <f>SUMIF(71:71,E12,72:72)-SUMIF(71:71,C12,72:72)+100</f>
        <v>100</v>
      </c>
      <c r="G12" s="2668"/>
      <c r="H12" s="132">
        <f>SUMIF(71:71,G12,72:72)-SUMIF(71:71,C12,72:72)+100</f>
        <v>100</v>
      </c>
      <c r="I12" s="428"/>
      <c r="J12" s="132">
        <f>SUMIF(71:71,I12,72:72)-SUMIF(71:71,C12,72:72)+100</f>
        <v>100</v>
      </c>
      <c r="K12" s="609"/>
      <c r="L12" s="1129"/>
      <c r="M12" s="1130"/>
      <c r="N12" s="1130"/>
      <c r="O12" s="1130"/>
      <c r="P12" s="3165"/>
      <c r="Q12" s="1792">
        <f t="shared" si="6"/>
        <v>111</v>
      </c>
      <c r="R12" s="764" t="s">
        <v>17</v>
      </c>
      <c r="S12" s="765">
        <f t="shared" si="0"/>
        <v>100</v>
      </c>
      <c r="T12" s="764" t="s">
        <v>17</v>
      </c>
      <c r="U12" s="765">
        <f t="shared" si="1"/>
        <v>100</v>
      </c>
      <c r="V12" s="764" t="s">
        <v>17</v>
      </c>
      <c r="W12" s="765">
        <f t="shared" si="2"/>
        <v>100</v>
      </c>
      <c r="X12" s="766"/>
      <c r="Y12" s="2982"/>
      <c r="Z12" s="55">
        <f t="shared" si="7"/>
        <v>111</v>
      </c>
      <c r="AA12" s="767">
        <f>D12/F12</f>
        <v>1</v>
      </c>
      <c r="AB12" s="767">
        <f>D12/H12</f>
        <v>1</v>
      </c>
      <c r="AC12" s="2667">
        <f>D12/J12</f>
        <v>1</v>
      </c>
    </row>
    <row r="13" spans="1:29" ht="15" hidden="1">
      <c r="A13" s="424"/>
      <c r="B13" s="2596">
        <v>111</v>
      </c>
      <c r="C13" s="430"/>
      <c r="D13" s="431">
        <v>100</v>
      </c>
      <c r="E13" s="428"/>
      <c r="F13" s="132">
        <f>SUMIF(73:73,E13,74:74)-SUMIF(73:73,C13,74:74)+100</f>
        <v>100</v>
      </c>
      <c r="G13" s="2668"/>
      <c r="H13" s="431">
        <f>SUMIF(73:73,G13,74:74)-SUMIF(73:73,C13,74:74)+100</f>
        <v>100</v>
      </c>
      <c r="I13" s="428"/>
      <c r="J13" s="431">
        <f>SUMIF(73:73,I13,74:74)-SUMIF(73:73,C13,74:74)+100</f>
        <v>100</v>
      </c>
      <c r="K13" s="609"/>
      <c r="L13" s="1137"/>
      <c r="M13" s="1128"/>
      <c r="N13" s="1128"/>
      <c r="O13" s="1128"/>
      <c r="P13" s="3165"/>
      <c r="Q13" s="1792">
        <f t="shared" si="6"/>
        <v>111</v>
      </c>
      <c r="R13" s="764" t="s">
        <v>17</v>
      </c>
      <c r="S13" s="765">
        <f t="shared" si="0"/>
        <v>100</v>
      </c>
      <c r="T13" s="764" t="s">
        <v>17</v>
      </c>
      <c r="U13" s="765">
        <f t="shared" si="1"/>
        <v>100</v>
      </c>
      <c r="V13" s="764" t="s">
        <v>17</v>
      </c>
      <c r="W13" s="765">
        <f t="shared" si="2"/>
        <v>100</v>
      </c>
      <c r="X13" s="766"/>
      <c r="Y13" s="2982"/>
      <c r="Z13" s="55">
        <f t="shared" si="7"/>
        <v>111</v>
      </c>
      <c r="AA13" s="767">
        <f t="shared" si="3"/>
        <v>1</v>
      </c>
      <c r="AB13" s="767">
        <f t="shared" si="4"/>
        <v>1</v>
      </c>
      <c r="AC13" s="2667">
        <f t="shared" si="5"/>
        <v>1</v>
      </c>
    </row>
    <row r="14" spans="1:29" ht="15.75" hidden="1" thickBot="1">
      <c r="A14" s="432"/>
      <c r="B14" s="2598">
        <v>111</v>
      </c>
      <c r="C14" s="433"/>
      <c r="D14" s="434">
        <v>100</v>
      </c>
      <c r="E14" s="624"/>
      <c r="F14" s="434">
        <f>SUMIF(75:75,E14,76:76)-SUMIF(75:75,C14,76:76)+100</f>
        <v>100</v>
      </c>
      <c r="G14" s="2668"/>
      <c r="H14" s="434">
        <f>SUMIF(75:75,G14,76:76)-SUMIF(75:75,C14,76:76)+100</f>
        <v>100</v>
      </c>
      <c r="I14" s="428"/>
      <c r="J14" s="434">
        <f>SUMIF(75:75,I14,76:76)-SUMIF(75:75,C14,76:76)+100</f>
        <v>100</v>
      </c>
      <c r="K14" s="609"/>
      <c r="L14" s="1137"/>
      <c r="M14" s="1128"/>
      <c r="N14" s="1128"/>
      <c r="O14" s="1128"/>
      <c r="P14" s="3165"/>
      <c r="Q14" s="1792">
        <f t="shared" si="6"/>
        <v>111</v>
      </c>
      <c r="R14" s="764" t="s">
        <v>17</v>
      </c>
      <c r="S14" s="765">
        <f t="shared" si="0"/>
        <v>100</v>
      </c>
      <c r="T14" s="764" t="s">
        <v>17</v>
      </c>
      <c r="U14" s="765">
        <f t="shared" si="1"/>
        <v>100</v>
      </c>
      <c r="V14" s="764" t="s">
        <v>17</v>
      </c>
      <c r="W14" s="765">
        <f t="shared" si="2"/>
        <v>100</v>
      </c>
      <c r="X14" s="766"/>
      <c r="Y14" s="2982"/>
      <c r="Z14" s="55">
        <f t="shared" si="7"/>
        <v>111</v>
      </c>
      <c r="AA14" s="767">
        <f t="shared" si="3"/>
        <v>1</v>
      </c>
      <c r="AB14" s="767">
        <f t="shared" si="4"/>
        <v>1</v>
      </c>
      <c r="AC14" s="2667">
        <f t="shared" si="5"/>
        <v>1</v>
      </c>
    </row>
    <row r="15" spans="1:29" ht="85.5">
      <c r="A15" s="436" t="s">
        <v>2544</v>
      </c>
      <c r="B15" s="625" t="s">
        <v>2672</v>
      </c>
      <c r="C15" s="2669" t="str">
        <f>估价对象房地状况!C5</f>
        <v>估价对象周边2公里办公项目有绿地启航国际、世农大厦等少量办公项目，办公集聚程度较差</v>
      </c>
      <c r="D15" s="437">
        <v>100</v>
      </c>
      <c r="E15" s="440"/>
      <c r="F15" s="437">
        <f>SUMIF(77:77,E16,78:78)-SUMIF(77:77,C16,78:78)+100</f>
        <v>104</v>
      </c>
      <c r="G15" s="438"/>
      <c r="H15" s="437">
        <f>SUMIF(77:77,G16,78:78)-SUMIF(77:77,C16,78:78)+100</f>
        <v>102</v>
      </c>
      <c r="I15" s="438"/>
      <c r="J15" s="437">
        <f>SUMIF(77:77,I16,78:78)-SUMIF(77:77,C16,78:78)+100</f>
        <v>104</v>
      </c>
      <c r="K15" s="3306">
        <f>'土地比较法-住宅、综合'!K19</f>
        <v>2</v>
      </c>
      <c r="L15" s="1137"/>
      <c r="M15" s="1128"/>
      <c r="N15" s="1128"/>
      <c r="O15" s="1128"/>
      <c r="P15" s="3163" t="s">
        <v>2545</v>
      </c>
      <c r="Q15" s="1807" t="str">
        <f t="shared" si="6"/>
        <v>办公集聚程度</v>
      </c>
      <c r="R15" s="768" t="s">
        <v>17</v>
      </c>
      <c r="S15" s="769">
        <f t="shared" si="0"/>
        <v>104</v>
      </c>
      <c r="T15" s="768" t="s">
        <v>17</v>
      </c>
      <c r="U15" s="769">
        <f t="shared" si="1"/>
        <v>102</v>
      </c>
      <c r="V15" s="768" t="s">
        <v>17</v>
      </c>
      <c r="W15" s="769">
        <f t="shared" si="2"/>
        <v>104</v>
      </c>
      <c r="X15" s="1810"/>
      <c r="Y15" s="3156" t="s">
        <v>2545</v>
      </c>
      <c r="Z15" s="1811" t="str">
        <f t="shared" si="7"/>
        <v>办公集聚程度</v>
      </c>
      <c r="AA15" s="1808">
        <f t="shared" si="3"/>
        <v>0.96153846153846156</v>
      </c>
      <c r="AB15" s="1808">
        <f t="shared" si="4"/>
        <v>0.98039215686274506</v>
      </c>
      <c r="AC15" s="2670">
        <f t="shared" si="5"/>
        <v>0.96153846153846156</v>
      </c>
    </row>
    <row r="16" spans="1:29" ht="15">
      <c r="A16" s="424"/>
      <c r="B16" s="626"/>
      <c r="C16" s="2607" t="s">
        <v>3179</v>
      </c>
      <c r="D16" s="444"/>
      <c r="E16" s="443" t="s">
        <v>3085</v>
      </c>
      <c r="F16" s="444"/>
      <c r="G16" s="2607" t="s">
        <v>3178</v>
      </c>
      <c r="H16" s="446"/>
      <c r="I16" s="443" t="s">
        <v>3085</v>
      </c>
      <c r="J16" s="444"/>
      <c r="K16" s="611"/>
      <c r="L16" s="1137"/>
      <c r="M16" s="1128"/>
      <c r="N16" s="1128"/>
      <c r="O16" s="1128"/>
      <c r="P16" s="3164"/>
      <c r="Q16" s="1807"/>
      <c r="R16" s="768"/>
      <c r="S16" s="769"/>
      <c r="T16" s="768"/>
      <c r="U16" s="769"/>
      <c r="V16" s="768"/>
      <c r="W16" s="769"/>
      <c r="X16" s="1810"/>
      <c r="Y16" s="3157"/>
      <c r="Z16" s="1811"/>
      <c r="AA16" s="1808">
        <v>1</v>
      </c>
      <c r="AB16" s="1808">
        <v>1</v>
      </c>
      <c r="AC16" s="2670">
        <v>1</v>
      </c>
    </row>
    <row r="17" spans="1:29" ht="57">
      <c r="A17" s="424"/>
      <c r="B17" s="627" t="s">
        <v>2087</v>
      </c>
      <c r="C17" s="2671" t="str">
        <f>估价对象房地状况!C6</f>
        <v>估价对象周边仅有829、兴52路公交线路，综合评价交通便捷度一般</v>
      </c>
      <c r="D17" s="446">
        <v>100</v>
      </c>
      <c r="E17" s="3290" t="s">
        <v>3242</v>
      </c>
      <c r="F17" s="446">
        <f>SUMIF(79:79,E18,80:80)-SUMIF(79:79,C18,80:80)+100</f>
        <v>102</v>
      </c>
      <c r="G17" s="450"/>
      <c r="H17" s="451">
        <f>SUMIF(79:79,G18,80:80)-SUMIF(79:79,C18,80:80)+100</f>
        <v>100</v>
      </c>
      <c r="I17" s="3290" t="s">
        <v>3242</v>
      </c>
      <c r="J17" s="451">
        <f>SUMIF(79:79,I18,80:80)-SUMIF(79:79,C18,80:80)+100</f>
        <v>102</v>
      </c>
      <c r="K17" s="3306">
        <f>'比较法-商业'!K17</f>
        <v>2</v>
      </c>
      <c r="L17" s="1137"/>
      <c r="M17" s="1128"/>
      <c r="N17" s="1128"/>
      <c r="O17" s="1128"/>
      <c r="P17" s="3164"/>
      <c r="Q17" s="1807" t="str">
        <f>B17</f>
        <v>交通便捷度</v>
      </c>
      <c r="R17" s="768" t="s">
        <v>17</v>
      </c>
      <c r="S17" s="769">
        <f>F17</f>
        <v>102</v>
      </c>
      <c r="T17" s="768" t="s">
        <v>17</v>
      </c>
      <c r="U17" s="769">
        <f>H17</f>
        <v>100</v>
      </c>
      <c r="V17" s="768" t="s">
        <v>17</v>
      </c>
      <c r="W17" s="769">
        <f>J17</f>
        <v>102</v>
      </c>
      <c r="X17" s="1810"/>
      <c r="Y17" s="3157"/>
      <c r="Z17" s="1811" t="str">
        <f>Q17</f>
        <v>交通便捷度</v>
      </c>
      <c r="AA17" s="1808">
        <f t="shared" si="3"/>
        <v>0.98039215686274506</v>
      </c>
      <c r="AB17" s="1808">
        <f t="shared" si="4"/>
        <v>1</v>
      </c>
      <c r="AC17" s="2670">
        <f t="shared" si="5"/>
        <v>0.98039215686274506</v>
      </c>
    </row>
    <row r="18" spans="1:29" ht="15">
      <c r="A18" s="424"/>
      <c r="B18" s="628"/>
      <c r="C18" s="2672" t="s">
        <v>3178</v>
      </c>
      <c r="D18" s="446"/>
      <c r="E18" s="2606" t="s">
        <v>3085</v>
      </c>
      <c r="F18" s="446"/>
      <c r="G18" s="2606" t="s">
        <v>3178</v>
      </c>
      <c r="H18" s="444"/>
      <c r="I18" s="2606" t="s">
        <v>3085</v>
      </c>
      <c r="J18" s="444"/>
      <c r="K18" s="611"/>
      <c r="L18" s="1137"/>
      <c r="M18" s="1128"/>
      <c r="N18" s="1128"/>
      <c r="O18" s="1128"/>
      <c r="P18" s="3164"/>
      <c r="Q18" s="1807"/>
      <c r="R18" s="768"/>
      <c r="S18" s="769"/>
      <c r="T18" s="768"/>
      <c r="U18" s="769"/>
      <c r="V18" s="768"/>
      <c r="W18" s="769"/>
      <c r="X18" s="1810"/>
      <c r="Y18" s="3157"/>
      <c r="Z18" s="1811"/>
      <c r="AA18" s="1808">
        <v>1</v>
      </c>
      <c r="AB18" s="1808">
        <v>1</v>
      </c>
      <c r="AC18" s="2670">
        <v>1</v>
      </c>
    </row>
    <row r="19" spans="1:29" ht="42.75">
      <c r="A19" s="424"/>
      <c r="B19" s="627" t="s">
        <v>2673</v>
      </c>
      <c r="C19" s="2671" t="str">
        <f>估价对象房地状况!C7</f>
        <v>估价对象所在区域公共配套设施齐备度一般</v>
      </c>
      <c r="D19" s="451">
        <v>100</v>
      </c>
      <c r="E19" s="453"/>
      <c r="F19" s="451">
        <f>SUMIF(81:81,E20,82:82)-SUMIF(81:81,C20,82:82)+100</f>
        <v>102</v>
      </c>
      <c r="G19" s="455"/>
      <c r="H19" s="446">
        <f>SUMIF(81:81,G20,82:82)-SUMIF(81:81,C20,82:82)+100</f>
        <v>102</v>
      </c>
      <c r="I19" s="453"/>
      <c r="J19" s="446">
        <f>SUMIF(81:81,I20,82:82)-SUMIF(81:81,C20,82:82)+100</f>
        <v>102</v>
      </c>
      <c r="K19" s="3306">
        <f>'比较法-商业'!K19</f>
        <v>2</v>
      </c>
      <c r="L19" s="1137"/>
      <c r="M19" s="1128"/>
      <c r="N19" s="1128"/>
      <c r="O19" s="1128"/>
      <c r="P19" s="3164"/>
      <c r="Q19" s="1807" t="str">
        <f>B19</f>
        <v>公共配套设施</v>
      </c>
      <c r="R19" s="768" t="s">
        <v>17</v>
      </c>
      <c r="S19" s="769">
        <f>F19</f>
        <v>102</v>
      </c>
      <c r="T19" s="768" t="s">
        <v>17</v>
      </c>
      <c r="U19" s="769">
        <f>H19</f>
        <v>102</v>
      </c>
      <c r="V19" s="768" t="s">
        <v>17</v>
      </c>
      <c r="W19" s="769">
        <f>J19</f>
        <v>102</v>
      </c>
      <c r="X19" s="1810"/>
      <c r="Y19" s="3157"/>
      <c r="Z19" s="1811" t="str">
        <f>Q19</f>
        <v>公共配套设施</v>
      </c>
      <c r="AA19" s="1808">
        <f t="shared" si="3"/>
        <v>0.98039215686274506</v>
      </c>
      <c r="AB19" s="1808">
        <f t="shared" si="4"/>
        <v>0.98039215686274506</v>
      </c>
      <c r="AC19" s="2670">
        <f t="shared" si="5"/>
        <v>0.98039215686274506</v>
      </c>
    </row>
    <row r="20" spans="1:29" ht="15">
      <c r="A20" s="424"/>
      <c r="B20" s="628"/>
      <c r="C20" s="2607" t="s">
        <v>3178</v>
      </c>
      <c r="D20" s="444"/>
      <c r="E20" s="2601" t="s">
        <v>3085</v>
      </c>
      <c r="F20" s="444"/>
      <c r="G20" s="2601" t="s">
        <v>3085</v>
      </c>
      <c r="H20" s="444"/>
      <c r="I20" s="2601" t="s">
        <v>3085</v>
      </c>
      <c r="J20" s="444"/>
      <c r="K20" s="611"/>
      <c r="L20" s="1137"/>
      <c r="M20" s="1128"/>
      <c r="N20" s="1128"/>
      <c r="O20" s="1128"/>
      <c r="P20" s="3164"/>
      <c r="Q20" s="1807"/>
      <c r="R20" s="768"/>
      <c r="S20" s="769"/>
      <c r="T20" s="768"/>
      <c r="U20" s="769"/>
      <c r="V20" s="768"/>
      <c r="W20" s="769"/>
      <c r="X20" s="1810"/>
      <c r="Y20" s="3157"/>
      <c r="Z20" s="1811"/>
      <c r="AA20" s="1808">
        <v>1</v>
      </c>
      <c r="AB20" s="1808">
        <v>1</v>
      </c>
      <c r="AC20" s="2670">
        <v>1</v>
      </c>
    </row>
    <row r="21" spans="1:29" ht="42.75">
      <c r="A21" s="424"/>
      <c r="B21" s="629" t="s">
        <v>2674</v>
      </c>
      <c r="C21" s="2671" t="str">
        <f>估价对象房地状况!C8</f>
        <v>估价对象所在区域基础设施水平达七通</v>
      </c>
      <c r="D21" s="446">
        <v>100</v>
      </c>
      <c r="E21" s="453"/>
      <c r="F21" s="451">
        <f>SUMIF(83:83,E22,84:84)-SUMIF(83:83,C22,84:84)+100</f>
        <v>100</v>
      </c>
      <c r="G21" s="455"/>
      <c r="H21" s="446">
        <f>SUMIF(83:83,G22,84:84)-SUMIF(83:83,C22,84:84)+100</f>
        <v>100</v>
      </c>
      <c r="I21" s="453"/>
      <c r="J21" s="446">
        <f>SUMIF(83:83,I22,84:84)-SUMIF(83:83,C22,84:84)+100</f>
        <v>100</v>
      </c>
      <c r="K21" s="3306">
        <f>'比较法-商业'!K21</f>
        <v>1</v>
      </c>
      <c r="L21" s="1137"/>
      <c r="M21" s="1128"/>
      <c r="N21" s="1128"/>
      <c r="O21" s="1128"/>
      <c r="P21" s="3164"/>
      <c r="Q21" s="1807" t="str">
        <f>B21</f>
        <v>基础设施水平</v>
      </c>
      <c r="R21" s="768" t="s">
        <v>17</v>
      </c>
      <c r="S21" s="769">
        <f>F21</f>
        <v>100</v>
      </c>
      <c r="T21" s="768" t="s">
        <v>17</v>
      </c>
      <c r="U21" s="769">
        <f>H21</f>
        <v>100</v>
      </c>
      <c r="V21" s="768" t="s">
        <v>17</v>
      </c>
      <c r="W21" s="769">
        <f>J21</f>
        <v>100</v>
      </c>
      <c r="X21" s="1810"/>
      <c r="Y21" s="3157"/>
      <c r="Z21" s="1811" t="str">
        <f>Q21</f>
        <v>基础设施水平</v>
      </c>
      <c r="AA21" s="1808">
        <f t="shared" ref="AA21" si="8">D21/F21</f>
        <v>1</v>
      </c>
      <c r="AB21" s="1808">
        <f t="shared" ref="AB21" si="9">D21/H21</f>
        <v>1</v>
      </c>
      <c r="AC21" s="2670">
        <f t="shared" ref="AC21" si="10">D21/J21</f>
        <v>1</v>
      </c>
    </row>
    <row r="22" spans="1:29" ht="15">
      <c r="A22" s="424"/>
      <c r="B22" s="629"/>
      <c r="C22" s="2672" t="s">
        <v>3181</v>
      </c>
      <c r="D22" s="444"/>
      <c r="E22" s="443" t="s">
        <v>3181</v>
      </c>
      <c r="F22" s="444"/>
      <c r="G22" s="443" t="s">
        <v>3181</v>
      </c>
      <c r="H22" s="444"/>
      <c r="I22" s="443" t="s">
        <v>3181</v>
      </c>
      <c r="J22" s="444"/>
      <c r="K22" s="1380"/>
      <c r="L22" s="1137"/>
      <c r="M22" s="1128"/>
      <c r="N22" s="1128"/>
      <c r="O22" s="1128"/>
      <c r="P22" s="3164"/>
      <c r="Q22" s="1807"/>
      <c r="R22" s="768"/>
      <c r="S22" s="769"/>
      <c r="T22" s="768"/>
      <c r="U22" s="769"/>
      <c r="V22" s="768"/>
      <c r="W22" s="769"/>
      <c r="X22" s="1810"/>
      <c r="Y22" s="3157"/>
      <c r="Z22" s="1811"/>
      <c r="AA22" s="1808">
        <v>1</v>
      </c>
      <c r="AB22" s="1808">
        <v>1</v>
      </c>
      <c r="AC22" s="2670">
        <v>1</v>
      </c>
    </row>
    <row r="23" spans="1:29" ht="71.25">
      <c r="A23" s="424"/>
      <c r="B23" s="627" t="s">
        <v>2675</v>
      </c>
      <c r="C23" s="2671" t="str">
        <f>估价对象房地状况!C9</f>
        <v>周边仅有住宅配套绿化，无大型公园及高等教育机构；综合评价环境状况较差</v>
      </c>
      <c r="D23" s="446">
        <v>100</v>
      </c>
      <c r="E23" s="448"/>
      <c r="F23" s="446">
        <f>SUMIF(85:85,E24,86:86)-SUMIF(85:85,C24,86:86)+100</f>
        <v>104</v>
      </c>
      <c r="G23" s="450"/>
      <c r="H23" s="446">
        <f>SUMIF(85:85,G24,86:86)-SUMIF(85:85,C24,86:86)+100</f>
        <v>102</v>
      </c>
      <c r="I23" s="448"/>
      <c r="J23" s="446">
        <f>SUMIF(85:85,I24,86:86)-SUMIF(85:85,C24,86:86)+100</f>
        <v>104</v>
      </c>
      <c r="K23" s="3306">
        <f>'比较法-商业'!K23</f>
        <v>2</v>
      </c>
      <c r="L23" s="1137"/>
      <c r="M23" s="1128"/>
      <c r="N23" s="1128"/>
      <c r="O23" s="1128"/>
      <c r="P23" s="3164"/>
      <c r="Q23" s="1807" t="str">
        <f>B23</f>
        <v>环境质量</v>
      </c>
      <c r="R23" s="768" t="s">
        <v>17</v>
      </c>
      <c r="S23" s="769">
        <f>F23</f>
        <v>104</v>
      </c>
      <c r="T23" s="768" t="s">
        <v>17</v>
      </c>
      <c r="U23" s="769">
        <f>H23</f>
        <v>102</v>
      </c>
      <c r="V23" s="768" t="s">
        <v>17</v>
      </c>
      <c r="W23" s="769">
        <f>J23</f>
        <v>104</v>
      </c>
      <c r="X23" s="1810"/>
      <c r="Y23" s="3157"/>
      <c r="Z23" s="1811" t="str">
        <f>Q23</f>
        <v>环境质量</v>
      </c>
      <c r="AA23" s="1808">
        <f t="shared" si="3"/>
        <v>0.96153846153846156</v>
      </c>
      <c r="AB23" s="1808">
        <f t="shared" si="4"/>
        <v>0.98039215686274506</v>
      </c>
      <c r="AC23" s="2670">
        <f t="shared" si="5"/>
        <v>0.96153846153846156</v>
      </c>
    </row>
    <row r="24" spans="1:29" ht="15">
      <c r="A24" s="424"/>
      <c r="B24" s="629"/>
      <c r="C24" s="2607" t="s">
        <v>3179</v>
      </c>
      <c r="D24" s="444"/>
      <c r="E24" s="2601" t="s">
        <v>3085</v>
      </c>
      <c r="F24" s="444"/>
      <c r="G24" s="443" t="s">
        <v>3178</v>
      </c>
      <c r="H24" s="444"/>
      <c r="I24" s="2601" t="s">
        <v>3085</v>
      </c>
      <c r="J24" s="444"/>
      <c r="K24" s="611"/>
      <c r="L24" s="1137"/>
      <c r="M24" s="1128"/>
      <c r="N24" s="1128"/>
      <c r="O24" s="1128"/>
      <c r="P24" s="3164"/>
      <c r="Q24" s="1807"/>
      <c r="R24" s="768"/>
      <c r="S24" s="769"/>
      <c r="T24" s="768"/>
      <c r="U24" s="769"/>
      <c r="V24" s="768"/>
      <c r="W24" s="769"/>
      <c r="X24" s="1810"/>
      <c r="Y24" s="3157"/>
      <c r="Z24" s="1811"/>
      <c r="AA24" s="1808">
        <v>1</v>
      </c>
      <c r="AB24" s="1808">
        <v>1</v>
      </c>
      <c r="AC24" s="2670">
        <v>1</v>
      </c>
    </row>
    <row r="25" spans="1:29" ht="27">
      <c r="A25" s="400"/>
      <c r="B25" s="627" t="s">
        <v>2676</v>
      </c>
      <c r="C25" s="3305" t="s">
        <v>3246</v>
      </c>
      <c r="D25" s="431">
        <v>100</v>
      </c>
      <c r="E25" s="3302" t="s">
        <v>3260</v>
      </c>
      <c r="F25" s="431">
        <f>SUMIF(87:87,E26,88:88)-SUMIF(87:87,C26,88:88)+100</f>
        <v>100</v>
      </c>
      <c r="G25" s="3305" t="s">
        <v>3259</v>
      </c>
      <c r="H25" s="431">
        <f>SUMIF(87:87,G26,88:88)-SUMIF(87:87,C26,88:88)+100</f>
        <v>99</v>
      </c>
      <c r="I25" s="3302" t="s">
        <v>3258</v>
      </c>
      <c r="J25" s="431">
        <f>SUMIF(87:87,I26,88:88)-SUMIF(87:87,C26,88:88)+100</f>
        <v>99</v>
      </c>
      <c r="K25" s="3306">
        <f>'比较法-商业'!K25</f>
        <v>1</v>
      </c>
      <c r="L25" s="1137"/>
      <c r="M25" s="1128"/>
      <c r="N25" s="1128"/>
      <c r="O25" s="1128"/>
      <c r="P25" s="3164"/>
      <c r="Q25" s="1807" t="str">
        <f>B25</f>
        <v>毗邻道路的类型与等级</v>
      </c>
      <c r="R25" s="768" t="s">
        <v>17</v>
      </c>
      <c r="S25" s="769">
        <f>F25</f>
        <v>100</v>
      </c>
      <c r="T25" s="768" t="s">
        <v>17</v>
      </c>
      <c r="U25" s="769">
        <f>H25</f>
        <v>99</v>
      </c>
      <c r="V25" s="768" t="s">
        <v>17</v>
      </c>
      <c r="W25" s="769">
        <f>J25</f>
        <v>99</v>
      </c>
      <c r="X25" s="1810"/>
      <c r="Y25" s="3157"/>
      <c r="Z25" s="1811" t="str">
        <f>Q25</f>
        <v>毗邻道路的类型与等级</v>
      </c>
      <c r="AA25" s="1808">
        <f t="shared" si="3"/>
        <v>1</v>
      </c>
      <c r="AB25" s="1808">
        <f t="shared" si="4"/>
        <v>1.0101010101010102</v>
      </c>
      <c r="AC25" s="2670">
        <f t="shared" si="5"/>
        <v>1.0101010101010102</v>
      </c>
    </row>
    <row r="26" spans="1:29" ht="15">
      <c r="A26" s="400"/>
      <c r="B26" s="628"/>
      <c r="C26" s="630" t="s">
        <v>3186</v>
      </c>
      <c r="D26" s="431"/>
      <c r="E26" s="612" t="s">
        <v>3186</v>
      </c>
      <c r="F26" s="431"/>
      <c r="G26" s="612" t="s">
        <v>3182</v>
      </c>
      <c r="H26" s="431"/>
      <c r="I26" s="612" t="s">
        <v>3182</v>
      </c>
      <c r="J26" s="431"/>
      <c r="K26" s="611"/>
      <c r="L26" s="1137"/>
      <c r="M26" s="1128"/>
      <c r="N26" s="1128"/>
      <c r="O26" s="1128"/>
      <c r="P26" s="3164"/>
      <c r="Q26" s="1807"/>
      <c r="R26" s="768"/>
      <c r="S26" s="769"/>
      <c r="T26" s="768"/>
      <c r="U26" s="769"/>
      <c r="V26" s="768"/>
      <c r="W26" s="769"/>
      <c r="X26" s="1810"/>
      <c r="Y26" s="3157"/>
      <c r="Z26" s="1811"/>
      <c r="AA26" s="1808">
        <v>1</v>
      </c>
      <c r="AB26" s="1808">
        <v>1</v>
      </c>
      <c r="AC26" s="2670">
        <v>1</v>
      </c>
    </row>
    <row r="27" spans="1:29" ht="15">
      <c r="A27" s="424"/>
      <c r="B27" s="628" t="s">
        <v>2644</v>
      </c>
      <c r="C27" s="630"/>
      <c r="D27" s="431">
        <v>100</v>
      </c>
      <c r="E27" s="612"/>
      <c r="F27" s="431">
        <f>SUMIF(89:89,E27,90:90)-SUMIF(89:89,C27,90:90)+100</f>
        <v>100</v>
      </c>
      <c r="G27" s="630"/>
      <c r="H27" s="431">
        <f>SUMIF(89:89,G27,90:90)-SUMIF(89:89,C27,90:90)+100</f>
        <v>100</v>
      </c>
      <c r="I27" s="612"/>
      <c r="J27" s="431">
        <f>SUMIF(89:89,I27,90:90)-SUMIF(89:89,C27,90:90)+100</f>
        <v>100</v>
      </c>
      <c r="K27" s="608"/>
      <c r="L27" s="1137"/>
      <c r="M27" s="1128"/>
      <c r="N27" s="1128"/>
      <c r="O27" s="1128"/>
      <c r="P27" s="3164"/>
      <c r="Q27" s="1807" t="str">
        <f t="shared" ref="Q27:Q47" si="11">B27</f>
        <v>楼层</v>
      </c>
      <c r="R27" s="768" t="s">
        <v>17</v>
      </c>
      <c r="S27" s="769">
        <f>F27</f>
        <v>100</v>
      </c>
      <c r="T27" s="768" t="s">
        <v>17</v>
      </c>
      <c r="U27" s="769">
        <f>H27</f>
        <v>100</v>
      </c>
      <c r="V27" s="768" t="s">
        <v>17</v>
      </c>
      <c r="W27" s="769">
        <f>J27</f>
        <v>100</v>
      </c>
      <c r="X27" s="1810"/>
      <c r="Y27" s="3157"/>
      <c r="Z27" s="1811" t="str">
        <f>Q27</f>
        <v>楼层</v>
      </c>
      <c r="AA27" s="1808">
        <f t="shared" si="3"/>
        <v>1</v>
      </c>
      <c r="AB27" s="1808">
        <f t="shared" si="4"/>
        <v>1</v>
      </c>
      <c r="AC27" s="2670">
        <f t="shared" si="5"/>
        <v>1</v>
      </c>
    </row>
    <row r="28" spans="1:29" s="114" customFormat="1" ht="15.75" thickBot="1">
      <c r="A28" s="427"/>
      <c r="B28" s="627" t="s">
        <v>2677</v>
      </c>
      <c r="C28" s="2673"/>
      <c r="D28" s="458">
        <v>100</v>
      </c>
      <c r="E28" s="2661"/>
      <c r="F28" s="458">
        <f>SUMIF(91:91,E28,92:92)-SUMIF(91:91,C28,92:92)+100</f>
        <v>100</v>
      </c>
      <c r="G28" s="2673"/>
      <c r="H28" s="458">
        <f>SUMIF(91:91,G28,92:92)-SUMIF(91:91,C28,92:92)+100</f>
        <v>100</v>
      </c>
      <c r="I28" s="2661"/>
      <c r="J28" s="458">
        <f>SUMIF(91:91,I28,92:92)-SUMIF(91:91,C28,92:92)+100</f>
        <v>100</v>
      </c>
      <c r="K28" s="608"/>
      <c r="L28" s="1129"/>
      <c r="M28" s="1130"/>
      <c r="N28" s="1130"/>
      <c r="O28" s="1130"/>
      <c r="P28" s="3164"/>
      <c r="Q28" s="1792" t="str">
        <f t="shared" si="11"/>
        <v>朝向</v>
      </c>
      <c r="R28" s="764" t="s">
        <v>17</v>
      </c>
      <c r="S28" s="765">
        <f>F28</f>
        <v>100</v>
      </c>
      <c r="T28" s="764" t="s">
        <v>17</v>
      </c>
      <c r="U28" s="765">
        <f>H28</f>
        <v>100</v>
      </c>
      <c r="V28" s="764" t="s">
        <v>17</v>
      </c>
      <c r="W28" s="765">
        <f>J28</f>
        <v>100</v>
      </c>
      <c r="X28" s="766"/>
      <c r="Y28" s="3157"/>
      <c r="Z28" s="55" t="str">
        <f>Q28</f>
        <v>朝向</v>
      </c>
      <c r="AA28" s="1808">
        <f>D28/F28</f>
        <v>1</v>
      </c>
      <c r="AB28" s="1808">
        <f>D28/H28</f>
        <v>1</v>
      </c>
      <c r="AC28" s="2670">
        <f>D28/J28</f>
        <v>1</v>
      </c>
    </row>
    <row r="29" spans="1:29" ht="15" hidden="1">
      <c r="A29" s="424"/>
      <c r="B29" s="2674">
        <v>111</v>
      </c>
      <c r="C29" s="2611"/>
      <c r="D29" s="431">
        <v>100</v>
      </c>
      <c r="E29" s="428"/>
      <c r="F29" s="431">
        <f>SUMIF(93:93,E29,94:94)-SUMIF(93:93,C29,94:94)+100</f>
        <v>100</v>
      </c>
      <c r="G29" s="2668"/>
      <c r="H29" s="431">
        <f>SUMIF(93:93,G29,94:94)-SUMIF(93:93,C29,94:94)+100</f>
        <v>100</v>
      </c>
      <c r="I29" s="428"/>
      <c r="J29" s="431">
        <f>SUMIF(93:93,I29,94:94)-SUMIF(93:93,C29,94:94)+100</f>
        <v>100</v>
      </c>
      <c r="K29" s="609"/>
      <c r="L29" s="1137"/>
      <c r="M29" s="1128"/>
      <c r="N29" s="1128"/>
      <c r="O29" s="1128"/>
      <c r="P29" s="3164"/>
      <c r="Q29" s="1807">
        <f t="shared" si="11"/>
        <v>111</v>
      </c>
      <c r="R29" s="768" t="s">
        <v>17</v>
      </c>
      <c r="S29" s="769">
        <f t="shared" ref="S29:S47" si="12">F29</f>
        <v>100</v>
      </c>
      <c r="T29" s="768" t="s">
        <v>17</v>
      </c>
      <c r="U29" s="769">
        <f t="shared" ref="U29:U47" si="13">H29</f>
        <v>100</v>
      </c>
      <c r="V29" s="768" t="s">
        <v>17</v>
      </c>
      <c r="W29" s="769">
        <f t="shared" ref="W29:W47" si="14">J29</f>
        <v>100</v>
      </c>
      <c r="X29" s="1810"/>
      <c r="Y29" s="3157"/>
      <c r="Z29" s="1811">
        <f t="shared" ref="Z29:Z47" si="15">Q29</f>
        <v>111</v>
      </c>
      <c r="AA29" s="1808">
        <f t="shared" si="3"/>
        <v>1</v>
      </c>
      <c r="AB29" s="1808">
        <f t="shared" si="4"/>
        <v>1</v>
      </c>
      <c r="AC29" s="2670">
        <f t="shared" si="5"/>
        <v>1</v>
      </c>
    </row>
    <row r="30" spans="1:29" ht="15" hidden="1">
      <c r="A30" s="424"/>
      <c r="B30" s="2674">
        <v>111</v>
      </c>
      <c r="C30" s="2611"/>
      <c r="D30" s="431">
        <v>100</v>
      </c>
      <c r="E30" s="428"/>
      <c r="F30" s="431">
        <f>SUMIF(95:95,E30,96:96)-SUMIF(95:95,C30,96:96)+100</f>
        <v>100</v>
      </c>
      <c r="G30" s="2668"/>
      <c r="H30" s="431">
        <f>SUMIF(95:95,G30,96:96)-SUMIF(95:95,C30,96:96)+100</f>
        <v>100</v>
      </c>
      <c r="I30" s="428"/>
      <c r="J30" s="431">
        <f>SUMIF(95:95,I30,96:96)-SUMIF(95:95,C30,96:96)+100</f>
        <v>100</v>
      </c>
      <c r="K30" s="609"/>
      <c r="L30" s="1137"/>
      <c r="M30" s="1128"/>
      <c r="N30" s="1128"/>
      <c r="O30" s="1128"/>
      <c r="P30" s="3164"/>
      <c r="Q30" s="1807">
        <f t="shared" si="11"/>
        <v>111</v>
      </c>
      <c r="R30" s="768" t="s">
        <v>17</v>
      </c>
      <c r="S30" s="769">
        <f t="shared" si="12"/>
        <v>100</v>
      </c>
      <c r="T30" s="768" t="s">
        <v>17</v>
      </c>
      <c r="U30" s="769">
        <f t="shared" si="13"/>
        <v>100</v>
      </c>
      <c r="V30" s="768" t="s">
        <v>17</v>
      </c>
      <c r="W30" s="769">
        <f t="shared" si="14"/>
        <v>100</v>
      </c>
      <c r="X30" s="1810"/>
      <c r="Y30" s="3157"/>
      <c r="Z30" s="1811">
        <f t="shared" si="15"/>
        <v>111</v>
      </c>
      <c r="AA30" s="1808">
        <f t="shared" si="3"/>
        <v>1</v>
      </c>
      <c r="AB30" s="1808">
        <f t="shared" si="4"/>
        <v>1</v>
      </c>
      <c r="AC30" s="2670">
        <f t="shared" si="5"/>
        <v>1</v>
      </c>
    </row>
    <row r="31" spans="1:29" ht="15" hidden="1">
      <c r="A31" s="424"/>
      <c r="B31" s="2674">
        <v>111</v>
      </c>
      <c r="C31" s="2611"/>
      <c r="D31" s="431">
        <v>100</v>
      </c>
      <c r="E31" s="428"/>
      <c r="F31" s="431">
        <f>SUMIF(97:97,E31,98:98)-SUMIF(97:97,C31,98:98)+100</f>
        <v>100</v>
      </c>
      <c r="G31" s="2668"/>
      <c r="H31" s="431">
        <f>SUMIF(97:97,G31,98:98)-SUMIF(97:97,C31,98:98)+100</f>
        <v>100</v>
      </c>
      <c r="I31" s="428"/>
      <c r="J31" s="431">
        <f>SUMIF(97:97,I31,98:98)-SUMIF(97:97,C31,98:98)+100</f>
        <v>100</v>
      </c>
      <c r="K31" s="609"/>
      <c r="L31" s="1137"/>
      <c r="M31" s="1128"/>
      <c r="N31" s="1128"/>
      <c r="O31" s="1128"/>
      <c r="P31" s="3164"/>
      <c r="Q31" s="1807">
        <f t="shared" si="11"/>
        <v>111</v>
      </c>
      <c r="R31" s="768" t="s">
        <v>17</v>
      </c>
      <c r="S31" s="769">
        <f t="shared" si="12"/>
        <v>100</v>
      </c>
      <c r="T31" s="768" t="s">
        <v>17</v>
      </c>
      <c r="U31" s="769">
        <f t="shared" si="13"/>
        <v>100</v>
      </c>
      <c r="V31" s="768" t="s">
        <v>17</v>
      </c>
      <c r="W31" s="769">
        <f t="shared" si="14"/>
        <v>100</v>
      </c>
      <c r="X31" s="1810"/>
      <c r="Y31" s="3157"/>
      <c r="Z31" s="1811">
        <f t="shared" si="15"/>
        <v>111</v>
      </c>
      <c r="AA31" s="1808">
        <f t="shared" si="3"/>
        <v>1</v>
      </c>
      <c r="AB31" s="1808">
        <f t="shared" si="4"/>
        <v>1</v>
      </c>
      <c r="AC31" s="2670">
        <f t="shared" si="5"/>
        <v>1</v>
      </c>
    </row>
    <row r="32" spans="1:29" ht="15.75" hidden="1" thickBot="1">
      <c r="A32" s="432"/>
      <c r="B32" s="631">
        <v>111</v>
      </c>
      <c r="C32" s="2612"/>
      <c r="D32" s="434">
        <v>100</v>
      </c>
      <c r="E32" s="624"/>
      <c r="F32" s="434">
        <f>SUMIF(99:99,E32,100:100)-SUMIF(99:99,C32,100:100)+100</f>
        <v>100</v>
      </c>
      <c r="G32" s="2668"/>
      <c r="H32" s="434">
        <f>SUMIF(99:99,G32,100:100)-SUMIF(99:99,C32,100:100)+100</f>
        <v>100</v>
      </c>
      <c r="I32" s="428"/>
      <c r="J32" s="434">
        <f>SUMIF(99:99,I32,100:100)-SUMIF(99:99,C32,100:100)+100</f>
        <v>100</v>
      </c>
      <c r="K32" s="609"/>
      <c r="L32" s="1137"/>
      <c r="M32" s="1128"/>
      <c r="N32" s="1128"/>
      <c r="O32" s="1128"/>
      <c r="P32" s="3164"/>
      <c r="Q32" s="1807">
        <f t="shared" si="11"/>
        <v>111</v>
      </c>
      <c r="R32" s="768" t="s">
        <v>17</v>
      </c>
      <c r="S32" s="769">
        <f t="shared" si="12"/>
        <v>100</v>
      </c>
      <c r="T32" s="768" t="s">
        <v>17</v>
      </c>
      <c r="U32" s="769">
        <f t="shared" si="13"/>
        <v>100</v>
      </c>
      <c r="V32" s="768" t="s">
        <v>17</v>
      </c>
      <c r="W32" s="769">
        <f t="shared" si="14"/>
        <v>100</v>
      </c>
      <c r="X32" s="1810"/>
      <c r="Y32" s="3157"/>
      <c r="Z32" s="1811">
        <f t="shared" si="15"/>
        <v>111</v>
      </c>
      <c r="AA32" s="1808">
        <f t="shared" si="3"/>
        <v>1</v>
      </c>
      <c r="AB32" s="1808">
        <f t="shared" si="4"/>
        <v>1</v>
      </c>
      <c r="AC32" s="2670">
        <f t="shared" si="5"/>
        <v>1</v>
      </c>
    </row>
    <row r="33" spans="1:29" ht="15">
      <c r="A33" s="436" t="s">
        <v>2548</v>
      </c>
      <c r="B33" s="69" t="s">
        <v>2678</v>
      </c>
      <c r="C33" s="2675" t="s">
        <v>3255</v>
      </c>
      <c r="D33" s="463">
        <v>100</v>
      </c>
      <c r="E33" s="2675" t="s">
        <v>3255</v>
      </c>
      <c r="F33" s="457">
        <f>SUMIF(101:101,E33,102:102)-SUMIF(101:101,C33,102:102)+100</f>
        <v>100</v>
      </c>
      <c r="G33" s="2675" t="s">
        <v>3255</v>
      </c>
      <c r="H33" s="431">
        <f>SUMIF(101:101,G33,102:102)-SUMIF(101:101,C33,102:102)+100</f>
        <v>100</v>
      </c>
      <c r="I33" s="2675" t="s">
        <v>3255</v>
      </c>
      <c r="J33" s="463">
        <f>SUMIF(101:101,I33,102:102)-SUMIF(101:101,C33,102:102)+100</f>
        <v>100</v>
      </c>
      <c r="K33" s="3303">
        <f>'比较法-商业'!K32</f>
        <v>8</v>
      </c>
      <c r="L33" s="1137"/>
      <c r="M33" s="1128"/>
      <c r="N33" s="1128"/>
      <c r="O33" s="1128"/>
      <c r="P33" s="3158" t="s">
        <v>2550</v>
      </c>
      <c r="Q33" s="1807" t="str">
        <f t="shared" si="11"/>
        <v>建筑类型</v>
      </c>
      <c r="R33" s="768" t="s">
        <v>17</v>
      </c>
      <c r="S33" s="769">
        <f t="shared" si="12"/>
        <v>100</v>
      </c>
      <c r="T33" s="768" t="s">
        <v>17</v>
      </c>
      <c r="U33" s="769">
        <f t="shared" si="13"/>
        <v>100</v>
      </c>
      <c r="V33" s="768" t="s">
        <v>17</v>
      </c>
      <c r="W33" s="769">
        <f t="shared" si="14"/>
        <v>100</v>
      </c>
      <c r="X33" s="1810"/>
      <c r="Y33" s="3161" t="s">
        <v>2550</v>
      </c>
      <c r="Z33" s="1811" t="str">
        <f t="shared" si="15"/>
        <v>建筑类型</v>
      </c>
      <c r="AA33" s="1808">
        <f t="shared" si="3"/>
        <v>1</v>
      </c>
      <c r="AB33" s="1808">
        <f t="shared" si="4"/>
        <v>1</v>
      </c>
      <c r="AC33" s="2670">
        <f t="shared" si="5"/>
        <v>1</v>
      </c>
    </row>
    <row r="34" spans="1:29" s="467" customFormat="1" ht="15">
      <c r="A34" s="464"/>
      <c r="B34" s="418" t="s">
        <v>2551</v>
      </c>
      <c r="C34" s="465">
        <f>'比较法-商业'!C33</f>
        <v>183405</v>
      </c>
      <c r="D34" s="132">
        <v>100</v>
      </c>
      <c r="E34" s="465">
        <f>'比较法-商业'!E33</f>
        <v>120000</v>
      </c>
      <c r="F34" s="421">
        <f>LOOKUP(E34,104:104,105:105)-LOOKUP(C34,104:104,105:105)+100</f>
        <v>100</v>
      </c>
      <c r="G34" s="465">
        <f>'比较法-商业'!G33</f>
        <v>37000</v>
      </c>
      <c r="H34" s="132">
        <f>LOOKUP(G34,104:104,105:105)-LOOKUP(C34,104:104,105:105)+100</f>
        <v>98</v>
      </c>
      <c r="I34" s="425">
        <v>90661</v>
      </c>
      <c r="J34" s="132">
        <f>LOOKUP(I34,104:104,105:105)-LOOKUP(C34,104:104,105:105)+100</f>
        <v>99</v>
      </c>
      <c r="K34" s="609"/>
      <c r="L34" s="1135"/>
      <c r="M34" s="1138"/>
      <c r="N34" s="1138"/>
      <c r="O34" s="1138"/>
      <c r="P34" s="3159"/>
      <c r="Q34" s="770" t="str">
        <f t="shared" si="11"/>
        <v>项目建筑规模</v>
      </c>
      <c r="R34" s="771" t="s">
        <v>17</v>
      </c>
      <c r="S34" s="772">
        <f t="shared" si="12"/>
        <v>100</v>
      </c>
      <c r="T34" s="771" t="s">
        <v>17</v>
      </c>
      <c r="U34" s="772">
        <f t="shared" si="13"/>
        <v>98</v>
      </c>
      <c r="V34" s="771" t="s">
        <v>17</v>
      </c>
      <c r="W34" s="772">
        <f t="shared" si="14"/>
        <v>99</v>
      </c>
      <c r="X34" s="773"/>
      <c r="Y34" s="3161"/>
      <c r="Z34" s="774" t="str">
        <f t="shared" si="15"/>
        <v>项目建筑规模</v>
      </c>
      <c r="AA34" s="1808">
        <f t="shared" si="3"/>
        <v>1</v>
      </c>
      <c r="AB34" s="1808">
        <f t="shared" si="4"/>
        <v>1.0204081632653061</v>
      </c>
      <c r="AC34" s="2670">
        <f t="shared" si="5"/>
        <v>1.0101010101010102</v>
      </c>
    </row>
    <row r="35" spans="1:29" ht="15">
      <c r="A35" s="468"/>
      <c r="B35" s="418" t="s">
        <v>2552</v>
      </c>
      <c r="C35" s="456" t="s">
        <v>3199</v>
      </c>
      <c r="D35" s="431">
        <v>100</v>
      </c>
      <c r="E35" s="456" t="s">
        <v>3199</v>
      </c>
      <c r="F35" s="457">
        <f>SUMIF(106:106,E35,107:107)-SUMIF(106:106,C35,107:107)+100</f>
        <v>100</v>
      </c>
      <c r="G35" s="456" t="s">
        <v>3199</v>
      </c>
      <c r="H35" s="431">
        <f>SUMIF(106:106,G35,107:107)-SUMIF(106:106,C35,107:107)+100</f>
        <v>100</v>
      </c>
      <c r="I35" s="456" t="s">
        <v>3199</v>
      </c>
      <c r="J35" s="431">
        <f>SUMIF(106:106,I35,107:107)-SUMIF(106:106,C35,107:107)+100</f>
        <v>100</v>
      </c>
      <c r="K35" s="3303">
        <f>'比较法-商业'!K34</f>
        <v>1</v>
      </c>
      <c r="L35" s="1137"/>
      <c r="M35" s="1128"/>
      <c r="N35" s="1128"/>
      <c r="O35" s="1128"/>
      <c r="P35" s="3159"/>
      <c r="Q35" s="1807" t="str">
        <f t="shared" si="11"/>
        <v>建筑结构</v>
      </c>
      <c r="R35" s="768" t="s">
        <v>17</v>
      </c>
      <c r="S35" s="769">
        <f t="shared" si="12"/>
        <v>100</v>
      </c>
      <c r="T35" s="768" t="s">
        <v>17</v>
      </c>
      <c r="U35" s="769">
        <f t="shared" si="13"/>
        <v>100</v>
      </c>
      <c r="V35" s="768" t="s">
        <v>17</v>
      </c>
      <c r="W35" s="769">
        <f t="shared" si="14"/>
        <v>100</v>
      </c>
      <c r="X35" s="1810"/>
      <c r="Y35" s="3161"/>
      <c r="Z35" s="1811" t="str">
        <f t="shared" si="15"/>
        <v>建筑结构</v>
      </c>
      <c r="AA35" s="1808">
        <f t="shared" si="3"/>
        <v>1</v>
      </c>
      <c r="AB35" s="1808">
        <f t="shared" si="4"/>
        <v>1</v>
      </c>
      <c r="AC35" s="2670">
        <f t="shared" si="5"/>
        <v>1</v>
      </c>
    </row>
    <row r="36" spans="1:29" ht="15">
      <c r="A36" s="468"/>
      <c r="B36" s="418" t="s">
        <v>2646</v>
      </c>
      <c r="C36" s="456" t="s">
        <v>3232</v>
      </c>
      <c r="D36" s="431">
        <v>100</v>
      </c>
      <c r="E36" s="456" t="s">
        <v>3232</v>
      </c>
      <c r="F36" s="457">
        <f>SUMIF(108:108,E36,109:109)-SUMIF(108:108,C36,109:109)+100</f>
        <v>100</v>
      </c>
      <c r="G36" s="456" t="s">
        <v>3232</v>
      </c>
      <c r="H36" s="431">
        <f>SUMIF(108:108,G36,109:109)-SUMIF(108:108,C36,109:109)+100</f>
        <v>100</v>
      </c>
      <c r="I36" s="456" t="s">
        <v>3232</v>
      </c>
      <c r="J36" s="431">
        <f>SUMIF(108:108,I36,109:109)-SUMIF(108:108,C36,109:109)+100</f>
        <v>100</v>
      </c>
      <c r="K36" s="3303">
        <f>'比较法-商业'!K35</f>
        <v>1</v>
      </c>
      <c r="L36" s="1137"/>
      <c r="M36" s="1128"/>
      <c r="N36" s="1128"/>
      <c r="O36" s="1128"/>
      <c r="P36" s="3159"/>
      <c r="Q36" s="1807" t="str">
        <f t="shared" si="11"/>
        <v>公共部分装修</v>
      </c>
      <c r="R36" s="768" t="s">
        <v>17</v>
      </c>
      <c r="S36" s="769">
        <f t="shared" si="12"/>
        <v>100</v>
      </c>
      <c r="T36" s="768" t="s">
        <v>17</v>
      </c>
      <c r="U36" s="769">
        <f t="shared" si="13"/>
        <v>100</v>
      </c>
      <c r="V36" s="768" t="s">
        <v>17</v>
      </c>
      <c r="W36" s="769">
        <f t="shared" si="14"/>
        <v>100</v>
      </c>
      <c r="X36" s="1810"/>
      <c r="Y36" s="3161"/>
      <c r="Z36" s="1811" t="str">
        <f t="shared" si="15"/>
        <v>公共部分装修</v>
      </c>
      <c r="AA36" s="1808">
        <f t="shared" si="3"/>
        <v>1</v>
      </c>
      <c r="AB36" s="1808">
        <f t="shared" si="4"/>
        <v>1</v>
      </c>
      <c r="AC36" s="2670">
        <f t="shared" si="5"/>
        <v>1</v>
      </c>
    </row>
    <row r="37" spans="1:29" ht="15">
      <c r="A37" s="468"/>
      <c r="B37" s="418" t="s">
        <v>2647</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3303">
        <f>'比较法-商业'!K36</f>
        <v>1</v>
      </c>
      <c r="L37" s="1137"/>
      <c r="M37" s="1128"/>
      <c r="N37" s="1128"/>
      <c r="O37" s="1128"/>
      <c r="P37" s="3159"/>
      <c r="Q37" s="1807" t="str">
        <f t="shared" si="11"/>
        <v>成新度</v>
      </c>
      <c r="R37" s="768" t="s">
        <v>17</v>
      </c>
      <c r="S37" s="769">
        <f t="shared" si="12"/>
        <v>100</v>
      </c>
      <c r="T37" s="768" t="s">
        <v>17</v>
      </c>
      <c r="U37" s="769">
        <f t="shared" si="13"/>
        <v>100</v>
      </c>
      <c r="V37" s="768" t="s">
        <v>17</v>
      </c>
      <c r="W37" s="769">
        <f t="shared" si="14"/>
        <v>100</v>
      </c>
      <c r="X37" s="1810"/>
      <c r="Y37" s="3161"/>
      <c r="Z37" s="1811" t="str">
        <f t="shared" si="15"/>
        <v>成新度</v>
      </c>
      <c r="AA37" s="1808">
        <f t="shared" si="3"/>
        <v>1</v>
      </c>
      <c r="AB37" s="1808">
        <f t="shared" si="4"/>
        <v>1</v>
      </c>
      <c r="AC37" s="2670">
        <f t="shared" si="5"/>
        <v>1</v>
      </c>
    </row>
    <row r="38" spans="1:29" s="114" customFormat="1" ht="15">
      <c r="A38" s="469"/>
      <c r="B38" s="418" t="s">
        <v>2679</v>
      </c>
      <c r="C38" s="456" t="s">
        <v>3256</v>
      </c>
      <c r="D38" s="132">
        <v>100</v>
      </c>
      <c r="E38" s="456" t="s">
        <v>3256</v>
      </c>
      <c r="F38" s="457">
        <f>SUMIF(113:113,E38,114:114)-SUMIF(113:113,C38,114:114)+100</f>
        <v>100</v>
      </c>
      <c r="G38" s="456" t="s">
        <v>3256</v>
      </c>
      <c r="H38" s="431">
        <f>SUMIF(113:113,G38,114:114)-SUMIF(113:113,C38,114:114)+100</f>
        <v>100</v>
      </c>
      <c r="I38" s="456" t="s">
        <v>3256</v>
      </c>
      <c r="J38" s="431">
        <f>SUMIF(113:113,I38,114:114)-SUMIF(113:113,C38,114:114)+100</f>
        <v>100</v>
      </c>
      <c r="K38" s="608">
        <v>5</v>
      </c>
      <c r="L38" s="1129"/>
      <c r="M38" s="1130"/>
      <c r="N38" s="1130"/>
      <c r="O38" s="1130"/>
      <c r="P38" s="3159"/>
      <c r="Q38" s="1792" t="str">
        <f t="shared" si="11"/>
        <v>写字楼等级</v>
      </c>
      <c r="R38" s="764" t="s">
        <v>17</v>
      </c>
      <c r="S38" s="765">
        <f t="shared" si="12"/>
        <v>100</v>
      </c>
      <c r="T38" s="764" t="s">
        <v>17</v>
      </c>
      <c r="U38" s="765">
        <f t="shared" si="13"/>
        <v>100</v>
      </c>
      <c r="V38" s="764" t="s">
        <v>17</v>
      </c>
      <c r="W38" s="765">
        <f t="shared" si="14"/>
        <v>100</v>
      </c>
      <c r="X38" s="766"/>
      <c r="Y38" s="3161"/>
      <c r="Z38" s="55" t="str">
        <f t="shared" si="15"/>
        <v>写字楼等级</v>
      </c>
      <c r="AA38" s="767">
        <f t="shared" si="3"/>
        <v>1</v>
      </c>
      <c r="AB38" s="767">
        <f t="shared" si="4"/>
        <v>1</v>
      </c>
      <c r="AC38" s="2667">
        <f t="shared" si="5"/>
        <v>1</v>
      </c>
    </row>
    <row r="39" spans="1:29" ht="15">
      <c r="A39" s="468"/>
      <c r="B39" s="418" t="s">
        <v>2680</v>
      </c>
      <c r="C39" s="456" t="s">
        <v>3257</v>
      </c>
      <c r="D39" s="431">
        <v>100</v>
      </c>
      <c r="E39" s="456" t="s">
        <v>3257</v>
      </c>
      <c r="F39" s="457">
        <f>SUMIF(115:115,E39,116:116)-SUMIF(115:115,C39,116:116)+100</f>
        <v>100</v>
      </c>
      <c r="G39" s="456" t="s">
        <v>3257</v>
      </c>
      <c r="H39" s="431">
        <f>SUMIF(115:115,G39,116:116)-SUMIF(115:115,C39,116:116)+100</f>
        <v>100</v>
      </c>
      <c r="I39" s="456" t="s">
        <v>3257</v>
      </c>
      <c r="J39" s="431">
        <f>SUMIF(115:115,I39,116:116)-SUMIF(115:115,C39,116:116)+100</f>
        <v>100</v>
      </c>
      <c r="K39" s="608">
        <v>2</v>
      </c>
      <c r="L39" s="1137"/>
      <c r="M39" s="1128"/>
      <c r="N39" s="1128"/>
      <c r="O39" s="1128"/>
      <c r="P39" s="3159" t="s">
        <v>2550</v>
      </c>
      <c r="Q39" s="1807" t="str">
        <f t="shared" si="11"/>
        <v>物业管理</v>
      </c>
      <c r="R39" s="768" t="s">
        <v>17</v>
      </c>
      <c r="S39" s="769">
        <f t="shared" si="12"/>
        <v>100</v>
      </c>
      <c r="T39" s="768" t="s">
        <v>17</v>
      </c>
      <c r="U39" s="769">
        <f t="shared" si="13"/>
        <v>100</v>
      </c>
      <c r="V39" s="768" t="s">
        <v>17</v>
      </c>
      <c r="W39" s="769">
        <f t="shared" si="14"/>
        <v>100</v>
      </c>
      <c r="X39" s="1810"/>
      <c r="Y39" s="3161" t="s">
        <v>2550</v>
      </c>
      <c r="Z39" s="1811" t="str">
        <f t="shared" si="15"/>
        <v>物业管理</v>
      </c>
      <c r="AA39" s="1808">
        <f t="shared" si="3"/>
        <v>1</v>
      </c>
      <c r="AB39" s="1808">
        <f t="shared" si="4"/>
        <v>1</v>
      </c>
      <c r="AC39" s="2670">
        <f t="shared" si="5"/>
        <v>1</v>
      </c>
    </row>
    <row r="40" spans="1:29" ht="15">
      <c r="A40" s="468"/>
      <c r="B40" s="418" t="s">
        <v>2648</v>
      </c>
      <c r="C40" s="456" t="s">
        <v>3181</v>
      </c>
      <c r="D40" s="431">
        <v>100</v>
      </c>
      <c r="E40" s="456" t="s">
        <v>3261</v>
      </c>
      <c r="F40" s="457">
        <f>SUMIF(117:117,E40,118:118)-SUMIF(117:117,C40,118:118)+100</f>
        <v>96</v>
      </c>
      <c r="G40" s="456" t="s">
        <v>3194</v>
      </c>
      <c r="H40" s="431">
        <f>SUMIF(117:117,G40,118:118)-SUMIF(117:117,C40,118:118)+100</f>
        <v>98</v>
      </c>
      <c r="I40" s="456" t="s">
        <v>3194</v>
      </c>
      <c r="J40" s="431">
        <f>SUMIF(117:117,I40,118:118)-SUMIF(117:117,C40,118:118)+100</f>
        <v>98</v>
      </c>
      <c r="K40" s="3303">
        <f>'比较法-商业'!K37</f>
        <v>2</v>
      </c>
      <c r="L40" s="1137"/>
      <c r="M40" s="1128"/>
      <c r="N40" s="1128"/>
      <c r="O40" s="1128"/>
      <c r="P40" s="3159"/>
      <c r="Q40" s="1807" t="str">
        <f t="shared" si="11"/>
        <v>市政基础设施</v>
      </c>
      <c r="R40" s="768" t="s">
        <v>17</v>
      </c>
      <c r="S40" s="769">
        <f t="shared" si="12"/>
        <v>96</v>
      </c>
      <c r="T40" s="768" t="s">
        <v>17</v>
      </c>
      <c r="U40" s="769">
        <f t="shared" si="13"/>
        <v>98</v>
      </c>
      <c r="V40" s="768" t="s">
        <v>17</v>
      </c>
      <c r="W40" s="769">
        <f t="shared" si="14"/>
        <v>98</v>
      </c>
      <c r="X40" s="1810"/>
      <c r="Y40" s="3161"/>
      <c r="Z40" s="1811" t="str">
        <f t="shared" si="15"/>
        <v>市政基础设施</v>
      </c>
      <c r="AA40" s="1808">
        <f t="shared" si="3"/>
        <v>1.0416666666666667</v>
      </c>
      <c r="AB40" s="1808">
        <f t="shared" si="4"/>
        <v>1.0204081632653061</v>
      </c>
      <c r="AC40" s="2670">
        <f t="shared" si="5"/>
        <v>1.0204081632653061</v>
      </c>
    </row>
    <row r="41" spans="1:29" ht="15">
      <c r="A41" s="468"/>
      <c r="B41" s="418" t="s">
        <v>2650</v>
      </c>
      <c r="C41" s="612" t="s">
        <v>3234</v>
      </c>
      <c r="D41" s="431">
        <v>100</v>
      </c>
      <c r="E41" s="612" t="s">
        <v>3234</v>
      </c>
      <c r="F41" s="457">
        <f>SUMIF(119:119,E41,120:120)-SUMIF(119:119,C41,120:120)+100</f>
        <v>100</v>
      </c>
      <c r="G41" s="612" t="s">
        <v>3234</v>
      </c>
      <c r="H41" s="431">
        <f>SUMIF(119:119,G41,120:120)-SUMIF(119:119,C41,120:120)+100</f>
        <v>100</v>
      </c>
      <c r="I41" s="612" t="s">
        <v>3234</v>
      </c>
      <c r="J41" s="431">
        <f>SUMIF(119:119,I41,120:120)-SUMIF(119:119,C41,120:120)+100</f>
        <v>100</v>
      </c>
      <c r="K41" s="3303">
        <f>'比较法-商业'!K39</f>
        <v>2</v>
      </c>
      <c r="L41" s="1137"/>
      <c r="M41" s="1128"/>
      <c r="N41" s="1128"/>
      <c r="O41" s="1128"/>
      <c r="P41" s="3159"/>
      <c r="Q41" s="1807" t="str">
        <f t="shared" si="11"/>
        <v>层高</v>
      </c>
      <c r="R41" s="768" t="s">
        <v>17</v>
      </c>
      <c r="S41" s="769">
        <f t="shared" si="12"/>
        <v>100</v>
      </c>
      <c r="T41" s="768" t="s">
        <v>17</v>
      </c>
      <c r="U41" s="769">
        <f t="shared" si="13"/>
        <v>100</v>
      </c>
      <c r="V41" s="768" t="s">
        <v>17</v>
      </c>
      <c r="W41" s="769">
        <f t="shared" si="14"/>
        <v>100</v>
      </c>
      <c r="X41" s="1810"/>
      <c r="Y41" s="3161"/>
      <c r="Z41" s="1811" t="str">
        <f t="shared" si="15"/>
        <v>层高</v>
      </c>
      <c r="AA41" s="1808">
        <f t="shared" si="3"/>
        <v>1</v>
      </c>
      <c r="AB41" s="1808">
        <f t="shared" si="4"/>
        <v>1</v>
      </c>
      <c r="AC41" s="2670">
        <f t="shared" si="5"/>
        <v>1</v>
      </c>
    </row>
    <row r="42" spans="1:29" s="467" customFormat="1" ht="15">
      <c r="A42" s="464"/>
      <c r="B42" s="1809" t="s">
        <v>2681</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5"/>
      <c r="M42" s="1138"/>
      <c r="N42" s="1138"/>
      <c r="O42" s="1138"/>
      <c r="P42" s="3159"/>
      <c r="Q42" s="770" t="str">
        <f t="shared" si="11"/>
        <v>单套建筑面积</v>
      </c>
      <c r="R42" s="771" t="s">
        <v>17</v>
      </c>
      <c r="S42" s="772">
        <f t="shared" si="12"/>
        <v>100</v>
      </c>
      <c r="T42" s="771" t="s">
        <v>17</v>
      </c>
      <c r="U42" s="772">
        <f t="shared" si="13"/>
        <v>100</v>
      </c>
      <c r="V42" s="771" t="s">
        <v>17</v>
      </c>
      <c r="W42" s="772">
        <f t="shared" si="14"/>
        <v>100</v>
      </c>
      <c r="X42" s="773"/>
      <c r="Y42" s="3161"/>
      <c r="Z42" s="774" t="str">
        <f t="shared" si="15"/>
        <v>单套建筑面积</v>
      </c>
      <c r="AA42" s="1808">
        <f t="shared" si="3"/>
        <v>1</v>
      </c>
      <c r="AB42" s="1808">
        <f t="shared" si="4"/>
        <v>1</v>
      </c>
      <c r="AC42" s="2670">
        <f t="shared" si="5"/>
        <v>1</v>
      </c>
    </row>
    <row r="43" spans="1:29" ht="15">
      <c r="A43" s="468"/>
      <c r="B43" s="418" t="s">
        <v>2653</v>
      </c>
      <c r="C43" s="456" t="s">
        <v>3235</v>
      </c>
      <c r="D43" s="431">
        <v>100</v>
      </c>
      <c r="E43" s="456" t="s">
        <v>3235</v>
      </c>
      <c r="F43" s="457">
        <f>SUMIF(123:123,E43,124:124)-SUMIF(123:123,C43,124:124)+100</f>
        <v>100</v>
      </c>
      <c r="G43" s="456" t="s">
        <v>3235</v>
      </c>
      <c r="H43" s="431">
        <f>SUMIF(123:123,G43,124:124)-SUMIF(123:123,C43,124:124)+100</f>
        <v>100</v>
      </c>
      <c r="I43" s="456" t="s">
        <v>3235</v>
      </c>
      <c r="J43" s="431">
        <f>SUMIF(123:123,I43,124:124)-SUMIF(123:123,C43,124:124)+100</f>
        <v>100</v>
      </c>
      <c r="K43" s="3303">
        <f>'比较法-商业'!K42</f>
        <v>1</v>
      </c>
      <c r="L43" s="1137"/>
      <c r="M43" s="1128"/>
      <c r="N43" s="1128"/>
      <c r="O43" s="1128"/>
      <c r="P43" s="3159"/>
      <c r="Q43" s="1807" t="str">
        <f t="shared" si="11"/>
        <v>内部装修</v>
      </c>
      <c r="R43" s="768" t="s">
        <v>17</v>
      </c>
      <c r="S43" s="769">
        <f t="shared" si="12"/>
        <v>100</v>
      </c>
      <c r="T43" s="768" t="s">
        <v>17</v>
      </c>
      <c r="U43" s="769">
        <f t="shared" si="13"/>
        <v>100</v>
      </c>
      <c r="V43" s="768" t="s">
        <v>17</v>
      </c>
      <c r="W43" s="769">
        <f t="shared" si="14"/>
        <v>100</v>
      </c>
      <c r="X43" s="1810"/>
      <c r="Y43" s="3161"/>
      <c r="Z43" s="1811" t="str">
        <f t="shared" si="15"/>
        <v>内部装修</v>
      </c>
      <c r="AA43" s="1808">
        <f t="shared" si="3"/>
        <v>1</v>
      </c>
      <c r="AB43" s="1808">
        <f t="shared" si="4"/>
        <v>1</v>
      </c>
      <c r="AC43" s="2670">
        <f t="shared" si="5"/>
        <v>1</v>
      </c>
    </row>
    <row r="44" spans="1:29" ht="15.75" thickBot="1">
      <c r="A44" s="468"/>
      <c r="B44" s="418" t="s">
        <v>2561</v>
      </c>
      <c r="C44" s="456" t="s">
        <v>3085</v>
      </c>
      <c r="D44" s="431">
        <v>100</v>
      </c>
      <c r="E44" s="456" t="s">
        <v>3085</v>
      </c>
      <c r="F44" s="457">
        <f>SUMIF(125:125,E44,126:126)-SUMIF(125:125,C44,126:126)+100</f>
        <v>100</v>
      </c>
      <c r="G44" s="456" t="s">
        <v>3085</v>
      </c>
      <c r="H44" s="431">
        <f>SUMIF(125:125,G44,126:126)-SUMIF(125:125,C44,126:126)+100</f>
        <v>100</v>
      </c>
      <c r="I44" s="456" t="s">
        <v>3085</v>
      </c>
      <c r="J44" s="431">
        <f>SUMIF(125:125,I44,126:126)-SUMIF(125:125,C44,126:126)+100</f>
        <v>100</v>
      </c>
      <c r="K44" s="3303">
        <f>'比较法-商业'!K43</f>
        <v>1</v>
      </c>
      <c r="L44" s="1137"/>
      <c r="M44" s="1128"/>
      <c r="N44" s="1128"/>
      <c r="O44" s="1128"/>
      <c r="P44" s="3159"/>
      <c r="Q44" s="1807" t="str">
        <f t="shared" si="11"/>
        <v>内部装修维护情况</v>
      </c>
      <c r="R44" s="768" t="s">
        <v>17</v>
      </c>
      <c r="S44" s="769">
        <f t="shared" si="12"/>
        <v>100</v>
      </c>
      <c r="T44" s="768" t="s">
        <v>17</v>
      </c>
      <c r="U44" s="769">
        <f t="shared" si="13"/>
        <v>100</v>
      </c>
      <c r="V44" s="768" t="s">
        <v>17</v>
      </c>
      <c r="W44" s="769">
        <f t="shared" si="14"/>
        <v>100</v>
      </c>
      <c r="X44" s="1810"/>
      <c r="Y44" s="3161"/>
      <c r="Z44" s="1811" t="str">
        <f t="shared" si="15"/>
        <v>内部装修维护情况</v>
      </c>
      <c r="AA44" s="1808">
        <f t="shared" si="3"/>
        <v>1</v>
      </c>
      <c r="AB44" s="1808">
        <f t="shared" si="4"/>
        <v>1</v>
      </c>
      <c r="AC44" s="2670">
        <f t="shared" si="5"/>
        <v>1</v>
      </c>
    </row>
    <row r="45" spans="1:29" s="114" customFormat="1" ht="15" hidden="1">
      <c r="A45" s="469"/>
      <c r="B45" s="1383">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9"/>
      <c r="M45" s="1130"/>
      <c r="N45" s="1130"/>
      <c r="O45" s="1130"/>
      <c r="P45" s="3159"/>
      <c r="Q45" s="1792">
        <f t="shared" si="11"/>
        <v>111</v>
      </c>
      <c r="R45" s="764" t="s">
        <v>17</v>
      </c>
      <c r="S45" s="765">
        <f t="shared" si="12"/>
        <v>100</v>
      </c>
      <c r="T45" s="764" t="s">
        <v>17</v>
      </c>
      <c r="U45" s="765">
        <f t="shared" si="13"/>
        <v>100</v>
      </c>
      <c r="V45" s="764" t="s">
        <v>17</v>
      </c>
      <c r="W45" s="765">
        <f t="shared" si="14"/>
        <v>100</v>
      </c>
      <c r="X45" s="766"/>
      <c r="Y45" s="3161"/>
      <c r="Z45" s="55">
        <f t="shared" si="15"/>
        <v>111</v>
      </c>
      <c r="AA45" s="767">
        <f t="shared" si="3"/>
        <v>1</v>
      </c>
      <c r="AB45" s="767">
        <f t="shared" si="4"/>
        <v>1</v>
      </c>
      <c r="AC45" s="2667">
        <f t="shared" si="5"/>
        <v>1</v>
      </c>
    </row>
    <row r="46" spans="1:29" ht="15" hidden="1">
      <c r="A46" s="468"/>
      <c r="B46" s="1383">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7"/>
      <c r="M46" s="1128"/>
      <c r="N46" s="1128"/>
      <c r="O46" s="1128"/>
      <c r="P46" s="3159"/>
      <c r="Q46" s="1807">
        <f t="shared" si="11"/>
        <v>111</v>
      </c>
      <c r="R46" s="768" t="s">
        <v>17</v>
      </c>
      <c r="S46" s="769">
        <f t="shared" si="12"/>
        <v>100</v>
      </c>
      <c r="T46" s="768" t="s">
        <v>17</v>
      </c>
      <c r="U46" s="769">
        <f t="shared" si="13"/>
        <v>100</v>
      </c>
      <c r="V46" s="768" t="s">
        <v>17</v>
      </c>
      <c r="W46" s="769">
        <f t="shared" si="14"/>
        <v>100</v>
      </c>
      <c r="X46" s="1810"/>
      <c r="Y46" s="3161"/>
      <c r="Z46" s="1811">
        <f t="shared" si="15"/>
        <v>111</v>
      </c>
      <c r="AA46" s="1808">
        <f t="shared" si="3"/>
        <v>1</v>
      </c>
      <c r="AB46" s="1808">
        <f t="shared" si="4"/>
        <v>1</v>
      </c>
      <c r="AC46" s="2670">
        <f t="shared" si="5"/>
        <v>1</v>
      </c>
    </row>
    <row r="47" spans="1:29" ht="15.75" hidden="1" thickBot="1">
      <c r="A47" s="474"/>
      <c r="B47" s="2598">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7"/>
      <c r="M47" s="1128"/>
      <c r="N47" s="1128"/>
      <c r="O47" s="1128"/>
      <c r="P47" s="3160"/>
      <c r="Q47" s="1807">
        <f t="shared" si="11"/>
        <v>111</v>
      </c>
      <c r="R47" s="768" t="s">
        <v>17</v>
      </c>
      <c r="S47" s="769">
        <f t="shared" si="12"/>
        <v>100</v>
      </c>
      <c r="T47" s="768" t="s">
        <v>17</v>
      </c>
      <c r="U47" s="769">
        <f t="shared" si="13"/>
        <v>100</v>
      </c>
      <c r="V47" s="768" t="s">
        <v>17</v>
      </c>
      <c r="W47" s="769">
        <f t="shared" si="14"/>
        <v>100</v>
      </c>
      <c r="X47" s="1810"/>
      <c r="Y47" s="3162"/>
      <c r="Z47" s="1811">
        <f t="shared" si="15"/>
        <v>111</v>
      </c>
      <c r="AA47" s="1808">
        <f t="shared" si="3"/>
        <v>1</v>
      </c>
      <c r="AB47" s="1808">
        <f t="shared" si="4"/>
        <v>1</v>
      </c>
      <c r="AC47" s="2670">
        <f t="shared" si="5"/>
        <v>1</v>
      </c>
    </row>
    <row r="48" spans="1:29" ht="15">
      <c r="A48" s="475" t="s">
        <v>2562</v>
      </c>
      <c r="B48" s="476"/>
      <c r="C48" s="1404" t="s">
        <v>1</v>
      </c>
      <c r="D48" s="1405"/>
      <c r="E48" s="1406">
        <v>21507</v>
      </c>
      <c r="F48" s="1407"/>
      <c r="G48" s="1408">
        <v>24763</v>
      </c>
      <c r="H48" s="1409"/>
      <c r="I48" s="1406">
        <v>24583</v>
      </c>
      <c r="J48" s="481"/>
      <c r="K48" s="777"/>
      <c r="L48" s="1140"/>
      <c r="M48" s="1128"/>
      <c r="N48" s="1128"/>
      <c r="O48" s="1128"/>
      <c r="P48" s="3165" t="str">
        <f>A48</f>
        <v>成交单价（元/平方米）</v>
      </c>
      <c r="Q48" s="3154"/>
      <c r="R48" s="3155">
        <f>E48</f>
        <v>21507</v>
      </c>
      <c r="S48" s="3155"/>
      <c r="T48" s="3155">
        <f>G48</f>
        <v>24763</v>
      </c>
      <c r="U48" s="3155"/>
      <c r="V48" s="3155">
        <f>I48</f>
        <v>24583</v>
      </c>
      <c r="W48" s="3155"/>
      <c r="X48" s="442"/>
      <c r="Y48" s="775"/>
      <c r="Z48" s="442"/>
      <c r="AA48" s="442"/>
      <c r="AB48" s="442"/>
      <c r="AC48" s="626"/>
    </row>
    <row r="49" spans="1:29" ht="15.75" thickBot="1">
      <c r="A49" s="482" t="s">
        <v>2654</v>
      </c>
      <c r="B49" s="483"/>
      <c r="C49" s="1410">
        <f>R50</f>
        <v>22469</v>
      </c>
      <c r="D49" s="1411"/>
      <c r="E49" s="1412">
        <f>R49</f>
        <v>20122</v>
      </c>
      <c r="F49" s="1412"/>
      <c r="G49" s="1410">
        <f>T49</f>
        <v>23837</v>
      </c>
      <c r="H49" s="1411"/>
      <c r="I49" s="1412">
        <f>V49</f>
        <v>23448</v>
      </c>
      <c r="J49" s="485"/>
      <c r="K49" s="778"/>
      <c r="L49" s="1140"/>
      <c r="M49" s="1128"/>
      <c r="N49" s="1128"/>
      <c r="O49" s="1128"/>
      <c r="P49" s="3165" t="str">
        <f>A49</f>
        <v>比较价值（元/平方米）</v>
      </c>
      <c r="Q49" s="3154"/>
      <c r="R49" s="3155">
        <f>IF(F1="售价",ROUND(PRODUCT(R48,AA7:AA47),0),ROUND(PRODUCT(R48,AA7:AA47),1))</f>
        <v>20122</v>
      </c>
      <c r="S49" s="3155"/>
      <c r="T49" s="3155">
        <f>IF(F1="售价",ROUND(PRODUCT(T48,AB7:AB47),0),ROUND(PRODUCT(T48,AB7:AB47),1))</f>
        <v>23837</v>
      </c>
      <c r="U49" s="3155"/>
      <c r="V49" s="3155">
        <f>IF(F1="售价",ROUND(PRODUCT(V48,AC7:AC47),0),ROUND(PRODUCT(V48,AC7:AC47),1))</f>
        <v>23448</v>
      </c>
      <c r="W49" s="3155"/>
      <c r="X49" s="442"/>
      <c r="Y49" s="442"/>
      <c r="Z49" s="442"/>
      <c r="AA49" s="442"/>
      <c r="AB49" s="442"/>
      <c r="AC49" s="626"/>
    </row>
    <row r="50" spans="1:29" ht="15.75" thickBot="1">
      <c r="A50" s="488" t="s">
        <v>2655</v>
      </c>
      <c r="B50" s="489"/>
      <c r="C50" s="1414">
        <f>R50</f>
        <v>22469</v>
      </c>
      <c r="D50" s="1414"/>
      <c r="E50" s="1414"/>
      <c r="F50" s="1414"/>
      <c r="G50" s="1414"/>
      <c r="H50" s="1414"/>
      <c r="I50" s="1414"/>
      <c r="J50" s="490"/>
      <c r="K50" s="779"/>
      <c r="L50" s="1140"/>
      <c r="M50" s="1128"/>
      <c r="N50" s="1128"/>
      <c r="O50" s="1128"/>
      <c r="P50" s="3197" t="str">
        <f>A50</f>
        <v>估价对象XX用房的比较价值（楼面单价，元/平方米）</v>
      </c>
      <c r="Q50" s="3198"/>
      <c r="R50" s="3199">
        <f>IF(F1="售价",ROUND(AVERAGE(R49:V49),0),ROUND(AVERAGE(R49:V49),1))</f>
        <v>22469</v>
      </c>
      <c r="S50" s="3199"/>
      <c r="T50" s="3199"/>
      <c r="U50" s="3199"/>
      <c r="V50" s="3199"/>
      <c r="W50" s="3199"/>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3" t="s">
        <v>2656</v>
      </c>
      <c r="D53" s="494"/>
      <c r="E53" s="495">
        <f>IF(E48&lt;E49,E49/E48-1,E48/E49-1)</f>
        <v>6.883013616936684E-2</v>
      </c>
      <c r="F53" s="496" t="str">
        <f>IF(OR(E53&gt;=0.3,E53&lt;=-0.3),"超过30%","")</f>
        <v/>
      </c>
      <c r="G53" s="495">
        <f>IF(G48&lt;G49,G49/G48-1,G48/G49-1)</f>
        <v>3.8847170365398309E-2</v>
      </c>
      <c r="H53" s="496" t="str">
        <f>IF(OR(G53&gt;=0.3,G53&lt;=-0.3),"超过30%","")</f>
        <v/>
      </c>
      <c r="I53" s="495">
        <f>IF(I48&lt;I49,I49/I48-1,I48/I49-1)</f>
        <v>4.8404981235073308E-2</v>
      </c>
      <c r="J53" s="496" t="str">
        <f>IF(OR(I53&gt;=0.3,I53&lt;=-0.3),"超过30%","")</f>
        <v/>
      </c>
      <c r="K53" s="1102"/>
      <c r="L53" s="1103"/>
      <c r="M53" s="1141"/>
      <c r="N53" s="1141"/>
      <c r="O53" s="1141"/>
    </row>
    <row r="54" spans="1:29" ht="13.5" customHeight="1">
      <c r="A54" s="1141"/>
      <c r="B54" s="1141"/>
      <c r="C54" s="493" t="s">
        <v>2657</v>
      </c>
      <c r="D54" s="497"/>
      <c r="E54" s="495">
        <f>IF(E49&lt;G49,G49/E49-1,E49/G49-1)</f>
        <v>0.18462379485140645</v>
      </c>
      <c r="F54" s="496" t="str">
        <f>IF(OR(E54&gt;=0.2,E54&lt;=-0.2),"超过20%","")</f>
        <v/>
      </c>
      <c r="G54" s="495">
        <f>IF(G49&lt;I49,I49/G49-1,G49/I49-1)</f>
        <v>1.6589901057659562E-2</v>
      </c>
      <c r="H54" s="496" t="str">
        <f>IF(OR(G54&gt;=0.2,G54&lt;=-0.2),"超过20%","")</f>
        <v/>
      </c>
      <c r="I54" s="495">
        <f>IF(I49&lt;E49,E49/I49-1,I49/E49-1)</f>
        <v>0.16529172050492003</v>
      </c>
      <c r="J54" s="496" t="str">
        <f>IF(OR(I54&gt;=0.2,I54&lt;=-0.2),"超过20%","")</f>
        <v/>
      </c>
      <c r="K54" s="1102"/>
      <c r="L54" s="1103"/>
      <c r="M54" s="1141"/>
      <c r="N54" s="1141"/>
      <c r="O54" s="1141"/>
    </row>
    <row r="55" spans="1:29" s="498" customFormat="1" ht="13.5" customHeight="1">
      <c r="A55" s="1142"/>
      <c r="B55" s="1142"/>
      <c r="C55" s="493" t="s">
        <v>2658</v>
      </c>
      <c r="D55" s="497"/>
      <c r="E55" s="495">
        <f>IF(E48&lt;G48,G48/E48-1,E48/G48-1)</f>
        <v>0.15139256986097549</v>
      </c>
      <c r="F55" s="496" t="str">
        <f>IF(OR(E55&gt;=0.3,E55&lt;=-0.3),"超过30%","")</f>
        <v/>
      </c>
      <c r="G55" s="495">
        <f>IF(G48&lt;I48,I48/G48-1,G48/I48-1)</f>
        <v>7.3221331814667945E-3</v>
      </c>
      <c r="H55" s="496" t="str">
        <f>IF(OR(G55&gt;=0.3,G55&lt;=-0.3),"超过30%","")</f>
        <v/>
      </c>
      <c r="I55" s="495">
        <f>IF(I48&lt;E48,E48/I48-1,I48/E48-1)</f>
        <v>0.14302320174826799</v>
      </c>
      <c r="J55" s="496" t="str">
        <f>IF(OR(I55&gt;=0.3,I55&lt;=-0.3),"超过30%","")</f>
        <v/>
      </c>
      <c r="K55" s="1145"/>
      <c r="L55" s="1146"/>
      <c r="M55" s="1142"/>
      <c r="N55" s="1142"/>
      <c r="O55" s="1142"/>
      <c r="P55" s="2676"/>
    </row>
    <row r="56" spans="1:29" s="498"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57" t="s">
        <v>2659</v>
      </c>
      <c r="B58" s="753"/>
      <c r="C58" s="758"/>
      <c r="D58" s="758"/>
      <c r="E58" s="758"/>
      <c r="F58" s="759"/>
      <c r="G58" s="759"/>
      <c r="H58" s="758"/>
      <c r="I58" s="758"/>
      <c r="J58" s="758"/>
      <c r="K58" s="760"/>
      <c r="L58" s="1158"/>
      <c r="M58" s="1156"/>
      <c r="N58" s="1156"/>
      <c r="O58" s="1156"/>
      <c r="P58" s="2677"/>
      <c r="Q58" s="500"/>
    </row>
    <row r="59" spans="1:29" s="504" customFormat="1" ht="15">
      <c r="A59" s="501" t="s">
        <v>2533</v>
      </c>
      <c r="B59" s="502"/>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4" customFormat="1" ht="15">
      <c r="A60" s="505"/>
      <c r="B60" s="506"/>
      <c r="C60" s="1570">
        <v>100</v>
      </c>
      <c r="D60" s="508">
        <f>'比较法-商业'!D59</f>
        <v>99.5</v>
      </c>
      <c r="E60" s="508">
        <f>'比较法-商业'!E59</f>
        <v>99</v>
      </c>
      <c r="F60" s="508">
        <f>'比较法-商业'!F59</f>
        <v>98.5</v>
      </c>
      <c r="G60" s="508">
        <f>'比较法-商业'!G59</f>
        <v>98</v>
      </c>
      <c r="H60" s="508">
        <f>'比较法-商业'!H59</f>
        <v>97.5</v>
      </c>
      <c r="I60" s="508">
        <f>'比较法-商业'!I59</f>
        <v>97</v>
      </c>
      <c r="J60" s="508">
        <f>'比较法-商业'!J59</f>
        <v>96.5</v>
      </c>
      <c r="K60" s="508">
        <f>'比较法-商业'!K59</f>
        <v>96</v>
      </c>
      <c r="L60" s="508">
        <f>'比较法-商业'!L59</f>
        <v>0</v>
      </c>
      <c r="M60" s="509"/>
      <c r="N60" s="508"/>
      <c r="O60" s="509"/>
      <c r="P60" s="2678"/>
    </row>
    <row r="61" spans="1:29" s="114" customFormat="1" ht="15.75" thickBot="1">
      <c r="A61" s="511" t="s">
        <v>2570</v>
      </c>
      <c r="B61" s="512"/>
      <c r="C61" s="513"/>
      <c r="D61" s="514"/>
      <c r="E61" s="514"/>
      <c r="F61" s="514"/>
      <c r="G61" s="514"/>
      <c r="H61" s="514"/>
      <c r="I61" s="514"/>
      <c r="J61" s="514"/>
      <c r="K61" s="514"/>
      <c r="L61" s="514"/>
      <c r="M61" s="515"/>
      <c r="N61" s="514"/>
      <c r="O61" s="515"/>
      <c r="P61" s="2678"/>
      <c r="Q61" s="500"/>
    </row>
    <row r="62" spans="1:29" s="114" customFormat="1" ht="15">
      <c r="A62" s="517" t="s">
        <v>2535</v>
      </c>
      <c r="B62" s="506"/>
      <c r="C62" s="518" t="s">
        <v>2637</v>
      </c>
      <c r="D62" s="519"/>
      <c r="E62" s="519"/>
      <c r="F62" s="519"/>
      <c r="G62" s="519"/>
      <c r="H62" s="519"/>
      <c r="I62" s="519"/>
      <c r="J62" s="519"/>
      <c r="K62" s="519"/>
      <c r="L62" s="520"/>
      <c r="M62" s="521"/>
      <c r="N62" s="1148"/>
      <c r="O62" s="1148"/>
      <c r="P62" s="2679"/>
      <c r="Q62" s="500"/>
    </row>
    <row r="63" spans="1:29" s="114" customFormat="1" ht="15.75" thickBot="1">
      <c r="A63" s="517"/>
      <c r="B63" s="506"/>
      <c r="C63" s="507">
        <v>100</v>
      </c>
      <c r="D63" s="508"/>
      <c r="E63" s="508"/>
      <c r="F63" s="508"/>
      <c r="G63" s="508"/>
      <c r="H63" s="508"/>
      <c r="I63" s="508"/>
      <c r="J63" s="508"/>
      <c r="K63" s="508"/>
      <c r="L63" s="508"/>
      <c r="M63" s="510"/>
      <c r="N63" s="1148"/>
      <c r="O63" s="1148"/>
      <c r="P63" s="2678"/>
      <c r="Q63" s="500"/>
    </row>
    <row r="64" spans="1:29">
      <c r="A64" s="523" t="s">
        <v>2573</v>
      </c>
      <c r="B64" s="524" t="s">
        <v>2539</v>
      </c>
      <c r="C64" s="525" t="str">
        <f>C9</f>
        <v>办公</v>
      </c>
      <c r="D64" s="526"/>
      <c r="E64" s="526"/>
      <c r="F64" s="526"/>
      <c r="G64" s="526"/>
      <c r="H64" s="526"/>
      <c r="I64" s="526"/>
      <c r="J64" s="526"/>
      <c r="K64" s="527"/>
      <c r="L64" s="528"/>
      <c r="M64" s="529"/>
      <c r="N64" s="1149"/>
      <c r="O64" s="1149"/>
      <c r="P64" s="2680"/>
      <c r="Q64" s="500"/>
    </row>
    <row r="65" spans="1:17" ht="15.75" thickBot="1">
      <c r="A65" s="530"/>
      <c r="B65" s="531"/>
      <c r="C65" s="532">
        <v>100</v>
      </c>
      <c r="D65" s="532"/>
      <c r="E65" s="532"/>
      <c r="F65" s="532"/>
      <c r="G65" s="532"/>
      <c r="H65" s="532"/>
      <c r="I65" s="532"/>
      <c r="J65" s="532"/>
      <c r="K65" s="532"/>
      <c r="L65" s="532"/>
      <c r="M65" s="533"/>
      <c r="N65" s="1150"/>
      <c r="O65" s="1150"/>
      <c r="P65" s="2680"/>
      <c r="Q65" s="500"/>
    </row>
    <row r="66" spans="1:17" ht="27.75" thickTop="1">
      <c r="A66" s="530"/>
      <c r="B66" s="534" t="s">
        <v>2542</v>
      </c>
      <c r="C66" s="535" t="s">
        <v>2574</v>
      </c>
      <c r="D66" s="535" t="s">
        <v>2575</v>
      </c>
      <c r="E66" s="535" t="s">
        <v>2576</v>
      </c>
      <c r="F66" s="535" t="s">
        <v>2577</v>
      </c>
      <c r="G66" s="535" t="s">
        <v>2578</v>
      </c>
      <c r="H66" s="535" t="s">
        <v>2579</v>
      </c>
      <c r="I66" s="535" t="s">
        <v>2580</v>
      </c>
      <c r="J66" s="535"/>
      <c r="K66" s="536"/>
      <c r="L66" s="537"/>
      <c r="M66" s="538"/>
      <c r="N66" s="1149"/>
      <c r="O66" s="1149"/>
      <c r="P66" s="2680"/>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50"/>
      <c r="O67" s="1150"/>
      <c r="P67" s="2680"/>
      <c r="Q67" s="500"/>
    </row>
    <row r="68" spans="1:17" ht="15.75" thickTop="1">
      <c r="A68" s="530"/>
      <c r="B68" s="542" t="s">
        <v>2543</v>
      </c>
      <c r="C68" s="543" t="str">
        <f>C69&amp;"（含）"&amp;"-"&amp;D69</f>
        <v>0（含）-1</v>
      </c>
      <c r="D68" s="543" t="str">
        <f t="shared" ref="D68:L68" si="17">D69&amp;"（含）"&amp;"-"&amp;E69</f>
        <v>1（含）-2</v>
      </c>
      <c r="E68" s="543" t="str">
        <f t="shared" si="17"/>
        <v>2（含）-3</v>
      </c>
      <c r="F68" s="543" t="str">
        <f t="shared" si="17"/>
        <v>3（含）-4</v>
      </c>
      <c r="G68" s="543" t="str">
        <f t="shared" si="17"/>
        <v>4（含）-5</v>
      </c>
      <c r="H68" s="543" t="str">
        <f t="shared" si="17"/>
        <v>5（含）-6</v>
      </c>
      <c r="I68" s="543" t="str">
        <f t="shared" si="17"/>
        <v>6（含）-</v>
      </c>
      <c r="J68" s="543" t="str">
        <f t="shared" si="17"/>
        <v>（含）-</v>
      </c>
      <c r="K68" s="543" t="str">
        <f t="shared" si="17"/>
        <v>（含）-</v>
      </c>
      <c r="L68" s="543" t="str">
        <f t="shared" si="17"/>
        <v>（含）-</v>
      </c>
      <c r="M68" s="444" t="str">
        <f>M69&amp;"（含）"&amp;"-"&amp;P69</f>
        <v>（含）-</v>
      </c>
      <c r="N68" s="1150"/>
      <c r="O68" s="1150"/>
      <c r="P68" s="2680"/>
      <c r="Q68" s="500"/>
    </row>
    <row r="69" spans="1:17" ht="15">
      <c r="A69" s="530"/>
      <c r="B69" s="544"/>
      <c r="C69" s="545">
        <f>'比较法-商业'!C68</f>
        <v>0</v>
      </c>
      <c r="D69" s="545">
        <f>'比较法-商业'!D68</f>
        <v>1</v>
      </c>
      <c r="E69" s="545">
        <f>'比较法-商业'!E68</f>
        <v>2</v>
      </c>
      <c r="F69" s="545">
        <f>'比较法-商业'!F68</f>
        <v>3</v>
      </c>
      <c r="G69" s="545">
        <f>'比较法-商业'!G68</f>
        <v>4</v>
      </c>
      <c r="H69" s="545">
        <f>'比较法-商业'!H68</f>
        <v>5</v>
      </c>
      <c r="I69" s="545">
        <f>'比较法-商业'!I68</f>
        <v>6</v>
      </c>
      <c r="J69" s="545"/>
      <c r="K69" s="546"/>
      <c r="L69" s="547"/>
      <c r="M69" s="548"/>
      <c r="N69" s="1149"/>
      <c r="O69" s="1149"/>
      <c r="P69" s="2680"/>
      <c r="Q69" s="500"/>
    </row>
    <row r="70" spans="1:17" ht="15.75" thickBot="1">
      <c r="A70" s="530"/>
      <c r="B70" s="531"/>
      <c r="C70" s="540">
        <v>100</v>
      </c>
      <c r="D70" s="540">
        <f t="shared" ref="D70:M70" si="18">C70-$K11</f>
        <v>98</v>
      </c>
      <c r="E70" s="540">
        <f t="shared" si="18"/>
        <v>96</v>
      </c>
      <c r="F70" s="540">
        <f t="shared" si="18"/>
        <v>94</v>
      </c>
      <c r="G70" s="540">
        <f t="shared" si="18"/>
        <v>92</v>
      </c>
      <c r="H70" s="540">
        <f t="shared" si="18"/>
        <v>90</v>
      </c>
      <c r="I70" s="540">
        <f t="shared" si="18"/>
        <v>88</v>
      </c>
      <c r="J70" s="540">
        <f t="shared" si="18"/>
        <v>86</v>
      </c>
      <c r="K70" s="540">
        <f t="shared" si="18"/>
        <v>84</v>
      </c>
      <c r="L70" s="540">
        <f t="shared" si="18"/>
        <v>82</v>
      </c>
      <c r="M70" s="541">
        <f t="shared" si="18"/>
        <v>80</v>
      </c>
      <c r="N70" s="1150"/>
      <c r="O70" s="1150"/>
      <c r="P70" s="2680"/>
      <c r="Q70" s="500"/>
    </row>
    <row r="71" spans="1:17" s="467" customFormat="1" ht="15.75" thickTop="1">
      <c r="A71" s="549"/>
      <c r="B71" s="534">
        <f>B12</f>
        <v>111</v>
      </c>
      <c r="C71" s="550"/>
      <c r="D71" s="550"/>
      <c r="E71" s="550"/>
      <c r="F71" s="550"/>
      <c r="G71" s="550"/>
      <c r="H71" s="551"/>
      <c r="I71" s="551"/>
      <c r="J71" s="551"/>
      <c r="K71" s="551"/>
      <c r="L71" s="552"/>
      <c r="M71" s="553"/>
      <c r="N71" s="1151"/>
      <c r="O71" s="1151"/>
      <c r="P71" s="2681"/>
      <c r="Q71" s="555"/>
    </row>
    <row r="72" spans="1:17" s="467" customFormat="1" ht="15.75" thickBot="1">
      <c r="A72" s="549"/>
      <c r="B72" s="539"/>
      <c r="C72" s="556"/>
      <c r="D72" s="532"/>
      <c r="E72" s="532"/>
      <c r="F72" s="532"/>
      <c r="G72" s="532"/>
      <c r="H72" s="532"/>
      <c r="I72" s="532"/>
      <c r="J72" s="532"/>
      <c r="K72" s="532"/>
      <c r="L72" s="532"/>
      <c r="M72" s="533"/>
      <c r="N72" s="1150"/>
      <c r="O72" s="1150"/>
      <c r="P72" s="2681"/>
      <c r="Q72" s="555"/>
    </row>
    <row r="73" spans="1:17" s="467" customFormat="1" ht="15.75" thickTop="1">
      <c r="A73" s="549"/>
      <c r="B73" s="534">
        <f>B13</f>
        <v>111</v>
      </c>
      <c r="C73" s="550"/>
      <c r="D73" s="550"/>
      <c r="E73" s="550"/>
      <c r="F73" s="550"/>
      <c r="G73" s="550"/>
      <c r="H73" s="551"/>
      <c r="I73" s="551"/>
      <c r="J73" s="551"/>
      <c r="K73" s="551"/>
      <c r="L73" s="552"/>
      <c r="M73" s="553"/>
      <c r="N73" s="1151"/>
      <c r="O73" s="1151"/>
      <c r="P73" s="2682"/>
      <c r="Q73" s="557"/>
    </row>
    <row r="74" spans="1:17" s="467" customFormat="1" ht="15.75" thickBot="1">
      <c r="A74" s="549"/>
      <c r="B74" s="539"/>
      <c r="C74" s="556"/>
      <c r="D74" s="556"/>
      <c r="E74" s="556"/>
      <c r="F74" s="556"/>
      <c r="G74" s="556"/>
      <c r="H74" s="558"/>
      <c r="I74" s="558"/>
      <c r="J74" s="558"/>
      <c r="K74" s="558"/>
      <c r="L74" s="558"/>
      <c r="M74" s="559"/>
      <c r="N74" s="1151"/>
      <c r="O74" s="1151"/>
      <c r="P74" s="2681"/>
      <c r="Q74" s="555"/>
    </row>
    <row r="75" spans="1:17" s="467" customFormat="1" ht="15.75" thickTop="1">
      <c r="A75" s="549"/>
      <c r="B75" s="542">
        <f>B14</f>
        <v>111</v>
      </c>
      <c r="C75" s="519"/>
      <c r="D75" s="519"/>
      <c r="E75" s="519"/>
      <c r="F75" s="519"/>
      <c r="G75" s="519"/>
      <c r="H75" s="560"/>
      <c r="I75" s="560"/>
      <c r="J75" s="560"/>
      <c r="K75" s="560"/>
      <c r="L75" s="561"/>
      <c r="M75" s="562"/>
      <c r="N75" s="1151"/>
      <c r="O75" s="1151"/>
      <c r="P75" s="2683"/>
      <c r="Q75" s="555"/>
    </row>
    <row r="76" spans="1:17" s="467" customFormat="1" ht="15.75" thickBot="1">
      <c r="A76" s="564"/>
      <c r="B76" s="565"/>
      <c r="C76" s="566"/>
      <c r="D76" s="566"/>
      <c r="E76" s="566"/>
      <c r="F76" s="566"/>
      <c r="G76" s="566"/>
      <c r="H76" s="567"/>
      <c r="I76" s="567"/>
      <c r="J76" s="567"/>
      <c r="K76" s="567"/>
      <c r="L76" s="567"/>
      <c r="M76" s="568"/>
      <c r="N76" s="1151"/>
      <c r="O76" s="1151"/>
      <c r="P76" s="2681"/>
      <c r="Q76" s="555"/>
    </row>
    <row r="77" spans="1:17">
      <c r="A77" s="523" t="s">
        <v>2544</v>
      </c>
      <c r="B77" s="524" t="s">
        <v>2682</v>
      </c>
      <c r="C77" s="569" t="s">
        <v>2582</v>
      </c>
      <c r="D77" s="569" t="s">
        <v>2583</v>
      </c>
      <c r="E77" s="569" t="s">
        <v>2584</v>
      </c>
      <c r="F77" s="569" t="s">
        <v>2585</v>
      </c>
      <c r="G77" s="569" t="s">
        <v>2586</v>
      </c>
      <c r="H77" s="525"/>
      <c r="I77" s="525"/>
      <c r="J77" s="525"/>
      <c r="K77" s="570"/>
      <c r="L77" s="571"/>
      <c r="M77" s="572"/>
      <c r="N77" s="1149"/>
      <c r="O77" s="1149"/>
      <c r="P77" s="2684"/>
      <c r="Q77" s="500"/>
    </row>
    <row r="78" spans="1:17" ht="15.75" thickBot="1">
      <c r="A78" s="530"/>
      <c r="B78" s="539"/>
      <c r="C78" s="540">
        <v>100</v>
      </c>
      <c r="D78" s="540">
        <f>C78-$K15</f>
        <v>98</v>
      </c>
      <c r="E78" s="540">
        <f>D78-$K15</f>
        <v>96</v>
      </c>
      <c r="F78" s="540">
        <f>E78-$K15</f>
        <v>94</v>
      </c>
      <c r="G78" s="540">
        <f>F78-$K15</f>
        <v>92</v>
      </c>
      <c r="H78" s="540"/>
      <c r="I78" s="540"/>
      <c r="J78" s="540"/>
      <c r="K78" s="540"/>
      <c r="L78" s="540"/>
      <c r="M78" s="541"/>
      <c r="N78" s="1150"/>
      <c r="O78" s="1150"/>
      <c r="P78" s="2680"/>
      <c r="Q78" s="500"/>
    </row>
    <row r="79" spans="1:17" ht="15.75" thickTop="1">
      <c r="A79" s="530"/>
      <c r="B79" s="534" t="s">
        <v>2587</v>
      </c>
      <c r="C79" s="574" t="s">
        <v>2582</v>
      </c>
      <c r="D79" s="574" t="s">
        <v>2583</v>
      </c>
      <c r="E79" s="574" t="s">
        <v>2584</v>
      </c>
      <c r="F79" s="574" t="s">
        <v>2585</v>
      </c>
      <c r="G79" s="574" t="s">
        <v>2586</v>
      </c>
      <c r="H79" s="535"/>
      <c r="I79" s="535"/>
      <c r="J79" s="535"/>
      <c r="K79" s="536"/>
      <c r="L79" s="537"/>
      <c r="M79" s="538"/>
      <c r="N79" s="1149"/>
      <c r="O79" s="1149"/>
      <c r="P79" s="2680"/>
      <c r="Q79" s="500"/>
    </row>
    <row r="80" spans="1:17" ht="15.75" thickBot="1">
      <c r="A80" s="530"/>
      <c r="B80" s="539"/>
      <c r="C80" s="540">
        <v>100</v>
      </c>
      <c r="D80" s="540">
        <f>C80-$K17</f>
        <v>98</v>
      </c>
      <c r="E80" s="540">
        <f>D80-$K17</f>
        <v>96</v>
      </c>
      <c r="F80" s="540">
        <f>E80-$K17</f>
        <v>94</v>
      </c>
      <c r="G80" s="540">
        <f>F80-$K17</f>
        <v>92</v>
      </c>
      <c r="H80" s="540"/>
      <c r="I80" s="540"/>
      <c r="J80" s="540"/>
      <c r="K80" s="540"/>
      <c r="L80" s="540"/>
      <c r="M80" s="541"/>
      <c r="N80" s="1150"/>
      <c r="O80" s="1150"/>
      <c r="P80" s="2680"/>
      <c r="Q80" s="500"/>
    </row>
    <row r="81" spans="1:17" ht="15.75" thickTop="1">
      <c r="A81" s="530"/>
      <c r="B81" s="534" t="s">
        <v>2588</v>
      </c>
      <c r="C81" s="574" t="s">
        <v>2582</v>
      </c>
      <c r="D81" s="574" t="s">
        <v>2583</v>
      </c>
      <c r="E81" s="574" t="s">
        <v>2584</v>
      </c>
      <c r="F81" s="574" t="s">
        <v>2585</v>
      </c>
      <c r="G81" s="574" t="s">
        <v>2586</v>
      </c>
      <c r="H81" s="535"/>
      <c r="I81" s="535"/>
      <c r="J81" s="535"/>
      <c r="K81" s="536"/>
      <c r="L81" s="537"/>
      <c r="M81" s="538"/>
      <c r="N81" s="1149"/>
      <c r="O81" s="1149"/>
      <c r="P81" s="2680"/>
      <c r="Q81" s="500"/>
    </row>
    <row r="82" spans="1:17" ht="15.75" thickBot="1">
      <c r="A82" s="530"/>
      <c r="B82" s="539"/>
      <c r="C82" s="540">
        <v>100</v>
      </c>
      <c r="D82" s="540">
        <f>C82-$K19</f>
        <v>98</v>
      </c>
      <c r="E82" s="540">
        <f>D82-$K19</f>
        <v>96</v>
      </c>
      <c r="F82" s="540">
        <f>E82-$K19</f>
        <v>94</v>
      </c>
      <c r="G82" s="540">
        <f>F82-$K19</f>
        <v>92</v>
      </c>
      <c r="H82" s="540"/>
      <c r="I82" s="540"/>
      <c r="J82" s="540"/>
      <c r="K82" s="540"/>
      <c r="L82" s="540"/>
      <c r="M82" s="541"/>
      <c r="N82" s="1150"/>
      <c r="O82" s="1150"/>
      <c r="P82" s="2680"/>
      <c r="Q82" s="500"/>
    </row>
    <row r="83" spans="1:17" ht="15.75" thickTop="1">
      <c r="A83" s="530"/>
      <c r="B83" s="542" t="s">
        <v>2674</v>
      </c>
      <c r="C83" s="656" t="s">
        <v>2660</v>
      </c>
      <c r="D83" s="656" t="s">
        <v>2661</v>
      </c>
      <c r="E83" s="656" t="s">
        <v>2662</v>
      </c>
      <c r="F83" s="656" t="s">
        <v>2663</v>
      </c>
      <c r="G83" s="656" t="s">
        <v>2664</v>
      </c>
      <c r="H83" s="535"/>
      <c r="I83" s="535"/>
      <c r="J83" s="535"/>
      <c r="K83" s="535"/>
      <c r="L83" s="535"/>
      <c r="M83" s="1379"/>
      <c r="N83" s="1150"/>
      <c r="O83" s="1150"/>
      <c r="P83" s="2680"/>
      <c r="Q83" s="500"/>
    </row>
    <row r="84" spans="1:17" ht="15.75" thickBot="1">
      <c r="A84" s="530"/>
      <c r="B84" s="542"/>
      <c r="C84" s="540">
        <v>100</v>
      </c>
      <c r="D84" s="540">
        <f>C84-$K21</f>
        <v>99</v>
      </c>
      <c r="E84" s="540">
        <f>D84-$K21</f>
        <v>98</v>
      </c>
      <c r="F84" s="540">
        <f>E84-$K21</f>
        <v>97</v>
      </c>
      <c r="G84" s="540">
        <f>F84-$K21</f>
        <v>96</v>
      </c>
      <c r="H84" s="656"/>
      <c r="I84" s="656"/>
      <c r="J84" s="656"/>
      <c r="K84" s="656"/>
      <c r="L84" s="656"/>
      <c r="M84" s="446"/>
      <c r="N84" s="1150"/>
      <c r="O84" s="1150"/>
      <c r="P84" s="2680"/>
      <c r="Q84" s="500"/>
    </row>
    <row r="85" spans="1:17" ht="15.75" thickTop="1">
      <c r="A85" s="530"/>
      <c r="B85" s="534" t="s">
        <v>2683</v>
      </c>
      <c r="C85" s="574" t="s">
        <v>2582</v>
      </c>
      <c r="D85" s="574" t="s">
        <v>2583</v>
      </c>
      <c r="E85" s="574" t="s">
        <v>2584</v>
      </c>
      <c r="F85" s="574" t="s">
        <v>2585</v>
      </c>
      <c r="G85" s="574" t="s">
        <v>2586</v>
      </c>
      <c r="H85" s="535"/>
      <c r="I85" s="535"/>
      <c r="J85" s="535"/>
      <c r="K85" s="536"/>
      <c r="L85" s="537"/>
      <c r="M85" s="538"/>
      <c r="N85" s="1149"/>
      <c r="O85" s="1149"/>
      <c r="P85" s="2680"/>
      <c r="Q85" s="500"/>
    </row>
    <row r="86" spans="1:17" ht="15.75" thickBot="1">
      <c r="A86" s="530"/>
      <c r="B86" s="539"/>
      <c r="C86" s="540">
        <v>100</v>
      </c>
      <c r="D86" s="540">
        <f>C86-$K23</f>
        <v>98</v>
      </c>
      <c r="E86" s="540">
        <f>D86-$K23</f>
        <v>96</v>
      </c>
      <c r="F86" s="540">
        <f>E86-$K23</f>
        <v>94</v>
      </c>
      <c r="G86" s="540">
        <f>F86-$K23</f>
        <v>92</v>
      </c>
      <c r="H86" s="540"/>
      <c r="I86" s="540"/>
      <c r="J86" s="540"/>
      <c r="K86" s="540"/>
      <c r="L86" s="540"/>
      <c r="M86" s="541"/>
      <c r="N86" s="1150"/>
      <c r="O86" s="1150"/>
      <c r="P86" s="2680"/>
      <c r="Q86" s="500"/>
    </row>
    <row r="87" spans="1:17" s="114" customFormat="1" ht="27.75" thickTop="1">
      <c r="A87" s="575"/>
      <c r="B87" s="534" t="s">
        <v>2684</v>
      </c>
      <c r="C87" s="3287" t="s">
        <v>3162</v>
      </c>
      <c r="D87" s="3287" t="s">
        <v>3163</v>
      </c>
      <c r="E87" s="3287" t="s">
        <v>3164</v>
      </c>
      <c r="F87" s="3287" t="s">
        <v>3165</v>
      </c>
      <c r="G87" s="3287" t="s">
        <v>3166</v>
      </c>
      <c r="H87" s="550"/>
      <c r="I87" s="550"/>
      <c r="J87" s="550"/>
      <c r="K87" s="550"/>
      <c r="L87" s="576"/>
      <c r="M87" s="577"/>
      <c r="N87" s="1148"/>
      <c r="O87" s="1148"/>
      <c r="P87" s="2680"/>
      <c r="Q87" s="500"/>
    </row>
    <row r="88" spans="1:17" s="114" customFormat="1" ht="15.75" thickBot="1">
      <c r="A88" s="575"/>
      <c r="B88" s="539"/>
      <c r="C88" s="578">
        <v>100</v>
      </c>
      <c r="D88" s="540">
        <f t="shared" ref="D88:M88" si="19">C88-$K25</f>
        <v>99</v>
      </c>
      <c r="E88" s="540">
        <f t="shared" si="19"/>
        <v>98</v>
      </c>
      <c r="F88" s="540">
        <f t="shared" si="19"/>
        <v>97</v>
      </c>
      <c r="G88" s="540">
        <f t="shared" si="19"/>
        <v>96</v>
      </c>
      <c r="H88" s="540">
        <f t="shared" si="19"/>
        <v>95</v>
      </c>
      <c r="I88" s="540">
        <f t="shared" si="19"/>
        <v>94</v>
      </c>
      <c r="J88" s="540">
        <f t="shared" si="19"/>
        <v>93</v>
      </c>
      <c r="K88" s="540">
        <f t="shared" si="19"/>
        <v>92</v>
      </c>
      <c r="L88" s="540">
        <f t="shared" si="19"/>
        <v>91</v>
      </c>
      <c r="M88" s="540">
        <f t="shared" si="19"/>
        <v>90</v>
      </c>
      <c r="N88" s="1150"/>
      <c r="O88" s="1150"/>
      <c r="P88" s="2680"/>
      <c r="Q88" s="500"/>
    </row>
    <row r="89" spans="1:17" s="114" customFormat="1" ht="15.75" thickTop="1">
      <c r="A89" s="575"/>
      <c r="B89" s="534" t="str">
        <f>B27</f>
        <v>楼层</v>
      </c>
      <c r="C89" s="3287" t="s">
        <v>3247</v>
      </c>
      <c r="D89" s="3287" t="s">
        <v>3248</v>
      </c>
      <c r="E89" s="3287" t="s">
        <v>3249</v>
      </c>
      <c r="F89" s="2631"/>
      <c r="G89" s="550"/>
      <c r="H89" s="550"/>
      <c r="I89" s="550"/>
      <c r="J89" s="550"/>
      <c r="K89" s="550"/>
      <c r="L89" s="550"/>
      <c r="M89" s="577"/>
      <c r="N89" s="1148"/>
      <c r="O89" s="1148"/>
      <c r="P89" s="2680"/>
      <c r="Q89" s="500"/>
    </row>
    <row r="90" spans="1:17" s="114"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0"/>
      <c r="O90" s="1150"/>
      <c r="P90" s="2680"/>
      <c r="Q90" s="500"/>
    </row>
    <row r="91" spans="1:17" s="467" customFormat="1" ht="15.75" thickTop="1">
      <c r="A91" s="549"/>
      <c r="B91" s="534" t="str">
        <f>B28</f>
        <v>朝向</v>
      </c>
      <c r="C91" s="550"/>
      <c r="D91" s="550"/>
      <c r="E91" s="550"/>
      <c r="F91" s="550"/>
      <c r="G91" s="550"/>
      <c r="H91" s="551"/>
      <c r="I91" s="551"/>
      <c r="J91" s="551"/>
      <c r="K91" s="551"/>
      <c r="L91" s="552"/>
      <c r="M91" s="553"/>
      <c r="N91" s="1151"/>
      <c r="O91" s="1151"/>
      <c r="P91" s="2681"/>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1"/>
      <c r="O92" s="1151"/>
      <c r="P92" s="2681"/>
      <c r="Q92" s="555"/>
    </row>
    <row r="93" spans="1:17" ht="15.75" thickTop="1">
      <c r="A93" s="530"/>
      <c r="B93" s="534">
        <f>B29</f>
        <v>111</v>
      </c>
      <c r="C93" s="550"/>
      <c r="D93" s="550"/>
      <c r="E93" s="550"/>
      <c r="F93" s="550"/>
      <c r="G93" s="550"/>
      <c r="H93" s="550"/>
      <c r="I93" s="550"/>
      <c r="J93" s="550"/>
      <c r="K93" s="550"/>
      <c r="L93" s="576"/>
      <c r="M93" s="577"/>
      <c r="N93" s="1149"/>
      <c r="O93" s="1149"/>
      <c r="P93" s="2680"/>
      <c r="Q93" s="500"/>
    </row>
    <row r="94" spans="1:17" ht="15.75" thickBot="1">
      <c r="A94" s="530"/>
      <c r="B94" s="539"/>
      <c r="C94" s="556"/>
      <c r="D94" s="532"/>
      <c r="E94" s="532"/>
      <c r="F94" s="532"/>
      <c r="G94" s="532"/>
      <c r="H94" s="532"/>
      <c r="I94" s="532"/>
      <c r="J94" s="532"/>
      <c r="K94" s="532"/>
      <c r="L94" s="532"/>
      <c r="M94" s="533"/>
      <c r="N94" s="1150"/>
      <c r="O94" s="1150"/>
      <c r="P94" s="2680"/>
      <c r="Q94" s="500"/>
    </row>
    <row r="95" spans="1:17" ht="15.75" thickTop="1">
      <c r="A95" s="530"/>
      <c r="B95" s="534">
        <f>B30</f>
        <v>111</v>
      </c>
      <c r="C95" s="550"/>
      <c r="D95" s="550"/>
      <c r="E95" s="550"/>
      <c r="F95" s="550"/>
      <c r="G95" s="579"/>
      <c r="H95" s="579"/>
      <c r="I95" s="579"/>
      <c r="J95" s="579"/>
      <c r="K95" s="580"/>
      <c r="L95" s="581"/>
      <c r="M95" s="582"/>
      <c r="N95" s="1149"/>
      <c r="O95" s="1149"/>
      <c r="P95" s="2680"/>
      <c r="Q95" s="500"/>
    </row>
    <row r="96" spans="1:17" ht="15.75" thickBot="1">
      <c r="A96" s="530"/>
      <c r="B96" s="539"/>
      <c r="C96" s="556"/>
      <c r="D96" s="556"/>
      <c r="E96" s="556"/>
      <c r="F96" s="556"/>
      <c r="G96" s="532"/>
      <c r="H96" s="532"/>
      <c r="I96" s="532"/>
      <c r="J96" s="532"/>
      <c r="K96" s="532"/>
      <c r="L96" s="532"/>
      <c r="M96" s="533"/>
      <c r="N96" s="1150"/>
      <c r="O96" s="1150"/>
      <c r="P96" s="2680"/>
      <c r="Q96" s="500"/>
    </row>
    <row r="97" spans="1:17" ht="15.75" thickTop="1">
      <c r="A97" s="530"/>
      <c r="B97" s="534">
        <f>B31</f>
        <v>111</v>
      </c>
      <c r="C97" s="550"/>
      <c r="D97" s="550"/>
      <c r="E97" s="550"/>
      <c r="F97" s="550"/>
      <c r="G97" s="579"/>
      <c r="H97" s="579"/>
      <c r="I97" s="579"/>
      <c r="J97" s="579"/>
      <c r="K97" s="580"/>
      <c r="L97" s="581"/>
      <c r="M97" s="582"/>
      <c r="N97" s="1149"/>
      <c r="O97" s="1149"/>
      <c r="P97" s="2680"/>
      <c r="Q97" s="500"/>
    </row>
    <row r="98" spans="1:17" ht="15.75" thickBot="1">
      <c r="A98" s="530"/>
      <c r="B98" s="539"/>
      <c r="C98" s="556"/>
      <c r="D98" s="532"/>
      <c r="E98" s="532"/>
      <c r="F98" s="532"/>
      <c r="G98" s="532"/>
      <c r="H98" s="532"/>
      <c r="I98" s="532"/>
      <c r="J98" s="532"/>
      <c r="K98" s="532"/>
      <c r="L98" s="532"/>
      <c r="M98" s="533"/>
      <c r="N98" s="1150"/>
      <c r="O98" s="1150"/>
      <c r="P98" s="2680"/>
      <c r="Q98" s="500"/>
    </row>
    <row r="99" spans="1:17" ht="15.75" thickTop="1">
      <c r="A99" s="530"/>
      <c r="B99" s="542">
        <f>B32</f>
        <v>111</v>
      </c>
      <c r="C99" s="519"/>
      <c r="D99" s="519"/>
      <c r="E99" s="519"/>
      <c r="F99" s="519"/>
      <c r="G99" s="583"/>
      <c r="H99" s="583"/>
      <c r="I99" s="583"/>
      <c r="J99" s="583"/>
      <c r="K99" s="584"/>
      <c r="L99" s="585"/>
      <c r="M99" s="586"/>
      <c r="N99" s="1149"/>
      <c r="O99" s="1149"/>
      <c r="P99" s="2680"/>
      <c r="Q99" s="500"/>
    </row>
    <row r="100" spans="1:17" ht="15.75" thickBot="1">
      <c r="A100" s="2632"/>
      <c r="B100" s="565"/>
      <c r="C100" s="566"/>
      <c r="D100" s="566"/>
      <c r="E100" s="566"/>
      <c r="F100" s="566"/>
      <c r="G100" s="587"/>
      <c r="H100" s="587"/>
      <c r="I100" s="587"/>
      <c r="J100" s="587"/>
      <c r="K100" s="587"/>
      <c r="L100" s="587"/>
      <c r="M100" s="588"/>
      <c r="N100" s="1150"/>
      <c r="O100" s="1150"/>
      <c r="P100" s="2680"/>
      <c r="Q100" s="500"/>
    </row>
    <row r="101" spans="1:17">
      <c r="A101" s="523" t="s">
        <v>2548</v>
      </c>
      <c r="B101" s="524" t="s">
        <v>2597</v>
      </c>
      <c r="C101" s="3286" t="s">
        <v>3250</v>
      </c>
      <c r="D101" s="526"/>
      <c r="E101" s="526"/>
      <c r="F101" s="526"/>
      <c r="G101" s="526"/>
      <c r="H101" s="526"/>
      <c r="I101" s="526"/>
      <c r="J101" s="526"/>
      <c r="K101" s="527"/>
      <c r="L101" s="528"/>
      <c r="M101" s="529"/>
      <c r="N101" s="1149"/>
      <c r="O101" s="1149"/>
      <c r="P101" s="2680"/>
      <c r="Q101" s="500"/>
    </row>
    <row r="102" spans="1:17" ht="15.75" thickBot="1">
      <c r="A102" s="530"/>
      <c r="B102" s="539"/>
      <c r="C102" s="540">
        <v>100</v>
      </c>
      <c r="D102" s="540">
        <f t="shared" ref="D102:M102" si="22">C102-$K33</f>
        <v>92</v>
      </c>
      <c r="E102" s="540">
        <f t="shared" si="22"/>
        <v>84</v>
      </c>
      <c r="F102" s="540">
        <f t="shared" si="22"/>
        <v>76</v>
      </c>
      <c r="G102" s="540">
        <f t="shared" si="22"/>
        <v>68</v>
      </c>
      <c r="H102" s="540">
        <f t="shared" si="22"/>
        <v>60</v>
      </c>
      <c r="I102" s="540">
        <f t="shared" si="22"/>
        <v>52</v>
      </c>
      <c r="J102" s="540">
        <f t="shared" si="22"/>
        <v>44</v>
      </c>
      <c r="K102" s="540">
        <f t="shared" si="22"/>
        <v>36</v>
      </c>
      <c r="L102" s="540">
        <f t="shared" si="22"/>
        <v>28</v>
      </c>
      <c r="M102" s="541">
        <f t="shared" si="22"/>
        <v>20</v>
      </c>
      <c r="N102" s="1150"/>
      <c r="O102" s="1150"/>
      <c r="P102" s="2680"/>
      <c r="Q102" s="500"/>
    </row>
    <row r="103" spans="1:17" ht="15.75" thickTop="1">
      <c r="A103" s="530"/>
      <c r="B103" s="534" t="s">
        <v>2598</v>
      </c>
      <c r="C103" s="574" t="str">
        <f>C104&amp;"(含)"&amp;"-"&amp;D104</f>
        <v>0(含)-10000</v>
      </c>
      <c r="D103" s="574" t="str">
        <f t="shared" ref="D103:L103" si="23">D104&amp;"(含)"&amp;"-"&amp;E104</f>
        <v>10000(含)-20000</v>
      </c>
      <c r="E103" s="574" t="str">
        <f t="shared" si="23"/>
        <v>20000(含)-50000</v>
      </c>
      <c r="F103" s="574" t="str">
        <f t="shared" si="23"/>
        <v>50000(含)-100000</v>
      </c>
      <c r="G103" s="574" t="str">
        <f t="shared" si="23"/>
        <v>100000(含)-200000</v>
      </c>
      <c r="H103" s="574" t="str">
        <f t="shared" si="23"/>
        <v>200000(含)-500000</v>
      </c>
      <c r="I103" s="574" t="str">
        <f t="shared" si="23"/>
        <v>500000(含)-1000000</v>
      </c>
      <c r="J103" s="574" t="str">
        <f t="shared" si="23"/>
        <v>1000000(含)-0</v>
      </c>
      <c r="K103" s="574" t="str">
        <f t="shared" si="23"/>
        <v>0(含)-</v>
      </c>
      <c r="L103" s="574" t="str">
        <f t="shared" si="23"/>
        <v>(含)-</v>
      </c>
      <c r="M103" s="618" t="str">
        <f>M104&amp;"(含)"&amp;"-"&amp;P104</f>
        <v>(含)-</v>
      </c>
      <c r="N103" s="1148"/>
      <c r="O103" s="1148"/>
      <c r="P103" s="2680"/>
      <c r="Q103" s="500"/>
    </row>
    <row r="104" spans="1:17" s="467" customFormat="1">
      <c r="A104" s="589"/>
      <c r="B104" s="590"/>
      <c r="C104" s="591">
        <f>'比较法-商业'!C103</f>
        <v>0</v>
      </c>
      <c r="D104" s="591">
        <f>'比较法-商业'!D103</f>
        <v>10000</v>
      </c>
      <c r="E104" s="591">
        <f>'比较法-商业'!E103</f>
        <v>20000</v>
      </c>
      <c r="F104" s="591">
        <f>'比较法-商业'!F103</f>
        <v>50000</v>
      </c>
      <c r="G104" s="591">
        <f>'比较法-商业'!G103</f>
        <v>100000</v>
      </c>
      <c r="H104" s="591">
        <f>'比较法-商业'!H103</f>
        <v>200000</v>
      </c>
      <c r="I104" s="591">
        <f>'比较法-商业'!I103</f>
        <v>500000</v>
      </c>
      <c r="J104" s="591">
        <f>'比较法-商业'!J103</f>
        <v>1000000</v>
      </c>
      <c r="K104" s="591">
        <f>'比较法-商业'!K103</f>
        <v>0</v>
      </c>
      <c r="L104" s="593"/>
      <c r="M104" s="594"/>
      <c r="N104" s="1151"/>
      <c r="O104" s="1151"/>
      <c r="P104" s="2681"/>
      <c r="Q104" s="555"/>
    </row>
    <row r="105" spans="1:17" s="467" customFormat="1" ht="15.75" thickBot="1">
      <c r="A105" s="549"/>
      <c r="B105" s="539"/>
      <c r="C105" s="556">
        <f>'比较法-商业'!C104</f>
        <v>100</v>
      </c>
      <c r="D105" s="556">
        <f>'比较法-商业'!D104</f>
        <v>101</v>
      </c>
      <c r="E105" s="556">
        <f>'比较法-商业'!E104</f>
        <v>102</v>
      </c>
      <c r="F105" s="556">
        <f>'比较法-商业'!F104</f>
        <v>103</v>
      </c>
      <c r="G105" s="556">
        <f>'比较法-商业'!G104</f>
        <v>104</v>
      </c>
      <c r="H105" s="556">
        <f>'比较法-商业'!H104</f>
        <v>105</v>
      </c>
      <c r="I105" s="556">
        <f>'比较法-商业'!I104</f>
        <v>106</v>
      </c>
      <c r="J105" s="556">
        <f>'比较法-商业'!J104</f>
        <v>107</v>
      </c>
      <c r="K105" s="556">
        <f>'比较法-商业'!K104</f>
        <v>0</v>
      </c>
      <c r="L105" s="532"/>
      <c r="M105" s="533"/>
      <c r="N105" s="1150"/>
      <c r="O105" s="1150"/>
      <c r="P105" s="2681"/>
      <c r="Q105" s="555"/>
    </row>
    <row r="106" spans="1:17" ht="15" thickTop="1">
      <c r="A106" s="595"/>
      <c r="B106" s="534" t="s">
        <v>2599</v>
      </c>
      <c r="C106" s="550" t="str">
        <f>'比较法-商业'!C105</f>
        <v>钢混</v>
      </c>
      <c r="D106" s="550"/>
      <c r="E106" s="579"/>
      <c r="F106" s="579"/>
      <c r="G106" s="579"/>
      <c r="H106" s="579"/>
      <c r="I106" s="579"/>
      <c r="J106" s="579"/>
      <c r="K106" s="580"/>
      <c r="L106" s="581"/>
      <c r="M106" s="582"/>
      <c r="N106" s="1149"/>
      <c r="O106" s="1149"/>
      <c r="P106" s="2680"/>
      <c r="Q106" s="500"/>
    </row>
    <row r="107" spans="1:17" ht="15.75" thickBot="1">
      <c r="A107" s="530"/>
      <c r="B107" s="539"/>
      <c r="C107" s="540">
        <v>100</v>
      </c>
      <c r="D107" s="540">
        <f t="shared" ref="D107:M107" si="24">C107-$K35</f>
        <v>99</v>
      </c>
      <c r="E107" s="540">
        <f t="shared" si="24"/>
        <v>98</v>
      </c>
      <c r="F107" s="540">
        <f t="shared" si="24"/>
        <v>97</v>
      </c>
      <c r="G107" s="540">
        <f t="shared" si="24"/>
        <v>96</v>
      </c>
      <c r="H107" s="540">
        <f t="shared" si="24"/>
        <v>95</v>
      </c>
      <c r="I107" s="540">
        <f t="shared" si="24"/>
        <v>94</v>
      </c>
      <c r="J107" s="540">
        <f t="shared" si="24"/>
        <v>93</v>
      </c>
      <c r="K107" s="540">
        <f t="shared" si="24"/>
        <v>92</v>
      </c>
      <c r="L107" s="540">
        <f t="shared" si="24"/>
        <v>91</v>
      </c>
      <c r="M107" s="541">
        <f t="shared" si="24"/>
        <v>90</v>
      </c>
      <c r="N107" s="1150"/>
      <c r="O107" s="1150"/>
      <c r="P107" s="2680"/>
      <c r="Q107" s="500"/>
    </row>
    <row r="108" spans="1:17" ht="15" thickTop="1">
      <c r="A108" s="595"/>
      <c r="B108" s="534" t="s">
        <v>2601</v>
      </c>
      <c r="C108" s="550" t="str">
        <f>'比较法-商业'!C107</f>
        <v>精装</v>
      </c>
      <c r="D108" s="550" t="str">
        <f>'比较法-商业'!D107</f>
        <v>普装</v>
      </c>
      <c r="E108" s="550" t="str">
        <f>'比较法-商业'!E107</f>
        <v>简装</v>
      </c>
      <c r="F108" s="550" t="str">
        <f>'比较法-商业'!F107</f>
        <v>毛坯</v>
      </c>
      <c r="G108" s="550">
        <f>'比较法-商业'!G107</f>
        <v>0</v>
      </c>
      <c r="H108" s="550">
        <f>'比较法-商业'!H107</f>
        <v>0</v>
      </c>
      <c r="I108" s="550">
        <f>'比较法-商业'!I107</f>
        <v>0</v>
      </c>
      <c r="J108" s="579"/>
      <c r="K108" s="580"/>
      <c r="L108" s="581"/>
      <c r="M108" s="582"/>
      <c r="N108" s="1149"/>
      <c r="O108" s="1149"/>
      <c r="P108" s="2680"/>
      <c r="Q108" s="500"/>
    </row>
    <row r="109" spans="1:17" ht="15.75" thickBot="1">
      <c r="A109" s="530"/>
      <c r="B109" s="539"/>
      <c r="C109" s="540">
        <v>100</v>
      </c>
      <c r="D109" s="540">
        <f t="shared" ref="D109:M109" si="25">C109-$K36</f>
        <v>99</v>
      </c>
      <c r="E109" s="540">
        <f t="shared" si="25"/>
        <v>98</v>
      </c>
      <c r="F109" s="540">
        <f t="shared" si="25"/>
        <v>97</v>
      </c>
      <c r="G109" s="540">
        <f t="shared" si="25"/>
        <v>96</v>
      </c>
      <c r="H109" s="540">
        <f t="shared" si="25"/>
        <v>95</v>
      </c>
      <c r="I109" s="540">
        <f t="shared" si="25"/>
        <v>94</v>
      </c>
      <c r="J109" s="540">
        <f t="shared" si="25"/>
        <v>93</v>
      </c>
      <c r="K109" s="540">
        <f t="shared" si="25"/>
        <v>92</v>
      </c>
      <c r="L109" s="540">
        <f t="shared" si="25"/>
        <v>91</v>
      </c>
      <c r="M109" s="541">
        <f t="shared" si="25"/>
        <v>90</v>
      </c>
      <c r="N109" s="1150"/>
      <c r="O109" s="1150"/>
      <c r="P109" s="2680"/>
      <c r="Q109" s="500"/>
    </row>
    <row r="110" spans="1:17" ht="15" thickTop="1">
      <c r="A110" s="595"/>
      <c r="B110" s="534" t="s">
        <v>1991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9"/>
      <c r="O110" s="1149"/>
      <c r="P110" s="2680"/>
      <c r="Q110" s="500"/>
    </row>
    <row r="111" spans="1:17">
      <c r="A111" s="595"/>
      <c r="B111" s="542"/>
      <c r="C111" s="599">
        <v>0.5</v>
      </c>
      <c r="D111" s="599">
        <v>0.6</v>
      </c>
      <c r="E111" s="599">
        <v>0.7</v>
      </c>
      <c r="F111" s="599">
        <v>0.8</v>
      </c>
      <c r="G111" s="599">
        <v>0.9</v>
      </c>
      <c r="H111" s="599">
        <v>1.0001</v>
      </c>
      <c r="I111" s="619"/>
      <c r="J111" s="619"/>
      <c r="K111" s="620"/>
      <c r="L111" s="621"/>
      <c r="M111" s="622"/>
      <c r="N111" s="1149"/>
      <c r="O111" s="1149"/>
      <c r="P111" s="2680"/>
      <c r="Q111" s="500"/>
    </row>
    <row r="112" spans="1:17" ht="15.75" thickBot="1">
      <c r="A112" s="530"/>
      <c r="B112" s="539"/>
      <c r="C112" s="578">
        <v>100</v>
      </c>
      <c r="D112" s="540">
        <f>C112+$K37</f>
        <v>101</v>
      </c>
      <c r="E112" s="540">
        <f t="shared" ref="E112:M112" si="26">D112+$K37</f>
        <v>102</v>
      </c>
      <c r="F112" s="540">
        <f t="shared" si="26"/>
        <v>103</v>
      </c>
      <c r="G112" s="540">
        <f t="shared" si="26"/>
        <v>104</v>
      </c>
      <c r="H112" s="540">
        <f t="shared" si="26"/>
        <v>105</v>
      </c>
      <c r="I112" s="540">
        <f t="shared" si="26"/>
        <v>106</v>
      </c>
      <c r="J112" s="540">
        <f t="shared" si="26"/>
        <v>107</v>
      </c>
      <c r="K112" s="540">
        <f t="shared" si="26"/>
        <v>108</v>
      </c>
      <c r="L112" s="540">
        <f t="shared" si="26"/>
        <v>109</v>
      </c>
      <c r="M112" s="540">
        <f t="shared" si="26"/>
        <v>110</v>
      </c>
      <c r="N112" s="1150"/>
      <c r="O112" s="1150"/>
      <c r="P112" s="2680"/>
      <c r="Q112" s="500"/>
    </row>
    <row r="113" spans="1:17" s="467" customFormat="1" ht="15" thickTop="1">
      <c r="A113" s="589"/>
      <c r="B113" s="534" t="s">
        <v>2685</v>
      </c>
      <c r="C113" s="3287" t="s">
        <v>3251</v>
      </c>
      <c r="D113" s="3287" t="s">
        <v>3252</v>
      </c>
      <c r="E113" s="550"/>
      <c r="F113" s="550"/>
      <c r="G113" s="550"/>
      <c r="H113" s="579"/>
      <c r="I113" s="579"/>
      <c r="J113" s="579"/>
      <c r="K113" s="580"/>
      <c r="L113" s="581"/>
      <c r="M113" s="582"/>
      <c r="N113" s="1151"/>
      <c r="O113" s="1151"/>
      <c r="P113" s="2681"/>
      <c r="Q113" s="555"/>
    </row>
    <row r="114" spans="1:17" s="467" customFormat="1" ht="15.75" thickBot="1">
      <c r="A114" s="549"/>
      <c r="B114" s="539"/>
      <c r="C114" s="540">
        <v>100</v>
      </c>
      <c r="D114" s="540">
        <f>C114-$K38</f>
        <v>95</v>
      </c>
      <c r="E114" s="540">
        <f t="shared" ref="E114:M114" si="27">D114-$K38</f>
        <v>90</v>
      </c>
      <c r="F114" s="540">
        <f t="shared" si="27"/>
        <v>85</v>
      </c>
      <c r="G114" s="540">
        <f t="shared" si="27"/>
        <v>80</v>
      </c>
      <c r="H114" s="540">
        <f t="shared" si="27"/>
        <v>75</v>
      </c>
      <c r="I114" s="540">
        <f t="shared" si="27"/>
        <v>70</v>
      </c>
      <c r="J114" s="540">
        <f t="shared" si="27"/>
        <v>65</v>
      </c>
      <c r="K114" s="540">
        <f t="shared" si="27"/>
        <v>60</v>
      </c>
      <c r="L114" s="540">
        <f t="shared" si="27"/>
        <v>55</v>
      </c>
      <c r="M114" s="540">
        <f t="shared" si="27"/>
        <v>50</v>
      </c>
      <c r="N114" s="1151"/>
      <c r="O114" s="1151"/>
      <c r="P114" s="2681"/>
      <c r="Q114" s="555"/>
    </row>
    <row r="115" spans="1:17" ht="15" thickTop="1">
      <c r="A115" s="595"/>
      <c r="B115" s="534" t="s">
        <v>2602</v>
      </c>
      <c r="C115" s="3287" t="s">
        <v>3253</v>
      </c>
      <c r="D115" s="550"/>
      <c r="E115" s="579"/>
      <c r="F115" s="579"/>
      <c r="G115" s="579"/>
      <c r="H115" s="579"/>
      <c r="I115" s="579"/>
      <c r="J115" s="579"/>
      <c r="K115" s="580"/>
      <c r="L115" s="581"/>
      <c r="M115" s="582"/>
      <c r="N115" s="1149"/>
      <c r="O115" s="1149"/>
      <c r="P115" s="2680"/>
      <c r="Q115" s="500"/>
    </row>
    <row r="116" spans="1:17" ht="15.75" thickBot="1">
      <c r="A116" s="530"/>
      <c r="B116" s="539"/>
      <c r="C116" s="540">
        <v>100</v>
      </c>
      <c r="D116" s="540">
        <f t="shared" ref="D116:M116" si="28">C116-$K39</f>
        <v>98</v>
      </c>
      <c r="E116" s="540">
        <f t="shared" si="28"/>
        <v>96</v>
      </c>
      <c r="F116" s="540">
        <f t="shared" si="28"/>
        <v>94</v>
      </c>
      <c r="G116" s="540">
        <f t="shared" si="28"/>
        <v>92</v>
      </c>
      <c r="H116" s="540">
        <f t="shared" si="28"/>
        <v>90</v>
      </c>
      <c r="I116" s="540">
        <f t="shared" si="28"/>
        <v>88</v>
      </c>
      <c r="J116" s="540">
        <f t="shared" si="28"/>
        <v>86</v>
      </c>
      <c r="K116" s="540">
        <f t="shared" si="28"/>
        <v>84</v>
      </c>
      <c r="L116" s="540">
        <f t="shared" si="28"/>
        <v>82</v>
      </c>
      <c r="M116" s="541">
        <f t="shared" si="28"/>
        <v>80</v>
      </c>
      <c r="N116" s="1150"/>
      <c r="O116" s="1150"/>
      <c r="P116" s="2680"/>
      <c r="Q116" s="500"/>
    </row>
    <row r="117" spans="1:17" ht="15" thickTop="1">
      <c r="A117" s="595"/>
      <c r="B117" s="534" t="s">
        <v>2603</v>
      </c>
      <c r="C117" s="3287" t="s">
        <v>3172</v>
      </c>
      <c r="D117" s="3287" t="s">
        <v>3173</v>
      </c>
      <c r="E117" s="3287" t="s">
        <v>3174</v>
      </c>
      <c r="F117" s="3287" t="s">
        <v>3175</v>
      </c>
      <c r="G117" s="3287" t="s">
        <v>3176</v>
      </c>
      <c r="H117" s="579"/>
      <c r="I117" s="579"/>
      <c r="J117" s="579"/>
      <c r="K117" s="580"/>
      <c r="L117" s="581"/>
      <c r="M117" s="582"/>
      <c r="N117" s="1149"/>
      <c r="O117" s="1149"/>
      <c r="P117" s="2680"/>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50"/>
      <c r="O118" s="1150"/>
      <c r="P118" s="2680"/>
      <c r="Q118" s="500"/>
    </row>
    <row r="119" spans="1:17" ht="15" thickTop="1">
      <c r="A119" s="595"/>
      <c r="B119" s="632" t="s">
        <v>2686</v>
      </c>
      <c r="C119" s="3287" t="s">
        <v>3227</v>
      </c>
      <c r="D119" s="3287" t="s">
        <v>3254</v>
      </c>
      <c r="E119" s="3287" t="s">
        <v>3228</v>
      </c>
      <c r="F119" s="579"/>
      <c r="G119" s="579"/>
      <c r="H119" s="579"/>
      <c r="I119" s="579"/>
      <c r="J119" s="579"/>
      <c r="K119" s="579"/>
      <c r="L119" s="2685"/>
      <c r="M119" s="2686"/>
      <c r="N119" s="1150"/>
      <c r="O119" s="1150"/>
      <c r="P119" s="2687"/>
      <c r="Q119" s="634"/>
    </row>
    <row r="120" spans="1:17" ht="15.75" thickBot="1">
      <c r="A120" s="530"/>
      <c r="B120" s="539"/>
      <c r="C120" s="578">
        <v>100</v>
      </c>
      <c r="D120" s="540">
        <f>C120-$K41</f>
        <v>98</v>
      </c>
      <c r="E120" s="540">
        <f t="shared" ref="E120:M120" si="29">D120-$K41</f>
        <v>96</v>
      </c>
      <c r="F120" s="540">
        <f t="shared" si="29"/>
        <v>94</v>
      </c>
      <c r="G120" s="540">
        <f t="shared" si="29"/>
        <v>92</v>
      </c>
      <c r="H120" s="540">
        <f t="shared" si="29"/>
        <v>90</v>
      </c>
      <c r="I120" s="540">
        <f t="shared" si="29"/>
        <v>88</v>
      </c>
      <c r="J120" s="540">
        <f t="shared" si="29"/>
        <v>86</v>
      </c>
      <c r="K120" s="540">
        <f t="shared" si="29"/>
        <v>84</v>
      </c>
      <c r="L120" s="540">
        <f t="shared" si="29"/>
        <v>82</v>
      </c>
      <c r="M120" s="540">
        <f t="shared" si="29"/>
        <v>80</v>
      </c>
      <c r="N120" s="1150"/>
      <c r="O120" s="1150"/>
      <c r="P120" s="2680"/>
      <c r="Q120" s="500"/>
    </row>
    <row r="121" spans="1:17" s="467" customFormat="1" ht="15" thickTop="1">
      <c r="A121" s="589"/>
      <c r="B121" s="534" t="s">
        <v>2669</v>
      </c>
      <c r="C121" s="550"/>
      <c r="D121" s="550"/>
      <c r="E121" s="550"/>
      <c r="F121" s="579"/>
      <c r="G121" s="551"/>
      <c r="H121" s="551"/>
      <c r="I121" s="551"/>
      <c r="J121" s="551"/>
      <c r="K121" s="551"/>
      <c r="L121" s="552"/>
      <c r="M121" s="553"/>
      <c r="N121" s="1151"/>
      <c r="O121" s="1151"/>
      <c r="P121" s="2681"/>
      <c r="Q121" s="555"/>
    </row>
    <row r="122" spans="1:17" s="467" customFormat="1" ht="15.75" thickBot="1">
      <c r="A122" s="549"/>
      <c r="B122" s="531"/>
      <c r="C122" s="556"/>
      <c r="D122" s="556"/>
      <c r="E122" s="556"/>
      <c r="F122" s="556"/>
      <c r="G122" s="556"/>
      <c r="H122" s="556"/>
      <c r="I122" s="556"/>
      <c r="J122" s="556"/>
      <c r="K122" s="556"/>
      <c r="L122" s="556"/>
      <c r="M122" s="556"/>
      <c r="N122" s="1151"/>
      <c r="O122" s="1151"/>
      <c r="P122" s="2681"/>
      <c r="Q122" s="555"/>
    </row>
    <row r="123" spans="1:17" ht="15" thickTop="1">
      <c r="A123" s="595"/>
      <c r="B123" s="534" t="s">
        <v>2605</v>
      </c>
      <c r="C123" s="3287" t="s">
        <v>3221</v>
      </c>
      <c r="D123" s="3287" t="s">
        <v>3222</v>
      </c>
      <c r="E123" s="3287" t="s">
        <v>3223</v>
      </c>
      <c r="F123" s="3288" t="s">
        <v>3224</v>
      </c>
      <c r="G123" s="579"/>
      <c r="H123" s="579"/>
      <c r="I123" s="579"/>
      <c r="J123" s="579"/>
      <c r="K123" s="580"/>
      <c r="L123" s="581"/>
      <c r="M123" s="582"/>
      <c r="N123" s="1149"/>
      <c r="O123" s="1149"/>
      <c r="P123" s="2680"/>
      <c r="Q123" s="500"/>
    </row>
    <row r="124" spans="1:17" ht="15.75" thickBot="1">
      <c r="A124" s="530"/>
      <c r="B124" s="539"/>
      <c r="C124" s="540">
        <v>100</v>
      </c>
      <c r="D124" s="540">
        <f t="shared" ref="D124:M124" si="30">C124-$K43</f>
        <v>99</v>
      </c>
      <c r="E124" s="540">
        <f t="shared" si="30"/>
        <v>98</v>
      </c>
      <c r="F124" s="540">
        <f t="shared" si="30"/>
        <v>97</v>
      </c>
      <c r="G124" s="540">
        <f t="shared" si="30"/>
        <v>96</v>
      </c>
      <c r="H124" s="540">
        <f t="shared" si="30"/>
        <v>95</v>
      </c>
      <c r="I124" s="540">
        <f t="shared" si="30"/>
        <v>94</v>
      </c>
      <c r="J124" s="540">
        <f t="shared" si="30"/>
        <v>93</v>
      </c>
      <c r="K124" s="540">
        <f t="shared" si="30"/>
        <v>92</v>
      </c>
      <c r="L124" s="540">
        <f t="shared" si="30"/>
        <v>91</v>
      </c>
      <c r="M124" s="541">
        <f t="shared" si="30"/>
        <v>90</v>
      </c>
      <c r="N124" s="1150"/>
      <c r="O124" s="1150"/>
      <c r="P124" s="2680"/>
      <c r="Q124" s="500"/>
    </row>
    <row r="125" spans="1:17" ht="15" thickTop="1">
      <c r="A125" s="595"/>
      <c r="B125" s="534" t="s">
        <v>2606</v>
      </c>
      <c r="C125" s="574" t="s">
        <v>2582</v>
      </c>
      <c r="D125" s="574" t="s">
        <v>2583</v>
      </c>
      <c r="E125" s="574" t="s">
        <v>2584</v>
      </c>
      <c r="F125" s="574" t="s">
        <v>2585</v>
      </c>
      <c r="G125" s="574" t="s">
        <v>2586</v>
      </c>
      <c r="H125" s="535"/>
      <c r="I125" s="535"/>
      <c r="J125" s="535"/>
      <c r="K125" s="536"/>
      <c r="L125" s="537"/>
      <c r="M125" s="538"/>
      <c r="N125" s="1149"/>
      <c r="O125" s="1149"/>
      <c r="P125" s="2681"/>
      <c r="Q125" s="500"/>
    </row>
    <row r="126" spans="1:17" ht="15.75" thickBot="1">
      <c r="A126" s="530"/>
      <c r="B126" s="539"/>
      <c r="C126" s="540">
        <v>100</v>
      </c>
      <c r="D126" s="540">
        <f>C126-$K44</f>
        <v>99</v>
      </c>
      <c r="E126" s="540">
        <f>D126-$K44</f>
        <v>98</v>
      </c>
      <c r="F126" s="540">
        <f>E126-$K44</f>
        <v>97</v>
      </c>
      <c r="G126" s="540">
        <f>F126-$K44</f>
        <v>96</v>
      </c>
      <c r="H126" s="540"/>
      <c r="I126" s="540"/>
      <c r="J126" s="540"/>
      <c r="K126" s="540"/>
      <c r="L126" s="540"/>
      <c r="M126" s="541"/>
      <c r="N126" s="1150"/>
      <c r="O126" s="1150"/>
      <c r="P126" s="2680"/>
      <c r="Q126" s="500"/>
    </row>
    <row r="127" spans="1:17" s="467" customFormat="1" ht="15" thickTop="1">
      <c r="A127" s="589"/>
      <c r="B127" s="534">
        <f>B45</f>
        <v>111</v>
      </c>
      <c r="C127" s="550"/>
      <c r="D127" s="550"/>
      <c r="E127" s="550"/>
      <c r="F127" s="550"/>
      <c r="G127" s="550"/>
      <c r="H127" s="551"/>
      <c r="I127" s="551"/>
      <c r="J127" s="551"/>
      <c r="K127" s="551"/>
      <c r="L127" s="552"/>
      <c r="M127" s="553"/>
      <c r="N127" s="1151"/>
      <c r="O127" s="1151"/>
      <c r="P127" s="2681"/>
      <c r="Q127" s="555"/>
    </row>
    <row r="128" spans="1:17" s="467" customFormat="1" ht="15.75" thickBot="1">
      <c r="A128" s="549"/>
      <c r="B128" s="539"/>
      <c r="C128" s="556"/>
      <c r="D128" s="532"/>
      <c r="E128" s="532"/>
      <c r="F128" s="532"/>
      <c r="G128" s="556"/>
      <c r="H128" s="558"/>
      <c r="I128" s="558"/>
      <c r="J128" s="558"/>
      <c r="K128" s="558"/>
      <c r="L128" s="558"/>
      <c r="M128" s="559"/>
      <c r="N128" s="1151"/>
      <c r="O128" s="1151"/>
      <c r="P128" s="2681"/>
      <c r="Q128" s="555"/>
    </row>
    <row r="129" spans="1:17" ht="15" thickTop="1">
      <c r="A129" s="595"/>
      <c r="B129" s="534">
        <f>B46</f>
        <v>111</v>
      </c>
      <c r="C129" s="550"/>
      <c r="D129" s="550"/>
      <c r="E129" s="550"/>
      <c r="F129" s="550"/>
      <c r="G129" s="579"/>
      <c r="H129" s="579"/>
      <c r="I129" s="579"/>
      <c r="J129" s="579"/>
      <c r="K129" s="580"/>
      <c r="L129" s="581"/>
      <c r="M129" s="582"/>
      <c r="N129" s="1149"/>
      <c r="O129" s="1149"/>
      <c r="P129" s="2680"/>
      <c r="Q129" s="500"/>
    </row>
    <row r="130" spans="1:17" ht="15.75" thickBot="1">
      <c r="A130" s="530"/>
      <c r="B130" s="539"/>
      <c r="C130" s="556"/>
      <c r="D130" s="556"/>
      <c r="E130" s="556"/>
      <c r="F130" s="556"/>
      <c r="G130" s="532"/>
      <c r="H130" s="532"/>
      <c r="I130" s="532"/>
      <c r="J130" s="532"/>
      <c r="K130" s="532"/>
      <c r="L130" s="532"/>
      <c r="M130" s="533"/>
      <c r="N130" s="1150"/>
      <c r="O130" s="1150"/>
      <c r="P130" s="2680"/>
      <c r="Q130" s="500"/>
    </row>
    <row r="131" spans="1:17" ht="15" thickTop="1">
      <c r="A131" s="595"/>
      <c r="B131" s="542">
        <f>B47</f>
        <v>111</v>
      </c>
      <c r="C131" s="519"/>
      <c r="D131" s="519"/>
      <c r="E131" s="519"/>
      <c r="F131" s="519"/>
      <c r="G131" s="583"/>
      <c r="H131" s="583"/>
      <c r="I131" s="583"/>
      <c r="J131" s="583"/>
      <c r="K131" s="519"/>
      <c r="L131" s="520"/>
      <c r="M131" s="586"/>
      <c r="N131" s="1149"/>
      <c r="O131" s="1149"/>
      <c r="P131" s="2680"/>
      <c r="Q131" s="500"/>
    </row>
    <row r="132" spans="1:17" ht="15.75" thickBot="1">
      <c r="A132" s="2632"/>
      <c r="B132" s="565"/>
      <c r="C132" s="566"/>
      <c r="D132" s="566"/>
      <c r="E132" s="566"/>
      <c r="F132" s="566"/>
      <c r="G132" s="587"/>
      <c r="H132" s="587"/>
      <c r="I132" s="587"/>
      <c r="J132" s="587"/>
      <c r="K132" s="587"/>
      <c r="L132" s="587"/>
      <c r="M132" s="588"/>
      <c r="N132" s="1150"/>
      <c r="O132" s="1150"/>
      <c r="P132" s="2680"/>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1589</v>
      </c>
      <c r="B1" s="776"/>
      <c r="C1" s="1834" t="s">
        <v>48</v>
      </c>
      <c r="D1" s="1817" t="s">
        <v>3197</v>
      </c>
      <c r="E1" s="1818" t="s">
        <v>1387</v>
      </c>
      <c r="F1" s="1280">
        <f ca="1">J53</f>
        <v>45.89</v>
      </c>
      <c r="G1" s="1833">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0" t="s">
        <v>1515</v>
      </c>
      <c r="B2" s="1841">
        <f ca="1">C40+J29+L46</f>
        <v>6057</v>
      </c>
      <c r="C2" s="1842" t="s">
        <v>1516</v>
      </c>
      <c r="D2" s="1842"/>
      <c r="E2" s="1843"/>
      <c r="F2" s="1844"/>
      <c r="G2" s="1845"/>
      <c r="H2" s="1837"/>
      <c r="I2" s="1837"/>
      <c r="J2" s="1837"/>
      <c r="K2" s="1838"/>
      <c r="L2" s="1837"/>
      <c r="M2" s="1837"/>
    </row>
    <row r="3" spans="1:37" ht="18" customHeight="1" thickBot="1">
      <c r="A3" s="1846" t="s">
        <v>1517</v>
      </c>
      <c r="B3" s="1847">
        <f ca="1">IF(ISERROR(B2*10000/F43),0,ROUND(B2*10000/F43,0))</f>
        <v>1724</v>
      </c>
      <c r="C3" s="1842" t="s">
        <v>1518</v>
      </c>
      <c r="D3" s="1842"/>
      <c r="E3" s="1843"/>
      <c r="F3" s="1844"/>
      <c r="G3" s="1845"/>
      <c r="H3" s="738" t="s">
        <v>1588</v>
      </c>
      <c r="I3" s="1837"/>
      <c r="J3" s="1837"/>
      <c r="K3" s="1838"/>
      <c r="L3" s="1837"/>
      <c r="M3" s="1837"/>
    </row>
    <row r="4" spans="1:37" ht="18" customHeight="1">
      <c r="A4" s="336" t="s">
        <v>1396</v>
      </c>
      <c r="B4" s="337" t="s">
        <v>1397</v>
      </c>
      <c r="C4" s="337" t="s">
        <v>1398</v>
      </c>
      <c r="D4" s="337" t="s">
        <v>1399</v>
      </c>
      <c r="E4" s="338" t="s">
        <v>1400</v>
      </c>
      <c r="F4" s="339"/>
      <c r="G4" s="1848"/>
      <c r="H4" s="336" t="s">
        <v>1396</v>
      </c>
      <c r="I4" s="337" t="s">
        <v>1397</v>
      </c>
      <c r="J4" s="337" t="s">
        <v>1398</v>
      </c>
      <c r="K4" s="337" t="s">
        <v>1399</v>
      </c>
      <c r="L4" s="338" t="s">
        <v>1400</v>
      </c>
      <c r="M4" s="339"/>
    </row>
    <row r="5" spans="1:37" ht="18" customHeight="1">
      <c r="A5" s="340">
        <v>1</v>
      </c>
      <c r="B5" s="341" t="s">
        <v>1401</v>
      </c>
      <c r="C5" s="1289">
        <f ca="1">C6+C10+C12</f>
        <v>683</v>
      </c>
      <c r="D5" s="1819" t="s">
        <v>1402</v>
      </c>
      <c r="E5" s="1290"/>
      <c r="F5" s="1291"/>
      <c r="G5" s="1848"/>
      <c r="H5" s="340">
        <v>1</v>
      </c>
      <c r="I5" s="341" t="s">
        <v>1401</v>
      </c>
      <c r="J5" s="1289">
        <f ca="1">J6+J10+J12</f>
        <v>0</v>
      </c>
      <c r="K5" s="1819" t="s">
        <v>1402</v>
      </c>
      <c r="L5" s="1290"/>
      <c r="M5" s="1291"/>
    </row>
    <row r="6" spans="1:37" ht="18" customHeight="1">
      <c r="A6" s="1288" t="s">
        <v>1035</v>
      </c>
      <c r="B6" s="3126" t="s">
        <v>1403</v>
      </c>
      <c r="C6" s="1293">
        <f ca="1">ROUND(F6*F8*F7*(1-F9)/10000,0)</f>
        <v>682</v>
      </c>
      <c r="D6" s="160" t="s">
        <v>3018</v>
      </c>
      <c r="E6" s="343" t="s">
        <v>1405</v>
      </c>
      <c r="F6" s="344">
        <f ca="1">INDIRECT("'数据-取费表'!u"&amp;$G$1)</f>
        <v>500</v>
      </c>
      <c r="G6" s="1848"/>
      <c r="H6" s="1288" t="s">
        <v>1035</v>
      </c>
      <c r="I6" s="3126" t="s">
        <v>1403</v>
      </c>
      <c r="J6" s="342">
        <f ca="1">ROUND(M6*M8*M7*(1-M9)/10000,0)</f>
        <v>0</v>
      </c>
      <c r="K6" s="160" t="s">
        <v>3017</v>
      </c>
      <c r="L6" s="343" t="s">
        <v>1405</v>
      </c>
      <c r="M6" s="344">
        <f ca="1">INDIRECT("'数据-取费表'!z"&amp;$G$1)</f>
        <v>0</v>
      </c>
    </row>
    <row r="7" spans="1:37" ht="18" customHeight="1">
      <c r="A7" s="1292"/>
      <c r="B7" s="3127"/>
      <c r="C7" s="1294"/>
      <c r="D7" s="348"/>
      <c r="E7" s="1295" t="s">
        <v>1406</v>
      </c>
      <c r="F7" s="344">
        <f ca="1">IF(INDIRECT("'数据-取费表'!ah"&amp;$G$1)="",INDIRECT("'数据-取费表'!k"&amp;$G$1),INDIRECT("'数据-取费表'!ah"&amp;$G$1))</f>
        <v>1263</v>
      </c>
      <c r="G7" s="1848"/>
      <c r="H7" s="345"/>
      <c r="I7" s="3127"/>
      <c r="J7" s="347"/>
      <c r="K7" s="348"/>
      <c r="L7" s="343" t="s">
        <v>1406</v>
      </c>
      <c r="M7" s="344">
        <f ca="1">F7</f>
        <v>1263</v>
      </c>
    </row>
    <row r="8" spans="1:37" ht="18" customHeight="1">
      <c r="A8" s="345"/>
      <c r="B8" s="3127"/>
      <c r="C8" s="347"/>
      <c r="D8" s="348"/>
      <c r="E8" s="343" t="s">
        <v>1407</v>
      </c>
      <c r="F8" s="344">
        <f ca="1">INDIRECT("'数据-取费表'!ai"&amp;$G$1)</f>
        <v>12</v>
      </c>
      <c r="G8" s="1848"/>
      <c r="H8" s="345"/>
      <c r="I8" s="3127"/>
      <c r="J8" s="347"/>
      <c r="K8" s="348"/>
      <c r="L8" s="343" t="s">
        <v>1407</v>
      </c>
      <c r="M8" s="344">
        <f ca="1">INDIRECT("'数据-取费表'!ai"&amp;$G$1)</f>
        <v>12</v>
      </c>
    </row>
    <row r="9" spans="1:37" ht="18" customHeight="1">
      <c r="A9" s="345"/>
      <c r="B9" s="3128"/>
      <c r="C9" s="347"/>
      <c r="D9" s="348"/>
      <c r="E9" s="343" t="s">
        <v>1408</v>
      </c>
      <c r="F9" s="353">
        <f ca="1">INDIRECT("'数据-取费表'!w"&amp;$G$1)</f>
        <v>0.1</v>
      </c>
      <c r="G9" s="1848"/>
      <c r="H9" s="345"/>
      <c r="I9" s="3128"/>
      <c r="J9" s="347"/>
      <c r="K9" s="348"/>
      <c r="L9" s="354" t="s">
        <v>1408</v>
      </c>
      <c r="M9" s="355">
        <f ca="1">INDIRECT("'数据-取费表'!ab"&amp;$G$1)</f>
        <v>0</v>
      </c>
    </row>
    <row r="10" spans="1:37" ht="18" customHeight="1">
      <c r="A10" s="1288" t="s">
        <v>1039</v>
      </c>
      <c r="B10" s="1820" t="s">
        <v>1409</v>
      </c>
      <c r="C10" s="357">
        <f ca="1">ROUND(IF(F10="押一",C6/12*F11,IF(F10="押二",C6/12*2*F11,IF(F10="押三",C6/12*3*F11,C11*F11))),0)</f>
        <v>1</v>
      </c>
      <c r="D10" s="1821" t="s">
        <v>3027</v>
      </c>
      <c r="E10" s="354" t="s">
        <v>1410</v>
      </c>
      <c r="F10" s="1363" t="s">
        <v>3198</v>
      </c>
      <c r="G10" s="1848"/>
      <c r="H10" s="1288" t="s">
        <v>1039</v>
      </c>
      <c r="I10" s="1820" t="s">
        <v>1409</v>
      </c>
      <c r="J10" s="342">
        <f ca="1">ROUND(IF(M10="押一",J6/12*M11,IF(M10="押二",J6/12*2*M11,IF(M10="押三",J6/12*3*M11,J11*M11))),0)</f>
        <v>0</v>
      </c>
      <c r="K10" s="1821" t="s">
        <v>3026</v>
      </c>
      <c r="L10" s="354" t="s">
        <v>1410</v>
      </c>
      <c r="M10" s="1363" t="s">
        <v>1411</v>
      </c>
    </row>
    <row r="11" spans="1:37" ht="18" customHeight="1">
      <c r="A11" s="349"/>
      <c r="B11" s="1822" t="s">
        <v>1388</v>
      </c>
      <c r="C11" s="1175"/>
      <c r="D11" s="1823"/>
      <c r="E11" s="354" t="s">
        <v>1412</v>
      </c>
      <c r="F11" s="355">
        <f ca="1">'数据-取费表'!B39</f>
        <v>1.4999999999999999E-2</v>
      </c>
      <c r="G11" s="1848"/>
      <c r="H11" s="1296"/>
      <c r="I11" s="1822" t="s">
        <v>1388</v>
      </c>
      <c r="J11" s="1175"/>
      <c r="K11" s="742"/>
      <c r="L11" s="354"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1">
        <f ca="1">ROUND(C29*F13,0)</f>
        <v>15483</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3" t="s">
        <v>1417</v>
      </c>
      <c r="C14" s="359">
        <f ca="1">INDIRECT("'数据-取费表'!m"&amp;$G$1)+INDIRECT("'数据-取费表'!t"&amp;$G$1)</f>
        <v>10820</v>
      </c>
      <c r="D14" s="1797" t="s">
        <v>1418</v>
      </c>
      <c r="E14" s="1791"/>
      <c r="F14" s="360"/>
      <c r="G14" s="1848"/>
      <c r="H14" s="1198" t="s">
        <v>1035</v>
      </c>
      <c r="I14" s="343" t="s">
        <v>1419</v>
      </c>
      <c r="J14" s="24">
        <f ca="1">C29</f>
        <v>15483</v>
      </c>
      <c r="K14" s="15"/>
      <c r="L14" s="976"/>
      <c r="M14" s="977"/>
    </row>
    <row r="15" spans="1:37" s="1855" customFormat="1" ht="18" customHeight="1" thickBot="1">
      <c r="A15" s="1198" t="s">
        <v>1036</v>
      </c>
      <c r="B15" s="343" t="s">
        <v>1420</v>
      </c>
      <c r="C15" s="24">
        <f ca="1">ROUND(C14*F15,0)</f>
        <v>325</v>
      </c>
      <c r="D15" s="361" t="s">
        <v>1421</v>
      </c>
      <c r="E15" s="361" t="s">
        <v>1422</v>
      </c>
      <c r="F15" s="362">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3" t="s">
        <v>1423</v>
      </c>
      <c r="C16" s="24">
        <f ca="1">ROUND(INDIRECT("'数据-取费表'!m"&amp;$G$1)*F16,0)</f>
        <v>0</v>
      </c>
      <c r="D16" s="343" t="s">
        <v>1421</v>
      </c>
      <c r="E16" s="343" t="s">
        <v>1422</v>
      </c>
      <c r="F16" s="363">
        <f ca="1">IF(INDIRECT("'数据-取费表'!c"&amp;$G$1)="住宅",'数据-取费表'!B34,0)</f>
        <v>0</v>
      </c>
      <c r="G16" s="1848"/>
      <c r="H16" s="1326" t="s">
        <v>1030</v>
      </c>
      <c r="I16" s="1327" t="s">
        <v>1424</v>
      </c>
      <c r="J16" s="351">
        <f ca="1">ROUND(J17+J22+J23+J24,0)</f>
        <v>286</v>
      </c>
      <c r="K16" s="1334" t="s">
        <v>1425</v>
      </c>
      <c r="L16" s="1335"/>
      <c r="M16" s="1291"/>
    </row>
    <row r="17" spans="1:37" s="1855" customFormat="1" ht="18" customHeight="1">
      <c r="A17" s="1198" t="s">
        <v>1390</v>
      </c>
      <c r="B17" s="343" t="s">
        <v>1426</v>
      </c>
      <c r="C17" s="24">
        <f ca="1">ROUND(F17*(F43+INDIRECT("'数据-取费表'!S"&amp;$G$1))/10000,0)</f>
        <v>721</v>
      </c>
      <c r="D17" s="343" t="s">
        <v>1427</v>
      </c>
      <c r="E17" s="343" t="s">
        <v>1428</v>
      </c>
      <c r="F17" s="26">
        <f>'数据-取费表'!B35</f>
        <v>200</v>
      </c>
      <c r="G17" s="1851"/>
      <c r="H17" s="1198" t="s">
        <v>1035</v>
      </c>
      <c r="I17" s="343" t="s">
        <v>1429</v>
      </c>
      <c r="J17" s="24">
        <f ca="1">ROUND(IF(项目基本情况!B11="自然人",J5*M17,J18+J19+J20),1)</f>
        <v>131.4</v>
      </c>
      <c r="K17" s="1797" t="s">
        <v>1430</v>
      </c>
      <c r="L17" s="1795" t="s">
        <v>1431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3" t="s">
        <v>1432</v>
      </c>
      <c r="C18" s="24">
        <f ca="1">ROUND(C14*F18,0)</f>
        <v>162</v>
      </c>
      <c r="D18" s="343" t="s">
        <v>1421</v>
      </c>
      <c r="E18" s="343" t="s">
        <v>1422</v>
      </c>
      <c r="F18" s="363">
        <f>'数据-取费表'!B36</f>
        <v>1.4999999999999999E-2</v>
      </c>
      <c r="G18" s="1851"/>
      <c r="H18" s="1198" t="s">
        <v>1034</v>
      </c>
      <c r="I18" s="343" t="s">
        <v>1433</v>
      </c>
      <c r="J18" s="24">
        <f ca="1">ROUND(J5*M18/(1+'数据-取费表'!C42),2)</f>
        <v>0</v>
      </c>
      <c r="K18" s="1795" t="s">
        <v>1434</v>
      </c>
      <c r="L18" s="343" t="s">
        <v>1422</v>
      </c>
      <c r="M18" s="363">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3" t="s">
        <v>1435</v>
      </c>
      <c r="C19" s="24">
        <f ca="1">SUM(C14:C18)</f>
        <v>12028</v>
      </c>
      <c r="D19" s="136" t="s">
        <v>1436</v>
      </c>
      <c r="E19" s="1815"/>
      <c r="F19" s="26"/>
      <c r="G19" s="1848"/>
      <c r="H19" s="1198" t="s">
        <v>1036</v>
      </c>
      <c r="I19" s="343" t="s">
        <v>1437</v>
      </c>
      <c r="J19" s="24">
        <f ca="1">IF(K19="按租金收入计税",ROUND(J5*M19,2),ROUND(C29*M19*0.7,2))</f>
        <v>130.06</v>
      </c>
      <c r="K19" s="1825" t="s">
        <v>1438</v>
      </c>
      <c r="L19" s="343" t="s">
        <v>1422</v>
      </c>
      <c r="M19" s="363">
        <f>IF(K19="按租金收入计税",'数据-取费表'!B51,'数据-取费表'!B50)</f>
        <v>1.2E-2</v>
      </c>
    </row>
    <row r="20" spans="1:37" s="1855" customFormat="1" ht="18" customHeight="1">
      <c r="A20" s="1198" t="s">
        <v>1039</v>
      </c>
      <c r="B20" s="343" t="s">
        <v>1439</v>
      </c>
      <c r="C20" s="24">
        <f ca="1">ROUND(C19*F20,0)</f>
        <v>180</v>
      </c>
      <c r="D20" s="365" t="s">
        <v>1440</v>
      </c>
      <c r="E20" s="343" t="s">
        <v>1422</v>
      </c>
      <c r="F20" s="363">
        <f>'数据-取费表'!B37</f>
        <v>1.4999999999999999E-2</v>
      </c>
      <c r="G20" s="1851"/>
      <c r="H20" s="1198" t="s">
        <v>1389</v>
      </c>
      <c r="I20" s="160" t="s">
        <v>1441</v>
      </c>
      <c r="J20" s="25">
        <f ca="1">ROUND(M20*M21/10000,2)</f>
        <v>1.3</v>
      </c>
      <c r="K20" s="366" t="s">
        <v>1442</v>
      </c>
      <c r="L20" s="343" t="s">
        <v>1443</v>
      </c>
      <c r="M20" s="367">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3" t="s">
        <v>1444</v>
      </c>
      <c r="C21" s="24" t="s">
        <v>18</v>
      </c>
      <c r="D21" s="365" t="s">
        <v>1445</v>
      </c>
      <c r="E21" s="343" t="s">
        <v>1446</v>
      </c>
      <c r="F21" s="363">
        <f>'数据-取费表'!B38</f>
        <v>0.02</v>
      </c>
      <c r="G21" s="1851"/>
      <c r="H21" s="368"/>
      <c r="I21" s="352"/>
      <c r="J21" s="29"/>
      <c r="K21" s="369"/>
      <c r="L21" s="343" t="s">
        <v>1447</v>
      </c>
      <c r="M21" s="344">
        <f ca="1">INDIRECT("'数据-取费表'!r"&amp;$G$1)</f>
        <v>8647.6200000000008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3" t="s">
        <v>1448</v>
      </c>
      <c r="C22" s="24"/>
      <c r="D22" s="136" t="str">
        <f>IF(F23&lt;=1,"单利计息。","复利计息。")&amp;"建造成本、管理费用、销售费用产生的利息。"</f>
        <v>复利计息。建造成本、管理费用、销售费用产生的利息。</v>
      </c>
      <c r="E22" s="1815"/>
      <c r="F22" s="26"/>
      <c r="G22" s="1848"/>
      <c r="H22" s="1198" t="s">
        <v>1039</v>
      </c>
      <c r="I22" s="343" t="s">
        <v>1449</v>
      </c>
      <c r="J22" s="24">
        <f ca="1">ROUND(J14*M22,1)</f>
        <v>154.80000000000001</v>
      </c>
      <c r="K22" s="1795" t="s">
        <v>1450</v>
      </c>
      <c r="L22" s="343" t="s">
        <v>1422</v>
      </c>
      <c r="M22" s="370">
        <f ca="1">INDIRECT("'数据-取费表'!Ak"&amp;$G$1)</f>
        <v>0.01</v>
      </c>
    </row>
    <row r="23" spans="1:37" s="1855" customFormat="1" ht="18" customHeight="1">
      <c r="A23" s="1198" t="s">
        <v>1034</v>
      </c>
      <c r="B23" s="343" t="s">
        <v>1451</v>
      </c>
      <c r="C23" s="24">
        <f ca="1">IF('数据-取费表'!B22&lt;=1,ROUND(C19*F24*F23/2,0)+ROUND(C20*F24*F23/2,0),ROUND(C19*(POWER((1+F24),F23/2)-1),0)+ROUND(C20*(POWER((1+F24),F23/2)-1),0))</f>
        <v>880</v>
      </c>
      <c r="D23" s="371" t="str">
        <f>IF(F23&lt;=1,"(建造成本+管理费用)×利率×(建设周期÷2)","(建造成本+管理费用)×((1+利率)^(建设周期÷2)-1)")</f>
        <v>(建造成本+管理费用)×((1+利率)^(建设周期÷2)-1)</v>
      </c>
      <c r="E23" s="343" t="s">
        <v>1452</v>
      </c>
      <c r="F23" s="367">
        <f>'数据-取费表'!B20</f>
        <v>3</v>
      </c>
      <c r="G23" s="1851"/>
      <c r="H23" s="1198" t="s">
        <v>1075</v>
      </c>
      <c r="I23" s="343" t="s">
        <v>1453</v>
      </c>
      <c r="J23" s="24">
        <f ca="1">ROUND(J13*M23,1)</f>
        <v>0</v>
      </c>
      <c r="K23" s="1795" t="s">
        <v>1454</v>
      </c>
      <c r="L23" s="343" t="s">
        <v>1455</v>
      </c>
      <c r="M23" s="372">
        <f ca="1">INDIRECT("'数据-取费表'!Al"&amp;$G$1)</f>
        <v>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3" t="s">
        <v>1461</v>
      </c>
      <c r="C25" s="24"/>
      <c r="D25" s="136" t="s">
        <v>1462</v>
      </c>
      <c r="E25" s="1815"/>
      <c r="F25" s="26"/>
      <c r="G25" s="1848"/>
      <c r="H25" s="1326" t="s">
        <v>1031</v>
      </c>
      <c r="I25" s="1341" t="s">
        <v>1463</v>
      </c>
      <c r="J25" s="351">
        <f ca="1">J5-J16</f>
        <v>-286</v>
      </c>
      <c r="K25" s="1342" t="s">
        <v>1464</v>
      </c>
      <c r="L25" s="1343"/>
      <c r="M25" s="1344"/>
    </row>
    <row r="26" spans="1:37">
      <c r="A26" s="1198" t="s">
        <v>1034</v>
      </c>
      <c r="B26" s="343" t="s">
        <v>1465</v>
      </c>
      <c r="C26" s="24">
        <f ca="1">ROUND((C19+C20)*F26,0)</f>
        <v>1221</v>
      </c>
      <c r="D26" s="365" t="s">
        <v>1466</v>
      </c>
      <c r="E26" s="354" t="s">
        <v>1467</v>
      </c>
      <c r="F26" s="353">
        <f ca="1">INDIRECT("'数据-取费表'!q"&amp;$G$1)</f>
        <v>0.1</v>
      </c>
      <c r="G26" s="1848"/>
      <c r="H26" s="340" t="s">
        <v>1032</v>
      </c>
      <c r="I26" s="341" t="s">
        <v>1468</v>
      </c>
      <c r="J26" s="342">
        <f ca="1">IF(J5&lt;&gt;0,ROUND(J25*(1-((1+M28)/(1+M26))^M27)/(M26-M28),0),0)</f>
        <v>0</v>
      </c>
      <c r="K26" s="366" t="s">
        <v>1469</v>
      </c>
      <c r="L26" s="343" t="s">
        <v>1470</v>
      </c>
      <c r="M26" s="353">
        <f ca="1">INDIRECT("'数据-取费表'!I"&amp;$G$1)</f>
        <v>0.05</v>
      </c>
    </row>
    <row r="27" spans="1:37" ht="18" customHeight="1">
      <c r="A27" s="1198" t="s">
        <v>1036</v>
      </c>
      <c r="B27" s="343" t="s">
        <v>1471</v>
      </c>
      <c r="C27" s="24">
        <f ca="1">ROUND(F21*F26,4)</f>
        <v>2E-3</v>
      </c>
      <c r="D27" s="365" t="s">
        <v>1472</v>
      </c>
      <c r="E27" s="361"/>
      <c r="F27" s="362"/>
      <c r="G27" s="1848"/>
      <c r="H27" s="345"/>
      <c r="I27" s="346"/>
      <c r="J27" s="347"/>
      <c r="K27" s="374" t="s">
        <v>1473</v>
      </c>
      <c r="L27" s="343" t="s">
        <v>1474</v>
      </c>
      <c r="M27" s="375">
        <f ca="1">INDIRECT("'数据-取费表'!ag"&amp;$G$1)</f>
        <v>0</v>
      </c>
    </row>
    <row r="28" spans="1:37" s="1855" customFormat="1" ht="18" customHeight="1">
      <c r="A28" s="1198" t="s">
        <v>1037</v>
      </c>
      <c r="B28" s="343" t="s">
        <v>1475</v>
      </c>
      <c r="C28" s="24">
        <f>ROUND(F28/(1+'数据-取费表'!C42),4)</f>
        <v>5.2400000000000002E-2</v>
      </c>
      <c r="D28" s="365" t="s">
        <v>1476</v>
      </c>
      <c r="E28" s="343" t="s">
        <v>1422</v>
      </c>
      <c r="F28" s="363">
        <f>'数据-取费表'!B41</f>
        <v>5.5000000000000007E-2</v>
      </c>
      <c r="G28" s="1851"/>
      <c r="H28" s="349"/>
      <c r="I28" s="350"/>
      <c r="J28" s="351"/>
      <c r="K28" s="369"/>
      <c r="L28" s="343" t="s">
        <v>1477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15483</v>
      </c>
      <c r="D29" s="1339"/>
      <c r="E29" s="1337"/>
      <c r="F29" s="1340"/>
      <c r="G29" s="1851"/>
      <c r="H29" s="376" t="s">
        <v>1033</v>
      </c>
      <c r="I29" s="377" t="s">
        <v>1479</v>
      </c>
      <c r="J29" s="378">
        <f ca="1">ROUND(J26/(1+F40)^F41,0)</f>
        <v>0</v>
      </c>
      <c r="K29" s="379" t="s">
        <v>1480</v>
      </c>
      <c r="L29" s="380"/>
      <c r="M29" s="381">
        <f ca="1">INDIRECT("'数据-取费表'!k"&amp;$G$1)</f>
        <v>35129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1">
        <f ca="1">ROUND(C31+C36+C37+C38,0)</f>
        <v>344</v>
      </c>
      <c r="D30" s="1334" t="s">
        <v>1425</v>
      </c>
      <c r="E30" s="1335"/>
      <c r="F30" s="1291"/>
      <c r="G30" s="1848"/>
      <c r="H30" s="739"/>
      <c r="I30" s="740"/>
      <c r="J30" s="741"/>
      <c r="K30" s="742"/>
      <c r="L30" s="743"/>
      <c r="M30" s="744"/>
    </row>
    <row r="31" spans="1:37" ht="18" customHeight="1">
      <c r="A31" s="1198" t="s">
        <v>1035</v>
      </c>
      <c r="B31" s="343" t="s">
        <v>1429</v>
      </c>
      <c r="C31" s="24">
        <f ca="1">ROUND(IF(项目基本情况!B11="自然人",C5*F31,C32+C33+C34),1)</f>
        <v>167.1</v>
      </c>
      <c r="D31" s="1797" t="s">
        <v>1430</v>
      </c>
      <c r="E31" s="1795" t="s">
        <v>1481</v>
      </c>
      <c r="F31" s="364" t="str">
        <f ca="1">IF(项目基本情况!B11="企业","",IF(INDIRECT("'数据-取费表'!c"&amp;$G$1)="住宅",5%,IF(F6*F7*F8/12/(1+'数据-取费表'!C42)&gt;20000,12%,7%)))</f>
        <v/>
      </c>
      <c r="G31" s="1848"/>
      <c r="H31" s="739"/>
      <c r="I31" s="740"/>
      <c r="J31" s="741"/>
      <c r="K31" s="742"/>
      <c r="L31" s="743"/>
      <c r="M31" s="744"/>
    </row>
    <row r="32" spans="1:37" ht="18" customHeight="1">
      <c r="A32" s="1198" t="s">
        <v>1034</v>
      </c>
      <c r="B32" s="343" t="s">
        <v>1433</v>
      </c>
      <c r="C32" s="24">
        <f ca="1">IF(项目基本情况!B11="自然人","——",ROUND(C5*F32/(1+'数据-取费表'!C42),2))</f>
        <v>35.78</v>
      </c>
      <c r="D32" s="1795" t="s">
        <v>1434</v>
      </c>
      <c r="E32" s="343" t="s">
        <v>1422</v>
      </c>
      <c r="F32" s="373">
        <f>'数据-取费表'!B41</f>
        <v>5.5000000000000007E-2</v>
      </c>
      <c r="G32" s="1848"/>
      <c r="H32" s="739"/>
      <c r="I32" s="740"/>
      <c r="J32" s="741"/>
      <c r="K32" s="742"/>
      <c r="L32" s="743"/>
      <c r="M32" s="744"/>
    </row>
    <row r="33" spans="1:18" ht="18" customHeight="1">
      <c r="A33" s="1198" t="s">
        <v>1036</v>
      </c>
      <c r="B33" s="343" t="s">
        <v>1437</v>
      </c>
      <c r="C33" s="24">
        <f ca="1">IF(项目基本情况!B11="自然人","——",IF(D33="按租金收入计税",ROUND(C5*F33,2),IF(D33="按房产原值计税",ROUND(C29*F33*0.7,2),INDIRECT("'数据-取费表'!Aj"&amp;$G$1))))</f>
        <v>130.06</v>
      </c>
      <c r="D33" s="1825" t="s">
        <v>1438</v>
      </c>
      <c r="E33" s="343" t="s">
        <v>1422</v>
      </c>
      <c r="F33" s="363">
        <f>IF(D33="按票据","——",IF(D33="按租金收入计税",'数据-取费表'!B51,'数据-取费表'!B50))</f>
        <v>1.2E-2</v>
      </c>
      <c r="G33" s="1848"/>
      <c r="H33" s="1856"/>
      <c r="I33" s="1857"/>
      <c r="J33" s="1858"/>
      <c r="K33" s="1859"/>
      <c r="L33" s="1856"/>
      <c r="M33" s="1856"/>
    </row>
    <row r="34" spans="1:18" ht="18" customHeight="1">
      <c r="A34" s="1288" t="s">
        <v>1389</v>
      </c>
      <c r="B34" s="160" t="s">
        <v>1441</v>
      </c>
      <c r="C34" s="25">
        <f ca="1">IF(项目基本情况!B11="自然人","——",ROUND(F34*F35/10000,2))</f>
        <v>1.3</v>
      </c>
      <c r="D34" s="366" t="s">
        <v>1442</v>
      </c>
      <c r="E34" s="343" t="s">
        <v>1443</v>
      </c>
      <c r="F34" s="367">
        <f>'数据-取费表'!B52</f>
        <v>1.5</v>
      </c>
      <c r="G34" s="1848"/>
      <c r="H34" s="739"/>
      <c r="I34" s="1857"/>
      <c r="J34" s="1858"/>
      <c r="K34" s="1860"/>
      <c r="L34" s="1861"/>
      <c r="M34" s="1861"/>
    </row>
    <row r="35" spans="1:18" ht="18" customHeight="1">
      <c r="A35" s="1350"/>
      <c r="B35" s="1348"/>
      <c r="C35" s="29"/>
      <c r="D35" s="369"/>
      <c r="E35" s="343" t="s">
        <v>1447</v>
      </c>
      <c r="F35" s="344">
        <f ca="1">INDIRECT("'数据-取费表'!r"&amp;$G$1)</f>
        <v>8647.6200000000008</v>
      </c>
      <c r="G35" s="1848"/>
      <c r="H35" s="739"/>
      <c r="I35" s="1857"/>
      <c r="J35" s="1858"/>
      <c r="K35" s="1859"/>
      <c r="L35" s="1856"/>
      <c r="M35" s="1856"/>
    </row>
    <row r="36" spans="1:18" ht="18" customHeight="1">
      <c r="A36" s="1349" t="s">
        <v>1039</v>
      </c>
      <c r="B36" s="343" t="s">
        <v>1449</v>
      </c>
      <c r="C36" s="24">
        <f ca="1">ROUND(C29*F36,1)</f>
        <v>154.80000000000001</v>
      </c>
      <c r="D36" s="1795" t="s">
        <v>1482</v>
      </c>
      <c r="E36" s="343" t="s">
        <v>1422</v>
      </c>
      <c r="F36" s="370">
        <f ca="1">INDIRECT("'数据-取费表'!Ak"&amp;$G$1)</f>
        <v>0.01</v>
      </c>
      <c r="G36" s="1848"/>
      <c r="H36" s="1856"/>
      <c r="I36" s="1857"/>
      <c r="J36" s="1858"/>
      <c r="K36" s="745"/>
      <c r="L36" s="1856"/>
      <c r="M36" s="1856"/>
    </row>
    <row r="37" spans="1:18" ht="18" customHeight="1">
      <c r="A37" s="1198" t="s">
        <v>1075</v>
      </c>
      <c r="B37" s="343" t="s">
        <v>1453</v>
      </c>
      <c r="C37" s="24">
        <f ca="1">ROUND(C13*F37,1)</f>
        <v>15.5</v>
      </c>
      <c r="D37" s="1795" t="s">
        <v>1454</v>
      </c>
      <c r="E37" s="343" t="s">
        <v>1455</v>
      </c>
      <c r="F37" s="372">
        <f ca="1">INDIRECT("'数据-取费表'!Al"&amp;$G$1)</f>
        <v>1E-3</v>
      </c>
      <c r="G37" s="1848"/>
      <c r="H37" s="1856"/>
      <c r="I37" s="1857"/>
      <c r="J37" s="1858"/>
      <c r="K37" s="745"/>
      <c r="L37" s="1856"/>
      <c r="M37" s="1856"/>
    </row>
    <row r="38" spans="1:18" ht="18" customHeight="1" thickBot="1">
      <c r="A38" s="1336" t="s">
        <v>1393</v>
      </c>
      <c r="B38" s="1337" t="s">
        <v>1439</v>
      </c>
      <c r="C38" s="1338">
        <f ca="1">ROUND(C5*F38,1)</f>
        <v>6.8</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1">
        <f ca="1">C5-C30</f>
        <v>339</v>
      </c>
      <c r="D39" s="1342" t="s">
        <v>1484</v>
      </c>
      <c r="E39" s="1343"/>
      <c r="F39" s="1344"/>
      <c r="G39" s="1848"/>
      <c r="H39" s="1856"/>
      <c r="I39" s="1857"/>
      <c r="J39" s="1858"/>
      <c r="K39" s="1862"/>
      <c r="L39" s="1856"/>
      <c r="M39" s="1856"/>
    </row>
    <row r="40" spans="1:18" ht="18" customHeight="1">
      <c r="A40" s="340" t="s">
        <v>1032</v>
      </c>
      <c r="B40" s="341" t="s">
        <v>1485</v>
      </c>
      <c r="C40" s="342">
        <f ca="1">ROUND(C39*(1-((1+F42)/(1+F40))^F41)/(F40-F42),0)</f>
        <v>6057</v>
      </c>
      <c r="D40" s="366" t="s">
        <v>1469</v>
      </c>
      <c r="E40" s="343" t="s">
        <v>1470</v>
      </c>
      <c r="F40" s="353">
        <f ca="1">INDIRECT("'数据-取费表'!I"&amp;$G$1)</f>
        <v>0.05</v>
      </c>
      <c r="G40" s="1848"/>
      <c r="H40" s="1836"/>
      <c r="I40" s="1857"/>
      <c r="J40" s="1858"/>
      <c r="K40" s="1862"/>
      <c r="L40" s="1836"/>
      <c r="M40" s="1836"/>
    </row>
    <row r="41" spans="1:18" ht="18" customHeight="1">
      <c r="A41" s="345"/>
      <c r="B41" s="346"/>
      <c r="C41" s="347"/>
      <c r="D41" s="374" t="s">
        <v>1486</v>
      </c>
      <c r="E41" s="343" t="s">
        <v>1474</v>
      </c>
      <c r="F41" s="375">
        <f ca="1">IF(INDIRECT("'数据-取费表'!af"&amp;$G$1)=0,INDIRECT("'数据-取费表'!ae"&amp;$G$1),INDIRECT("'数据-取费表'!af"&amp;$G$1))</f>
        <v>45.89</v>
      </c>
      <c r="G41" s="1848"/>
      <c r="H41" s="726"/>
      <c r="I41" s="1857"/>
      <c r="J41" s="1858"/>
      <c r="K41" s="745"/>
      <c r="L41" s="726"/>
      <c r="M41" s="726"/>
    </row>
    <row r="42" spans="1:18" ht="18" customHeight="1">
      <c r="A42" s="349"/>
      <c r="B42" s="350"/>
      <c r="C42" s="351"/>
      <c r="D42" s="369"/>
      <c r="E42" s="343" t="s">
        <v>1477</v>
      </c>
      <c r="F42" s="353">
        <f ca="1">INDIRECT("'数据-取费表'!v"&amp;$G$1)</f>
        <v>0</v>
      </c>
      <c r="G42" s="1848"/>
      <c r="H42" s="726"/>
      <c r="I42" s="1857"/>
      <c r="J42" s="1858"/>
      <c r="K42" s="745"/>
      <c r="L42" s="726"/>
      <c r="M42" s="726"/>
    </row>
    <row r="43" spans="1:18" ht="18" customHeight="1" thickBot="1">
      <c r="A43" s="376" t="s">
        <v>1033</v>
      </c>
      <c r="B43" s="377" t="s">
        <v>1487</v>
      </c>
      <c r="C43" s="378">
        <f ca="1">ROUND(C40*10000/F43,0)</f>
        <v>1724</v>
      </c>
      <c r="D43" s="379" t="s">
        <v>1488</v>
      </c>
      <c r="E43" s="380" t="s">
        <v>1489</v>
      </c>
      <c r="F43" s="381">
        <f ca="1">INDIRECT("'数据-取费表'!k"&amp;$G$1)</f>
        <v>35129</v>
      </c>
      <c r="G43" s="1848"/>
      <c r="H43" s="726"/>
      <c r="I43" s="726"/>
      <c r="J43" s="726"/>
      <c r="K43" s="745"/>
      <c r="L43" s="726"/>
      <c r="M43" s="726"/>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0"/>
      <c r="O45" s="1866" t="s">
        <v>1519</v>
      </c>
      <c r="P45" s="1836"/>
      <c r="Q45" s="1836"/>
      <c r="R45" s="1836"/>
    </row>
    <row r="46" spans="1:18" s="1839" customFormat="1" ht="13.5" thickBot="1">
      <c r="A46" s="1867" t="s">
        <v>1520</v>
      </c>
      <c r="C46" s="1868">
        <f ca="1">C68-C40</f>
        <v>-11453</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86"/>
      <c r="I47" s="1877" t="s">
        <v>1526</v>
      </c>
      <c r="J47" s="1878" t="s">
        <v>3199</v>
      </c>
      <c r="K47" s="1879" t="s">
        <v>1527</v>
      </c>
      <c r="L47" s="1880">
        <f ca="1">INDIRECT("'数据-取费表'!d"&amp;$G$1)</f>
        <v>50</v>
      </c>
      <c r="M47" s="1835" t="str">
        <f>IF(ISNUMBER(FIND("住宅",C1)),"住宅","非住宅")</f>
        <v>非住宅</v>
      </c>
      <c r="O47" s="1881" t="s">
        <v>1040</v>
      </c>
      <c r="P47" s="1882" t="s">
        <v>1528</v>
      </c>
      <c r="Q47" s="1883">
        <f ca="1">C40+J29</f>
        <v>6057</v>
      </c>
      <c r="R47" s="1883" t="s">
        <v>1529</v>
      </c>
    </row>
    <row r="48" spans="1:18" s="1839" customFormat="1" ht="28.5" thickBot="1">
      <c r="A48" s="1357" t="s">
        <v>1135</v>
      </c>
      <c r="B48" s="341" t="s">
        <v>1401</v>
      </c>
      <c r="C48" s="1814">
        <f ca="1">C49+C53+C55</f>
        <v>0</v>
      </c>
      <c r="D48" s="1359"/>
      <c r="E48" s="1360"/>
      <c r="F48" s="1178"/>
      <c r="G48" s="786"/>
      <c r="H48" s="787"/>
      <c r="I48" s="1884" t="s">
        <v>1530</v>
      </c>
      <c r="J48" s="1885" t="s">
        <v>3200</v>
      </c>
      <c r="K48" s="1886" t="s">
        <v>1531</v>
      </c>
      <c r="L48" s="1887">
        <f ca="1">INDIRECT("'数据-取费表'!f"&amp;$G$1)</f>
        <v>47.89</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3019</v>
      </c>
      <c r="E49" s="1827" t="s">
        <v>1491</v>
      </c>
      <c r="F49" s="1278"/>
      <c r="G49" s="1888"/>
      <c r="H49" s="787"/>
      <c r="I49" s="1884" t="s">
        <v>1534</v>
      </c>
      <c r="J49" s="1889">
        <v>2020</v>
      </c>
      <c r="K49" s="1886" t="s">
        <v>1535</v>
      </c>
      <c r="L49" s="1890"/>
      <c r="O49" s="1891" t="s">
        <v>1042</v>
      </c>
      <c r="P49" s="1882" t="s">
        <v>1536</v>
      </c>
      <c r="Q49" s="1883">
        <f ca="1">C29</f>
        <v>15483</v>
      </c>
      <c r="R49" s="1883" t="s">
        <v>1529</v>
      </c>
    </row>
    <row r="50" spans="1:18" s="1839" customFormat="1" ht="13.5" thickBot="1">
      <c r="A50" s="1192"/>
      <c r="B50" s="1195"/>
      <c r="C50" s="1365"/>
      <c r="D50" s="1169"/>
      <c r="E50" s="1274" t="s">
        <v>1406</v>
      </c>
      <c r="F50" s="1275">
        <f ca="1">F7</f>
        <v>1263</v>
      </c>
      <c r="H50" s="787"/>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4">
        <f ca="1">F8</f>
        <v>12</v>
      </c>
      <c r="I51" s="1895" t="s">
        <v>1540</v>
      </c>
      <c r="J51" s="1896">
        <f>IF(J49="",J50,J49+J50-YEAR('数据-取费表'!B2))</f>
        <v>62</v>
      </c>
      <c r="K51" s="1897" t="s">
        <v>1541</v>
      </c>
      <c r="L51" s="1898">
        <f ca="1">ROUND(-PV(INDIRECT("'数据-取费表'!h"&amp;$G$1),L48,(C39-C13*C76),0),0)</f>
        <v>-17563</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f ca="1">J53</f>
        <v>45.89</v>
      </c>
      <c r="R52" s="1883" t="s">
        <v>1546</v>
      </c>
    </row>
    <row r="53" spans="1:18" s="1839" customFormat="1" ht="24.75" thickBot="1">
      <c r="A53" s="1402" t="s">
        <v>1137</v>
      </c>
      <c r="B53" s="1828" t="s">
        <v>1409</v>
      </c>
      <c r="C53" s="357">
        <f ca="1">ROUND(IF(F53="押一",C49/12*F11,IF(F53="押二",C49/12*2*F11,IF(F53="押三",C49/12*3*F11,C54*F11))),0)</f>
        <v>0</v>
      </c>
      <c r="D53" s="1821" t="s">
        <v>3026</v>
      </c>
      <c r="E53" s="354" t="s">
        <v>1410</v>
      </c>
      <c r="F53" s="1363"/>
      <c r="I53" s="1902" t="s">
        <v>1547</v>
      </c>
      <c r="J53" s="1903">
        <f ca="1">IF(M47="住宅",J51,IF(D1="——",MIN(J51,L48),IF(D1="在建（套用方法）",MIN(J51,L48-'数据-取费表'!B24),IF(D1="土地（套用方法）",MIN(J51,L48-'数据-取费表'!B20)))))</f>
        <v>45.89</v>
      </c>
      <c r="K53" s="3124" t="s">
        <v>1548</v>
      </c>
      <c r="L53" s="3125"/>
      <c r="O53" s="1881" t="s">
        <v>1046</v>
      </c>
      <c r="P53" s="1882" t="s">
        <v>1549</v>
      </c>
      <c r="Q53" s="1883">
        <f ca="1">Q47+Q48</f>
        <v>6057</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2">
        <f ca="1">C13</f>
        <v>15483</v>
      </c>
      <c r="D56" s="1911"/>
      <c r="E56" s="1912"/>
      <c r="F56" s="1904"/>
      <c r="I56" s="1913" t="s">
        <v>1554</v>
      </c>
      <c r="J56" s="1914" t="s">
        <v>3045</v>
      </c>
      <c r="K56" s="1884" t="s">
        <v>1555</v>
      </c>
      <c r="L56" s="1887" t="str">
        <f ca="1">IF(L48&lt;J51,"——",L48-J53)</f>
        <v>——</v>
      </c>
      <c r="O56" s="1881" t="s">
        <v>1040</v>
      </c>
      <c r="P56" s="1882" t="s">
        <v>1528</v>
      </c>
      <c r="Q56" s="1883">
        <f ca="1">C40+J29</f>
        <v>6057</v>
      </c>
      <c r="R56" s="1883" t="s">
        <v>1529</v>
      </c>
    </row>
    <row r="57" spans="1:18" s="1839" customFormat="1" ht="24.75" thickBot="1">
      <c r="A57" s="1915"/>
      <c r="B57" s="1166" t="s">
        <v>1478</v>
      </c>
      <c r="C57" s="278">
        <f ca="1">C29</f>
        <v>15483</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6" t="s">
        <v>1030</v>
      </c>
      <c r="B58" s="1174" t="s">
        <v>1424</v>
      </c>
      <c r="C58" s="357">
        <f ca="1">ROUND(C59+C64+C65+C66,0)</f>
        <v>302</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131.4</v>
      </c>
      <c r="D59" s="1179" t="s">
        <v>1430</v>
      </c>
      <c r="E59" s="1180" t="s">
        <v>1431</v>
      </c>
      <c r="F59" s="364"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3">
        <f t="shared" ref="F60:F66" si="0">F32</f>
        <v>5.5000000000000007E-2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130.06</v>
      </c>
      <c r="D61" s="1825" t="s">
        <v>1438</v>
      </c>
      <c r="E61" s="1166" t="s">
        <v>1494</v>
      </c>
      <c r="F61" s="363">
        <f t="shared" si="0"/>
        <v>1.2E-2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1.3</v>
      </c>
      <c r="D62" s="1181" t="s">
        <v>1497</v>
      </c>
      <c r="E62" s="1166" t="s">
        <v>1498</v>
      </c>
      <c r="F62" s="367">
        <f t="shared" si="0"/>
        <v>1.5</v>
      </c>
      <c r="I62" s="1926" t="s">
        <v>1570</v>
      </c>
      <c r="J62" s="1927" t="s">
        <v>1571</v>
      </c>
      <c r="K62" s="1927" t="s">
        <v>1572</v>
      </c>
      <c r="L62" s="1927" t="s">
        <v>1573</v>
      </c>
      <c r="M62" s="1928" t="s">
        <v>1574</v>
      </c>
      <c r="O62" s="1881" t="s">
        <v>1046</v>
      </c>
      <c r="P62" s="1882" t="s">
        <v>1575</v>
      </c>
      <c r="Q62" s="1883">
        <f ca="1">Q56+Q57</f>
        <v>6057</v>
      </c>
      <c r="R62" s="1883" t="s">
        <v>1047</v>
      </c>
    </row>
    <row r="63" spans="1:18" s="1839" customFormat="1" ht="13.5" thickBot="1">
      <c r="A63" s="368"/>
      <c r="B63" s="1172"/>
      <c r="C63" s="29"/>
      <c r="D63" s="1182"/>
      <c r="E63" s="1166" t="s">
        <v>1499</v>
      </c>
      <c r="F63" s="344">
        <f t="shared" ca="1" si="0"/>
        <v>8647.6200000000008</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154.80000000000001</v>
      </c>
      <c r="D64" s="1180" t="s">
        <v>1502</v>
      </c>
      <c r="E64" s="1166" t="s">
        <v>1494</v>
      </c>
      <c r="F64" s="370">
        <f t="shared" ca="1" si="0"/>
        <v>0.01</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15.5</v>
      </c>
      <c r="D65" s="1180" t="s">
        <v>1454</v>
      </c>
      <c r="E65" s="1166" t="s">
        <v>1455</v>
      </c>
      <c r="F65" s="372">
        <f t="shared" ca="1" si="0"/>
        <v>1E-3</v>
      </c>
      <c r="I65" s="1926" t="s">
        <v>1579</v>
      </c>
      <c r="J65" s="1927">
        <v>40</v>
      </c>
      <c r="K65" s="1927">
        <v>30</v>
      </c>
      <c r="L65" s="1927">
        <v>50</v>
      </c>
      <c r="M65" s="1929">
        <v>0.02</v>
      </c>
      <c r="O65" s="1881" t="s">
        <v>1040</v>
      </c>
      <c r="P65" s="1882" t="s">
        <v>1580</v>
      </c>
      <c r="Q65" s="1883">
        <f ca="1">C40+J29</f>
        <v>6057</v>
      </c>
      <c r="R65" s="1883" t="s">
        <v>1529</v>
      </c>
    </row>
    <row r="66" spans="1:18" s="1839" customFormat="1" ht="16.5" thickBot="1">
      <c r="A66" s="1198" t="s">
        <v>1504</v>
      </c>
      <c r="B66" s="1166" t="s">
        <v>1439</v>
      </c>
      <c r="C66" s="24">
        <f ca="1">ROUND(C48*F66,1)</f>
        <v>0</v>
      </c>
      <c r="D66" s="1180" t="s">
        <v>1505</v>
      </c>
      <c r="E66" s="1166" t="s">
        <v>1422</v>
      </c>
      <c r="F66" s="353">
        <f t="shared" ca="1" si="0"/>
        <v>0.01</v>
      </c>
      <c r="O66" s="1881" t="s">
        <v>1041</v>
      </c>
      <c r="P66" s="1882" t="s">
        <v>1558</v>
      </c>
      <c r="Q66" s="1883">
        <f ca="1">L60</f>
        <v>0</v>
      </c>
      <c r="R66" s="1883" t="s">
        <v>1581</v>
      </c>
    </row>
    <row r="67" spans="1:18" s="1839" customFormat="1" ht="16.5" thickBot="1">
      <c r="A67" s="1173" t="s">
        <v>1031</v>
      </c>
      <c r="B67" s="1183" t="s">
        <v>1463</v>
      </c>
      <c r="C67" s="357">
        <f ca="1">C48-C58</f>
        <v>-302</v>
      </c>
      <c r="D67" s="1179" t="s">
        <v>1464</v>
      </c>
      <c r="E67" s="1184"/>
      <c r="F67" s="1185"/>
      <c r="O67" s="1891" t="s">
        <v>1042</v>
      </c>
      <c r="P67" s="1882" t="s">
        <v>1562</v>
      </c>
      <c r="Q67" s="1930">
        <f ca="1">L51</f>
        <v>-17563</v>
      </c>
      <c r="R67" s="1883" t="s">
        <v>1582</v>
      </c>
    </row>
    <row r="68" spans="1:18" s="1839" customFormat="1" ht="16.5" thickBot="1">
      <c r="A68" s="1163" t="s">
        <v>1032</v>
      </c>
      <c r="B68" s="1164" t="s">
        <v>1485</v>
      </c>
      <c r="C68" s="342">
        <f ca="1">ROUND(C67*(1-((1+F70)/(1+F68))^F69)/(F68-F70),0)</f>
        <v>-5396</v>
      </c>
      <c r="D68" s="1181" t="s">
        <v>1469</v>
      </c>
      <c r="E68" s="1166" t="s">
        <v>1470</v>
      </c>
      <c r="F68" s="353">
        <f ca="1">F40</f>
        <v>0.05</v>
      </c>
      <c r="O68" s="1891" t="s">
        <v>1043</v>
      </c>
      <c r="P68" s="1931" t="s">
        <v>1583</v>
      </c>
      <c r="Q68" s="1883">
        <f ca="1">ROUND(Q69-Q70*Q71,0)</f>
        <v>-900</v>
      </c>
      <c r="R68" s="1883" t="s">
        <v>1051</v>
      </c>
    </row>
    <row r="69" spans="1:18" s="1839" customFormat="1" ht="13.5" thickBot="1">
      <c r="A69" s="1167"/>
      <c r="B69" s="1168"/>
      <c r="C69" s="347"/>
      <c r="D69" s="1186" t="s">
        <v>1473</v>
      </c>
      <c r="E69" s="1166" t="s">
        <v>1474</v>
      </c>
      <c r="F69" s="375">
        <f ca="1">F41</f>
        <v>45.89</v>
      </c>
      <c r="O69" s="1891" t="s">
        <v>1048</v>
      </c>
      <c r="P69" s="1931" t="s">
        <v>1584</v>
      </c>
      <c r="Q69" s="1883">
        <f ca="1">C39</f>
        <v>339</v>
      </c>
      <c r="R69" s="1883" t="s">
        <v>1529</v>
      </c>
    </row>
    <row r="70" spans="1:18" s="1839" customFormat="1" ht="13.5" thickBot="1">
      <c r="A70" s="1170"/>
      <c r="B70" s="1171"/>
      <c r="C70" s="351"/>
      <c r="D70" s="1182"/>
      <c r="E70" s="1166" t="s">
        <v>1477</v>
      </c>
      <c r="F70" s="1272"/>
      <c r="O70" s="1891" t="s">
        <v>1049</v>
      </c>
      <c r="P70" s="1931" t="s">
        <v>1585</v>
      </c>
      <c r="Q70" s="1883">
        <f ca="1">C13</f>
        <v>15483</v>
      </c>
      <c r="R70" s="1883" t="s">
        <v>1529</v>
      </c>
    </row>
    <row r="71" spans="1:18" s="1839" customFormat="1" ht="13.5" thickBot="1">
      <c r="A71" s="1187" t="s">
        <v>1033</v>
      </c>
      <c r="B71" s="1188" t="s">
        <v>1487</v>
      </c>
      <c r="C71" s="378">
        <f ca="1">ROUND(C68*10000/F71,0)</f>
        <v>-1536</v>
      </c>
      <c r="D71" s="1189" t="s">
        <v>1488</v>
      </c>
      <c r="E71" s="1190" t="s">
        <v>1489</v>
      </c>
      <c r="F71" s="381">
        <f ca="1">F43</f>
        <v>35129</v>
      </c>
      <c r="O71" s="1891" t="s">
        <v>1050</v>
      </c>
      <c r="P71" s="1931" t="s">
        <v>1586</v>
      </c>
      <c r="Q71" s="1894">
        <f ca="1">C76</f>
        <v>0.08</v>
      </c>
      <c r="R71" s="1883"/>
    </row>
    <row r="72" spans="1:18" s="1839" customFormat="1" ht="13.5" thickBot="1">
      <c r="B72" s="790"/>
      <c r="C72" s="790"/>
      <c r="O72" s="1891" t="s">
        <v>1044</v>
      </c>
      <c r="P72" s="1882" t="s">
        <v>1564</v>
      </c>
      <c r="Q72" s="1894">
        <f>L52</f>
        <v>0</v>
      </c>
      <c r="R72" s="1883"/>
    </row>
    <row r="73" spans="1:18" ht="16.5" thickBot="1">
      <c r="A73" s="1839"/>
      <c r="B73" s="790"/>
      <c r="C73" s="790"/>
      <c r="D73" s="1839"/>
      <c r="E73" s="1839"/>
      <c r="F73" s="1839"/>
      <c r="O73" s="1891" t="s">
        <v>1045</v>
      </c>
      <c r="P73" s="1882" t="s">
        <v>1567</v>
      </c>
      <c r="Q73" s="1883" t="e">
        <f ca="1">L58</f>
        <v>#DIV/0!</v>
      </c>
      <c r="R73" s="1883" t="s">
        <v>1568</v>
      </c>
    </row>
    <row r="74" spans="1:18" ht="13.5" thickBot="1">
      <c r="A74" s="1839"/>
      <c r="B74" s="313"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2" t="s">
        <v>1506</v>
      </c>
      <c r="C75" s="383">
        <f ca="1">ROUND(C13*C76,0)</f>
        <v>1239</v>
      </c>
      <c r="D75" s="1839"/>
      <c r="E75" s="1839"/>
      <c r="F75" s="1839"/>
      <c r="K75" s="1865"/>
      <c r="L75" s="1839"/>
      <c r="O75" s="1881" t="s">
        <v>1046</v>
      </c>
      <c r="P75" s="1882" t="s">
        <v>1549</v>
      </c>
      <c r="Q75" s="1883">
        <f ca="1">Q65+Q66</f>
        <v>6057</v>
      </c>
      <c r="R75" s="1883" t="s">
        <v>1047</v>
      </c>
    </row>
    <row r="76" spans="1:18">
      <c r="B76" s="384" t="s">
        <v>1507</v>
      </c>
      <c r="C76" s="385">
        <f ca="1">INDIRECT("'数据-取费表'!j"&amp;$G$1)</f>
        <v>0.08</v>
      </c>
      <c r="I76" s="1839"/>
      <c r="J76" s="1839"/>
      <c r="K76" s="1865"/>
      <c r="L76" s="1839"/>
    </row>
    <row r="77" spans="1:18">
      <c r="B77" s="386" t="s">
        <v>1508</v>
      </c>
      <c r="C77" s="387"/>
      <c r="I77" s="1839"/>
      <c r="J77" s="1839"/>
      <c r="K77" s="1865"/>
      <c r="L77" s="1839"/>
    </row>
    <row r="78" spans="1:18">
      <c r="B78" s="310" t="s">
        <v>1509</v>
      </c>
      <c r="C78" s="388"/>
    </row>
    <row r="79" spans="1:18">
      <c r="B79" s="382" t="s">
        <v>1510</v>
      </c>
      <c r="C79" s="314">
        <f ca="1">1-C80</f>
        <v>-2.6549999999999998</v>
      </c>
    </row>
    <row r="80" spans="1:18">
      <c r="B80" s="382" t="s">
        <v>1511</v>
      </c>
      <c r="C80" s="314">
        <f ca="1">ROUND(C75/C39,3)</f>
        <v>3.6549999999999998</v>
      </c>
    </row>
    <row r="81" spans="2:3">
      <c r="B81" s="310" t="s">
        <v>1512</v>
      </c>
      <c r="C81" s="278"/>
    </row>
    <row r="82" spans="2:3">
      <c r="B82" s="313" t="s">
        <v>1513</v>
      </c>
      <c r="C82" s="315">
        <f ca="1">1-C83</f>
        <v>-1.556</v>
      </c>
    </row>
    <row r="83" spans="2:3">
      <c r="B83" s="313" t="s">
        <v>1514</v>
      </c>
      <c r="C83" s="314">
        <f ca="1">ROUND(C13/C40,3)</f>
        <v>2.556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topLeftCell="L7" workbookViewId="0">
      <selection activeCell="Q37" sqref="Q37"/>
    </sheetView>
  </sheetViews>
  <sheetFormatPr defaultRowHeight="13.5"/>
  <cols>
    <col min="1" max="1" width="11.5" style="3281" customWidth="1"/>
    <col min="2" max="2" width="9" style="3281"/>
    <col min="3" max="3" width="11.25" style="3281" customWidth="1"/>
    <col min="4" max="12" width="9" style="3281"/>
    <col min="13" max="13" width="20.5" style="3281" bestFit="1" customWidth="1"/>
    <col min="14" max="14" width="15.5" style="3281" bestFit="1" customWidth="1"/>
    <col min="15" max="15" width="20.5" style="3281" bestFit="1" customWidth="1"/>
    <col min="16" max="16384" width="9" style="3281"/>
  </cols>
  <sheetData>
    <row r="1" spans="1:40" s="3278" customFormat="1">
      <c r="A1" s="3278" t="s">
        <v>3087</v>
      </c>
      <c r="B1" s="3278" t="s">
        <v>3088</v>
      </c>
      <c r="C1" s="3278" t="s">
        <v>3089</v>
      </c>
      <c r="D1" s="3278" t="s">
        <v>3090</v>
      </c>
      <c r="E1" s="3278" t="s">
        <v>3091</v>
      </c>
      <c r="F1" s="3278" t="s">
        <v>3092</v>
      </c>
      <c r="G1" s="3278" t="s">
        <v>3093</v>
      </c>
      <c r="H1" s="3278" t="s">
        <v>3094</v>
      </c>
      <c r="I1" s="3278" t="s">
        <v>3095</v>
      </c>
      <c r="J1" s="3278" t="s">
        <v>3096</v>
      </c>
      <c r="K1" s="3278" t="s">
        <v>3097</v>
      </c>
      <c r="L1" s="3278" t="s">
        <v>3098</v>
      </c>
      <c r="M1" s="3278" t="s">
        <v>3099</v>
      </c>
      <c r="N1" s="3278" t="s">
        <v>3100</v>
      </c>
      <c r="O1" s="3278" t="s">
        <v>3101</v>
      </c>
      <c r="P1" s="3278" t="s">
        <v>3102</v>
      </c>
      <c r="Q1" s="3278" t="s">
        <v>3103</v>
      </c>
      <c r="R1" s="3278" t="s">
        <v>3104</v>
      </c>
      <c r="S1" s="3278" t="s">
        <v>3105</v>
      </c>
      <c r="T1" s="3278" t="s">
        <v>3106</v>
      </c>
      <c r="U1" s="3278" t="s">
        <v>3107</v>
      </c>
      <c r="V1" s="3278" t="s">
        <v>3108</v>
      </c>
      <c r="W1" s="3278" t="s">
        <v>3109</v>
      </c>
      <c r="X1" s="3278" t="s">
        <v>3110</v>
      </c>
      <c r="Y1" s="3278" t="s">
        <v>3111</v>
      </c>
      <c r="Z1" s="3278" t="s">
        <v>3112</v>
      </c>
      <c r="AA1" s="3278" t="s">
        <v>3113</v>
      </c>
      <c r="AB1" s="3278" t="s">
        <v>3114</v>
      </c>
      <c r="AC1" s="3278" t="s">
        <v>3115</v>
      </c>
      <c r="AD1" s="3278" t="s">
        <v>3116</v>
      </c>
      <c r="AE1" s="3278" t="s">
        <v>3117</v>
      </c>
      <c r="AF1" s="3278" t="s">
        <v>3118</v>
      </c>
      <c r="AG1" s="3278" t="s">
        <v>3119</v>
      </c>
      <c r="AH1" s="3278" t="s">
        <v>3120</v>
      </c>
      <c r="AI1" s="3278" t="s">
        <v>3121</v>
      </c>
      <c r="AJ1" s="3278" t="s">
        <v>3122</v>
      </c>
      <c r="AK1" s="3278" t="s">
        <v>3123</v>
      </c>
      <c r="AL1" s="3278" t="s">
        <v>3124</v>
      </c>
      <c r="AM1" s="3278" t="s">
        <v>3125</v>
      </c>
      <c r="AN1" s="3278" t="s">
        <v>3126</v>
      </c>
    </row>
    <row r="2" spans="1:40" s="3280" customFormat="1" ht="14.25">
      <c r="A2" s="3279" t="s">
        <v>3127</v>
      </c>
      <c r="B2" s="3280" t="s">
        <v>3038</v>
      </c>
      <c r="C2" s="3280" t="s">
        <v>3128</v>
      </c>
      <c r="D2" s="3280" t="s">
        <v>3129</v>
      </c>
      <c r="E2" s="3280" t="s">
        <v>1331</v>
      </c>
      <c r="F2" s="3280" t="s">
        <v>3130</v>
      </c>
      <c r="G2" s="3280" t="s">
        <v>3131</v>
      </c>
      <c r="H2" s="3280" t="s">
        <v>3132</v>
      </c>
      <c r="I2" s="3280" t="s">
        <v>3133</v>
      </c>
      <c r="J2" s="3280">
        <v>18303.330000000002</v>
      </c>
      <c r="K2" s="3280">
        <v>58571</v>
      </c>
      <c r="L2" s="3280">
        <v>3.2</v>
      </c>
      <c r="M2" s="3280" t="s">
        <v>1331</v>
      </c>
      <c r="N2" s="3280" t="s">
        <v>1331</v>
      </c>
      <c r="O2" s="3280" t="s">
        <v>1331</v>
      </c>
      <c r="P2" s="3280" t="s">
        <v>1331</v>
      </c>
      <c r="Q2" s="3280" t="s">
        <v>1331</v>
      </c>
      <c r="R2" s="3280" t="s">
        <v>1331</v>
      </c>
      <c r="S2" s="3280" t="s">
        <v>1331</v>
      </c>
      <c r="T2" s="3280" t="s">
        <v>1331</v>
      </c>
      <c r="U2" s="3280" t="s">
        <v>3134</v>
      </c>
      <c r="V2" s="3280" t="s">
        <v>3135</v>
      </c>
      <c r="W2" s="3280" t="s">
        <v>3136</v>
      </c>
      <c r="X2" s="3280" t="s">
        <v>3136</v>
      </c>
      <c r="Y2" s="3280" t="s">
        <v>3132</v>
      </c>
      <c r="Z2" s="3280" t="s">
        <v>3137</v>
      </c>
      <c r="AA2" s="3280" t="s">
        <v>3138</v>
      </c>
      <c r="AB2" s="3280">
        <v>79600</v>
      </c>
      <c r="AC2" s="3280">
        <v>129000</v>
      </c>
      <c r="AD2" s="3280">
        <v>2899.29</v>
      </c>
      <c r="AE2" s="3280">
        <v>4698.6000000000004</v>
      </c>
      <c r="AF2" s="3280">
        <v>13590.34</v>
      </c>
      <c r="AG2" s="3280">
        <v>22024.54</v>
      </c>
      <c r="AH2" s="3280" t="s">
        <v>1331</v>
      </c>
      <c r="AI2" s="3280" t="s">
        <v>1331</v>
      </c>
      <c r="AJ2" s="3280">
        <v>62.06</v>
      </c>
      <c r="AK2" s="3280" t="s">
        <v>3139</v>
      </c>
      <c r="AL2" s="3280" t="s">
        <v>1331</v>
      </c>
      <c r="AM2" s="3280" t="s">
        <v>1331</v>
      </c>
      <c r="AN2" s="3280" t="s">
        <v>1331</v>
      </c>
    </row>
    <row r="3" spans="1:40" s="3280" customFormat="1" ht="14.25">
      <c r="A3" s="3279" t="s">
        <v>3140</v>
      </c>
      <c r="B3" s="3280" t="s">
        <v>3038</v>
      </c>
      <c r="C3" s="3280" t="s">
        <v>3128</v>
      </c>
      <c r="D3" s="3280" t="s">
        <v>3141</v>
      </c>
      <c r="E3" s="3280" t="s">
        <v>1331</v>
      </c>
      <c r="F3" s="3280" t="s">
        <v>3142</v>
      </c>
      <c r="G3" s="3280" t="s">
        <v>3131</v>
      </c>
      <c r="H3" s="3280" t="s">
        <v>3143</v>
      </c>
      <c r="I3" s="3280" t="s">
        <v>3144</v>
      </c>
      <c r="J3" s="3280">
        <v>85709</v>
      </c>
      <c r="K3" s="3280">
        <v>179122</v>
      </c>
      <c r="L3" s="3280">
        <v>2.09</v>
      </c>
      <c r="M3" s="3280" t="s">
        <v>1331</v>
      </c>
      <c r="N3" s="3280" t="s">
        <v>1331</v>
      </c>
      <c r="O3" s="3280" t="s">
        <v>1331</v>
      </c>
      <c r="P3" s="3280" t="s">
        <v>1331</v>
      </c>
      <c r="Q3" s="3280" t="s">
        <v>1331</v>
      </c>
      <c r="R3" s="3280" t="s">
        <v>1331</v>
      </c>
      <c r="S3" s="3280" t="s">
        <v>1331</v>
      </c>
      <c r="T3" s="3280" t="s">
        <v>1331</v>
      </c>
      <c r="U3" s="3280" t="s">
        <v>3145</v>
      </c>
      <c r="V3" s="3280" t="s">
        <v>3146</v>
      </c>
      <c r="W3" s="3280" t="s">
        <v>3147</v>
      </c>
      <c r="X3" s="3280" t="s">
        <v>3147</v>
      </c>
      <c r="Y3" s="3280" t="s">
        <v>3143</v>
      </c>
      <c r="Z3" s="3280" t="s">
        <v>3137</v>
      </c>
      <c r="AA3" s="3280" t="s">
        <v>3148</v>
      </c>
      <c r="AB3" s="3280">
        <v>126000</v>
      </c>
      <c r="AC3" s="3280">
        <v>378000</v>
      </c>
      <c r="AD3" s="3280">
        <v>980.06</v>
      </c>
      <c r="AE3" s="3280">
        <v>2940.18</v>
      </c>
      <c r="AF3" s="3280">
        <v>7034.31</v>
      </c>
      <c r="AG3" s="3280">
        <v>21102.93</v>
      </c>
      <c r="AH3" s="3280" t="s">
        <v>1331</v>
      </c>
      <c r="AI3" s="3280" t="s">
        <v>1331</v>
      </c>
      <c r="AJ3" s="3280">
        <v>200</v>
      </c>
      <c r="AK3" s="3280" t="s">
        <v>3139</v>
      </c>
      <c r="AL3" s="3280" t="s">
        <v>1331</v>
      </c>
      <c r="AM3" s="3280" t="s">
        <v>1331</v>
      </c>
      <c r="AN3" s="3280" t="s">
        <v>1331</v>
      </c>
    </row>
    <row r="4" spans="1:40" s="3280" customFormat="1" ht="14.25">
      <c r="A4" s="3279" t="s">
        <v>3149</v>
      </c>
      <c r="B4" s="3280" t="s">
        <v>3038</v>
      </c>
      <c r="C4" s="3280" t="s">
        <v>3128</v>
      </c>
      <c r="D4" s="3280" t="s">
        <v>3129</v>
      </c>
      <c r="E4" s="3280" t="s">
        <v>1331</v>
      </c>
      <c r="F4" s="3280" t="s">
        <v>3150</v>
      </c>
      <c r="G4" s="3280" t="s">
        <v>3131</v>
      </c>
      <c r="H4" s="3280" t="s">
        <v>3151</v>
      </c>
      <c r="I4" s="3280" t="s">
        <v>3152</v>
      </c>
      <c r="J4" s="3280">
        <v>33619.79</v>
      </c>
      <c r="K4" s="3280">
        <v>134479</v>
      </c>
      <c r="L4" s="3280">
        <v>4</v>
      </c>
      <c r="M4" s="3280" t="s">
        <v>1331</v>
      </c>
      <c r="N4" s="3280" t="s">
        <v>1331</v>
      </c>
      <c r="O4" s="3280" t="s">
        <v>1331</v>
      </c>
      <c r="P4" s="3280" t="s">
        <v>1331</v>
      </c>
      <c r="Q4" s="3280" t="s">
        <v>1331</v>
      </c>
      <c r="R4" s="3280" t="s">
        <v>1331</v>
      </c>
      <c r="S4" s="3280" t="s">
        <v>1331</v>
      </c>
      <c r="T4" s="3280" t="s">
        <v>1331</v>
      </c>
      <c r="U4" s="3280" t="s">
        <v>3153</v>
      </c>
      <c r="V4" s="3280" t="s">
        <v>3154</v>
      </c>
      <c r="W4" s="3280" t="s">
        <v>3155</v>
      </c>
      <c r="X4" s="3280" t="s">
        <v>3155</v>
      </c>
      <c r="Y4" s="3280" t="s">
        <v>3151</v>
      </c>
      <c r="Z4" s="3280" t="s">
        <v>3137</v>
      </c>
      <c r="AA4" s="3280" t="s">
        <v>3156</v>
      </c>
      <c r="AB4" s="3280">
        <v>153000</v>
      </c>
      <c r="AC4" s="3280">
        <v>334000</v>
      </c>
      <c r="AD4" s="3280">
        <v>3033.93</v>
      </c>
      <c r="AE4" s="3280">
        <v>6623.08</v>
      </c>
      <c r="AF4" s="3280">
        <v>11377.24</v>
      </c>
      <c r="AG4" s="3280">
        <v>24836.59</v>
      </c>
      <c r="AH4" s="3280" t="s">
        <v>1331</v>
      </c>
      <c r="AI4" s="3280" t="s">
        <v>1331</v>
      </c>
      <c r="AJ4" s="3280">
        <v>118.3</v>
      </c>
      <c r="AK4" s="3280" t="s">
        <v>3139</v>
      </c>
      <c r="AL4" s="3280" t="s">
        <v>1331</v>
      </c>
      <c r="AM4" s="3280" t="s">
        <v>1331</v>
      </c>
      <c r="AN4" s="3280" t="s">
        <v>1331</v>
      </c>
    </row>
    <row r="12" spans="1:40" ht="14.25" thickBot="1"/>
    <row r="13" spans="1:40" ht="14.25" thickBot="1">
      <c r="N13" s="3316" t="s">
        <v>3269</v>
      </c>
      <c r="O13" s="3316" t="s">
        <v>37</v>
      </c>
      <c r="P13" s="3319" t="s">
        <v>3270</v>
      </c>
      <c r="Q13" s="3318"/>
      <c r="R13" s="3318"/>
      <c r="S13" s="3320"/>
      <c r="T13" s="3311" t="s">
        <v>3271</v>
      </c>
    </row>
    <row r="14" spans="1:40" ht="14.25" thickBot="1">
      <c r="N14" s="3317"/>
      <c r="O14" s="3317"/>
      <c r="P14" s="3312" t="s">
        <v>40</v>
      </c>
      <c r="Q14" s="3312" t="s">
        <v>1377</v>
      </c>
      <c r="R14" s="3312" t="s">
        <v>27</v>
      </c>
      <c r="S14" s="3312" t="s">
        <v>48</v>
      </c>
      <c r="T14" s="3312" t="s">
        <v>3272</v>
      </c>
    </row>
    <row r="15" spans="1:40" ht="14.25" thickBot="1">
      <c r="N15" s="3313" t="s">
        <v>3273</v>
      </c>
      <c r="O15" s="3314">
        <v>1400.94</v>
      </c>
      <c r="P15" s="3314">
        <v>1400.94</v>
      </c>
      <c r="Q15" s="3314">
        <v>1400.94</v>
      </c>
      <c r="R15" s="3314">
        <v>0</v>
      </c>
      <c r="S15" s="3314">
        <v>0</v>
      </c>
      <c r="T15" s="3314">
        <v>0</v>
      </c>
    </row>
    <row r="16" spans="1:40" ht="14.25" thickBot="1">
      <c r="N16" s="3313" t="s">
        <v>3274</v>
      </c>
      <c r="O16" s="3314">
        <v>50061.86</v>
      </c>
      <c r="P16" s="3314">
        <v>50061.86</v>
      </c>
      <c r="Q16" s="3314">
        <v>2369.08</v>
      </c>
      <c r="R16" s="3314">
        <v>47692.78</v>
      </c>
      <c r="S16" s="3314">
        <v>0</v>
      </c>
      <c r="T16" s="3314">
        <v>0</v>
      </c>
    </row>
    <row r="17" spans="13:20" ht="14.25" thickBot="1">
      <c r="N17" s="3313" t="s">
        <v>3275</v>
      </c>
      <c r="O17" s="3314">
        <v>18736.25</v>
      </c>
      <c r="P17" s="3314">
        <v>18736.25</v>
      </c>
      <c r="Q17" s="3314">
        <v>1652.28</v>
      </c>
      <c r="R17" s="3314">
        <v>17083.97</v>
      </c>
      <c r="S17" s="3314">
        <v>0</v>
      </c>
      <c r="T17" s="3314">
        <v>0</v>
      </c>
    </row>
    <row r="18" spans="13:20" ht="14.25" thickBot="1">
      <c r="N18" s="3313" t="s">
        <v>3276</v>
      </c>
      <c r="O18" s="3314">
        <v>18723.18</v>
      </c>
      <c r="P18" s="3314">
        <v>18723.18</v>
      </c>
      <c r="Q18" s="3314">
        <v>1639.21</v>
      </c>
      <c r="R18" s="3314">
        <v>17083.97</v>
      </c>
      <c r="S18" s="3314">
        <v>0</v>
      </c>
      <c r="T18" s="3314">
        <v>0</v>
      </c>
    </row>
    <row r="19" spans="13:20" ht="14.25" thickBot="1">
      <c r="N19" s="3313" t="s">
        <v>3277</v>
      </c>
      <c r="O19" s="3314">
        <v>773.29</v>
      </c>
      <c r="P19" s="3314">
        <v>773.29</v>
      </c>
      <c r="Q19" s="3314">
        <v>773.29</v>
      </c>
      <c r="R19" s="3314">
        <v>0</v>
      </c>
      <c r="S19" s="3314">
        <v>0</v>
      </c>
      <c r="T19" s="3314">
        <v>0</v>
      </c>
    </row>
    <row r="20" spans="13:20" ht="14.25" thickBot="1">
      <c r="N20" s="3313" t="s">
        <v>3278</v>
      </c>
      <c r="O20" s="3314">
        <v>18254.849999999999</v>
      </c>
      <c r="P20" s="3314">
        <v>18254.849999999999</v>
      </c>
      <c r="Q20" s="3314">
        <v>1180.28</v>
      </c>
      <c r="R20" s="3314">
        <v>17074.57</v>
      </c>
      <c r="S20" s="3314">
        <v>0</v>
      </c>
      <c r="T20" s="3314">
        <v>0</v>
      </c>
    </row>
    <row r="21" spans="13:20" ht="14.25" thickBot="1">
      <c r="N21" s="3313" t="s">
        <v>3279</v>
      </c>
      <c r="O21" s="3314">
        <v>18254.849999999999</v>
      </c>
      <c r="P21" s="3314">
        <v>18254.849999999999</v>
      </c>
      <c r="Q21" s="3314">
        <v>1180.28</v>
      </c>
      <c r="R21" s="3314">
        <v>17074.57</v>
      </c>
      <c r="S21" s="3314">
        <v>0</v>
      </c>
      <c r="T21" s="3314">
        <v>0</v>
      </c>
    </row>
    <row r="22" spans="13:20" ht="14.25" thickBot="1">
      <c r="N22" s="3313" t="s">
        <v>3280</v>
      </c>
      <c r="O22" s="3314">
        <v>17401.78</v>
      </c>
      <c r="P22" s="3314">
        <v>17301.78</v>
      </c>
      <c r="Q22" s="3314">
        <v>767.61</v>
      </c>
      <c r="R22" s="3314">
        <v>16534.169999999998</v>
      </c>
      <c r="S22" s="3314">
        <v>0</v>
      </c>
      <c r="T22" s="3314">
        <v>100</v>
      </c>
    </row>
    <row r="23" spans="13:20" ht="14.25" thickBot="1">
      <c r="N23" s="3315" t="s">
        <v>48</v>
      </c>
      <c r="O23" s="3314">
        <v>39798</v>
      </c>
      <c r="P23" s="3314">
        <v>35129</v>
      </c>
      <c r="Q23" s="3314">
        <v>0</v>
      </c>
      <c r="R23" s="3314">
        <v>0</v>
      </c>
      <c r="S23" s="3314">
        <v>35129</v>
      </c>
      <c r="T23" s="3314">
        <v>4669</v>
      </c>
    </row>
    <row r="24" spans="13:20" ht="14.25" thickBot="1">
      <c r="N24" s="3315" t="s">
        <v>37</v>
      </c>
      <c r="O24" s="3314">
        <v>183405</v>
      </c>
      <c r="P24" s="3314">
        <v>178636</v>
      </c>
      <c r="Q24" s="3314">
        <v>10962.97</v>
      </c>
      <c r="R24" s="3314">
        <v>132544.03</v>
      </c>
      <c r="S24" s="3314">
        <v>35129</v>
      </c>
      <c r="T24" s="3314">
        <v>4769</v>
      </c>
    </row>
    <row r="27" spans="13:20" ht="14.25" thickBot="1">
      <c r="N27" s="3313" t="s">
        <v>3273</v>
      </c>
      <c r="O27" s="3281" t="s">
        <v>3281</v>
      </c>
      <c r="P27" s="3323">
        <v>0.5</v>
      </c>
      <c r="Q27" s="3281">
        <f>ROUND(P15/$P$24*P27,5)</f>
        <v>3.9199999999999999E-3</v>
      </c>
    </row>
    <row r="28" spans="13:20" ht="14.25" thickBot="1">
      <c r="N28" s="3313" t="s">
        <v>3274</v>
      </c>
      <c r="O28" s="3321" t="s">
        <v>3282</v>
      </c>
      <c r="P28" s="3323">
        <v>0.3</v>
      </c>
      <c r="Q28" s="3281">
        <f t="shared" ref="Q28:Q35" si="0">ROUND(P16/$P$24*P28,5)</f>
        <v>8.4070000000000006E-2</v>
      </c>
    </row>
    <row r="29" spans="13:20" ht="14.25" thickBot="1">
      <c r="N29" s="3313" t="s">
        <v>3275</v>
      </c>
      <c r="O29" s="3321" t="s">
        <v>3281</v>
      </c>
      <c r="P29" s="3323">
        <v>0.5</v>
      </c>
      <c r="Q29" s="3281">
        <f t="shared" si="0"/>
        <v>5.2440000000000001E-2</v>
      </c>
    </row>
    <row r="30" spans="13:20" ht="14.25" thickBot="1">
      <c r="N30" s="3313" t="s">
        <v>3276</v>
      </c>
      <c r="O30" s="3321" t="s">
        <v>3283</v>
      </c>
      <c r="P30" s="3323">
        <v>0.45</v>
      </c>
      <c r="Q30" s="3281">
        <f t="shared" si="0"/>
        <v>4.7169999999999997E-2</v>
      </c>
    </row>
    <row r="31" spans="13:20" ht="14.25" thickBot="1">
      <c r="N31" s="3313" t="s">
        <v>3277</v>
      </c>
      <c r="O31" s="3321" t="s">
        <v>3281</v>
      </c>
      <c r="P31" s="3323">
        <v>0.5</v>
      </c>
      <c r="Q31" s="3281">
        <f t="shared" si="0"/>
        <v>2.16E-3</v>
      </c>
    </row>
    <row r="32" spans="13:20" ht="14.25" thickBot="1">
      <c r="M32" s="3282"/>
      <c r="N32" s="3313" t="s">
        <v>3278</v>
      </c>
      <c r="O32" s="3322" t="s">
        <v>3281</v>
      </c>
      <c r="P32" s="3323">
        <v>0.5</v>
      </c>
      <c r="Q32" s="3281">
        <f t="shared" si="0"/>
        <v>5.11E-2</v>
      </c>
    </row>
    <row r="33" spans="14:17" ht="14.25" thickBot="1">
      <c r="N33" s="3313" t="s">
        <v>3279</v>
      </c>
      <c r="O33" s="3321" t="s">
        <v>3284</v>
      </c>
      <c r="P33" s="3323">
        <v>0.3</v>
      </c>
      <c r="Q33" s="3281">
        <f t="shared" si="0"/>
        <v>3.066E-2</v>
      </c>
    </row>
    <row r="34" spans="14:17" ht="14.25" thickBot="1">
      <c r="N34" s="3313" t="s">
        <v>3280</v>
      </c>
      <c r="O34" s="3321" t="s">
        <v>3285</v>
      </c>
      <c r="P34" s="3323">
        <v>0.3</v>
      </c>
      <c r="Q34" s="3281">
        <f t="shared" si="0"/>
        <v>2.9059999999999999E-2</v>
      </c>
    </row>
    <row r="35" spans="14:17">
      <c r="N35" s="3281" t="s">
        <v>3286</v>
      </c>
      <c r="P35" s="3323">
        <v>0.5</v>
      </c>
      <c r="Q35" s="3281">
        <f t="shared" si="0"/>
        <v>9.8330000000000001E-2</v>
      </c>
    </row>
    <row r="36" spans="14:17">
      <c r="Q36" s="3281">
        <f>SUM(Q27:Q35)</f>
        <v>0.39890999999999999</v>
      </c>
    </row>
  </sheetData>
  <mergeCells count="3">
    <mergeCell ref="N13:N14"/>
    <mergeCell ref="O13:O14"/>
    <mergeCell ref="P13:S13"/>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1589</v>
      </c>
      <c r="B1" s="776"/>
      <c r="C1" s="1834"/>
      <c r="D1" s="1817"/>
      <c r="E1" s="1818" t="s">
        <v>1387</v>
      </c>
      <c r="F1" s="1280" t="b">
        <f>J53</f>
        <v>0</v>
      </c>
      <c r="G1" s="1833">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38" t="s">
        <v>1588</v>
      </c>
      <c r="I3" s="1837"/>
      <c r="J3" s="1837"/>
      <c r="K3" s="1838"/>
      <c r="L3" s="1837"/>
      <c r="M3" s="1837"/>
    </row>
    <row r="4" spans="1:37" ht="18" customHeight="1">
      <c r="A4" s="336" t="s">
        <v>1595</v>
      </c>
      <c r="B4" s="337" t="s">
        <v>1596</v>
      </c>
      <c r="C4" s="337" t="s">
        <v>1597</v>
      </c>
      <c r="D4" s="337" t="s">
        <v>1598</v>
      </c>
      <c r="E4" s="338" t="s">
        <v>1599</v>
      </c>
      <c r="F4" s="339"/>
      <c r="G4" s="1848"/>
      <c r="H4" s="336" t="s">
        <v>1595</v>
      </c>
      <c r="I4" s="337" t="s">
        <v>1596</v>
      </c>
      <c r="J4" s="337" t="s">
        <v>1597</v>
      </c>
      <c r="K4" s="337" t="s">
        <v>1598</v>
      </c>
      <c r="L4" s="338" t="s">
        <v>1599</v>
      </c>
      <c r="M4" s="339"/>
    </row>
    <row r="5" spans="1:37" ht="18" customHeight="1">
      <c r="A5" s="340">
        <v>1</v>
      </c>
      <c r="B5" s="341" t="s">
        <v>1600</v>
      </c>
      <c r="C5" s="1289">
        <f ca="1">C6+C10+C12</f>
        <v>0</v>
      </c>
      <c r="D5" s="1819" t="s">
        <v>1601</v>
      </c>
      <c r="E5" s="1290"/>
      <c r="F5" s="1291"/>
      <c r="G5" s="1848"/>
      <c r="H5" s="340">
        <v>1</v>
      </c>
      <c r="I5" s="341" t="s">
        <v>1600</v>
      </c>
      <c r="J5" s="1289">
        <f ca="1">J6+J10+J12</f>
        <v>0</v>
      </c>
      <c r="K5" s="1819" t="s">
        <v>1601</v>
      </c>
      <c r="L5" s="1290"/>
      <c r="M5" s="1291"/>
    </row>
    <row r="6" spans="1:37" ht="18" customHeight="1">
      <c r="A6" s="1288" t="s">
        <v>1035</v>
      </c>
      <c r="B6" s="3126" t="s">
        <v>1403</v>
      </c>
      <c r="C6" s="1293">
        <f ca="1">ROUND(F6*F8*F7*(1-F9),0)</f>
        <v>0</v>
      </c>
      <c r="D6" s="160" t="s">
        <v>3015</v>
      </c>
      <c r="E6" s="343" t="s">
        <v>1405</v>
      </c>
      <c r="F6" s="344">
        <f ca="1">INDIRECT("'数据-取费表'!u"&amp;$G$1)</f>
        <v>0</v>
      </c>
      <c r="G6" s="1848"/>
      <c r="H6" s="1288" t="s">
        <v>1035</v>
      </c>
      <c r="I6" s="3126" t="s">
        <v>1403</v>
      </c>
      <c r="J6" s="342">
        <f ca="1">ROUND(M6*M8*M7*(1-M9),0)</f>
        <v>0</v>
      </c>
      <c r="K6" s="1831" t="s">
        <v>3016</v>
      </c>
      <c r="L6" s="343" t="s">
        <v>1405</v>
      </c>
      <c r="M6" s="344">
        <f ca="1">INDIRECT("'数据-取费表'!z"&amp;$G$1)</f>
        <v>0</v>
      </c>
    </row>
    <row r="7" spans="1:37" ht="18" customHeight="1">
      <c r="A7" s="1292"/>
      <c r="B7" s="3127"/>
      <c r="C7" s="1294"/>
      <c r="D7" s="348"/>
      <c r="E7" s="1295" t="s">
        <v>1406</v>
      </c>
      <c r="F7" s="344">
        <f ca="1">IF(INDIRECT("'数据-取费表'!ah"&amp;$G$1)="",INDIRECT("'数据-取费表'!k"&amp;$G$1),INDIRECT("'数据-取费表'!ah"&amp;$G$1))</f>
        <v>0</v>
      </c>
      <c r="G7" s="1848"/>
      <c r="H7" s="345"/>
      <c r="I7" s="3127"/>
      <c r="J7" s="347"/>
      <c r="K7" s="348"/>
      <c r="L7" s="343" t="s">
        <v>1406</v>
      </c>
      <c r="M7" s="344">
        <f ca="1">F7</f>
        <v>0</v>
      </c>
    </row>
    <row r="8" spans="1:37" ht="18" customHeight="1">
      <c r="A8" s="345"/>
      <c r="B8" s="3127"/>
      <c r="C8" s="347"/>
      <c r="D8" s="348"/>
      <c r="E8" s="343" t="s">
        <v>1407</v>
      </c>
      <c r="F8" s="344">
        <f ca="1">INDIRECT("'数据-取费表'!ai"&amp;$G$1)</f>
        <v>0</v>
      </c>
      <c r="G8" s="1848"/>
      <c r="H8" s="345"/>
      <c r="I8" s="3127"/>
      <c r="J8" s="347"/>
      <c r="K8" s="348"/>
      <c r="L8" s="343" t="s">
        <v>1407</v>
      </c>
      <c r="M8" s="344">
        <f ca="1">INDIRECT("'数据-取费表'!ai"&amp;$G$1)</f>
        <v>0</v>
      </c>
    </row>
    <row r="9" spans="1:37" ht="18" customHeight="1">
      <c r="A9" s="345"/>
      <c r="B9" s="3128"/>
      <c r="C9" s="347"/>
      <c r="D9" s="348"/>
      <c r="E9" s="343" t="s">
        <v>1408</v>
      </c>
      <c r="F9" s="353">
        <f ca="1">INDIRECT("'数据-取费表'!w"&amp;$G$1)</f>
        <v>0</v>
      </c>
      <c r="G9" s="1848"/>
      <c r="H9" s="345"/>
      <c r="I9" s="3128"/>
      <c r="J9" s="347"/>
      <c r="K9" s="348"/>
      <c r="L9" s="354" t="s">
        <v>1408</v>
      </c>
      <c r="M9" s="355">
        <f ca="1">INDIRECT("'数据-取费表'!ab"&amp;$G$1)</f>
        <v>0</v>
      </c>
    </row>
    <row r="10" spans="1:37" ht="18" customHeight="1">
      <c r="A10" s="1288" t="s">
        <v>1039</v>
      </c>
      <c r="B10" s="1820" t="s">
        <v>1409</v>
      </c>
      <c r="C10" s="357">
        <f ca="1">ROUND(IF(F10="押一",C6/12*F11,IF(F10="押二",C6/12*2*F11,IF(F10="押三",C6/12*3*F11,C11*F11))),0)</f>
        <v>0</v>
      </c>
      <c r="D10" s="1821" t="s">
        <v>3026</v>
      </c>
      <c r="E10" s="354" t="s">
        <v>1410</v>
      </c>
      <c r="F10" s="1363"/>
      <c r="G10" s="1848"/>
      <c r="H10" s="1288" t="s">
        <v>1039</v>
      </c>
      <c r="I10" s="1820" t="s">
        <v>1409</v>
      </c>
      <c r="J10" s="342">
        <f ca="1">ROUND(IF(M10="押一",J6/12*M11,IF(M10="押二",J6/12*2*M11,IF(M10="押三",J6/12*3*M11,J11*M11))),0)</f>
        <v>0</v>
      </c>
      <c r="K10" s="1832" t="s">
        <v>3028</v>
      </c>
      <c r="L10" s="354" t="s">
        <v>1410</v>
      </c>
      <c r="M10" s="1363"/>
    </row>
    <row r="11" spans="1:37" ht="18" customHeight="1">
      <c r="A11" s="349"/>
      <c r="B11" s="1822" t="s">
        <v>1602</v>
      </c>
      <c r="C11" s="1175"/>
      <c r="D11" s="348"/>
      <c r="E11" s="354" t="s">
        <v>1412</v>
      </c>
      <c r="F11" s="355">
        <f ca="1">'数据-取费表'!B39</f>
        <v>1.4999999999999999E-2</v>
      </c>
      <c r="G11" s="1848"/>
      <c r="H11" s="1296"/>
      <c r="I11" s="1822" t="s">
        <v>1603</v>
      </c>
      <c r="J11" s="1175"/>
      <c r="K11" s="742"/>
      <c r="L11" s="354"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1">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3" t="s">
        <v>1417</v>
      </c>
      <c r="C14" s="359">
        <f ca="1">ROUND(INDIRECT("'数据-取费表'!l"&amp;$G$1)*F43+'数据-取费表'!L14*INDIRECT("'数据-取费表'!S"&amp;$G$1),0)</f>
        <v>0</v>
      </c>
      <c r="D14" s="1797" t="s">
        <v>1418</v>
      </c>
      <c r="E14" s="1791"/>
      <c r="F14" s="360"/>
      <c r="G14" s="1848"/>
      <c r="H14" s="1198" t="s">
        <v>1035</v>
      </c>
      <c r="I14" s="343" t="s">
        <v>1419</v>
      </c>
      <c r="J14" s="24">
        <f ca="1">C29</f>
        <v>0</v>
      </c>
      <c r="K14" s="15"/>
      <c r="L14" s="976"/>
      <c r="M14" s="977"/>
    </row>
    <row r="15" spans="1:37" s="1855" customFormat="1" ht="18" customHeight="1" thickBot="1">
      <c r="A15" s="1198" t="s">
        <v>1036</v>
      </c>
      <c r="B15" s="343" t="s">
        <v>1420</v>
      </c>
      <c r="C15" s="24">
        <f ca="1">ROUND(C14*F15,0)</f>
        <v>0</v>
      </c>
      <c r="D15" s="361" t="s">
        <v>1421</v>
      </c>
      <c r="E15" s="361" t="s">
        <v>1422</v>
      </c>
      <c r="F15" s="362">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3" t="s">
        <v>1423</v>
      </c>
      <c r="C16" s="24">
        <f ca="1">ROUND(INDIRECT("'数据-取费表'!l"&amp;$G$1)*F43*F16,0)</f>
        <v>0</v>
      </c>
      <c r="D16" s="343" t="s">
        <v>1421</v>
      </c>
      <c r="E16" s="343" t="s">
        <v>1422</v>
      </c>
      <c r="F16" s="363">
        <f ca="1">IF(INDIRECT("'数据-取费表'!c"&amp;$G$1)="住宅",'数据-取费表'!B34,0)</f>
        <v>0</v>
      </c>
      <c r="G16" s="1848"/>
      <c r="H16" s="1326" t="s">
        <v>1030</v>
      </c>
      <c r="I16" s="1327" t="s">
        <v>1424</v>
      </c>
      <c r="J16" s="351">
        <f ca="1">ROUND(J17+J22+J23+J24,0)</f>
        <v>0</v>
      </c>
      <c r="K16" s="1334" t="s">
        <v>1425</v>
      </c>
      <c r="L16" s="1335"/>
      <c r="M16" s="1291"/>
    </row>
    <row r="17" spans="1:37" s="1855" customFormat="1" ht="18" customHeight="1">
      <c r="A17" s="1198" t="s">
        <v>1390</v>
      </c>
      <c r="B17" s="343" t="s">
        <v>1426</v>
      </c>
      <c r="C17" s="24">
        <f ca="1">ROUND(F17*(F43+INDIRECT("'数据-取费表'!S"&amp;$G$1)),0)</f>
        <v>0</v>
      </c>
      <c r="D17" s="343" t="s">
        <v>1427</v>
      </c>
      <c r="E17" s="343" t="s">
        <v>1428</v>
      </c>
      <c r="F17" s="26">
        <f>'数据-取费表'!B35</f>
        <v>200</v>
      </c>
      <c r="G17" s="1851"/>
      <c r="H17" s="1198" t="s">
        <v>1035</v>
      </c>
      <c r="I17" s="343" t="s">
        <v>1429</v>
      </c>
      <c r="J17" s="24">
        <f ca="1">ROUND(IF(项目基本情况!B11="自然人",J5*M17,J18+J19+J20),0)</f>
        <v>0</v>
      </c>
      <c r="K17" s="1797" t="s">
        <v>1430</v>
      </c>
      <c r="L17" s="1795" t="s">
        <v>1431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3" t="s">
        <v>1432</v>
      </c>
      <c r="C18" s="24">
        <f ca="1">ROUND(C14*F18,0)</f>
        <v>0</v>
      </c>
      <c r="D18" s="343" t="s">
        <v>1421</v>
      </c>
      <c r="E18" s="343" t="s">
        <v>1422</v>
      </c>
      <c r="F18" s="363">
        <f>'数据-取费表'!B36</f>
        <v>1.4999999999999999E-2</v>
      </c>
      <c r="G18" s="1851"/>
      <c r="H18" s="1198" t="s">
        <v>1034</v>
      </c>
      <c r="I18" s="343" t="s">
        <v>1433</v>
      </c>
      <c r="J18" s="24">
        <f ca="1">ROUND(J5*M18/(1+'数据-取费表'!C42),0)</f>
        <v>0</v>
      </c>
      <c r="K18" s="1795" t="s">
        <v>1434</v>
      </c>
      <c r="L18" s="343" t="s">
        <v>1422</v>
      </c>
      <c r="M18" s="363">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3" t="s">
        <v>1435</v>
      </c>
      <c r="C19" s="24">
        <f ca="1">SUM(C14:C18)</f>
        <v>0</v>
      </c>
      <c r="D19" s="136" t="s">
        <v>1436</v>
      </c>
      <c r="E19" s="1815"/>
      <c r="F19" s="26"/>
      <c r="G19" s="1848"/>
      <c r="H19" s="1198" t="s">
        <v>1036</v>
      </c>
      <c r="I19" s="343" t="s">
        <v>1437</v>
      </c>
      <c r="J19" s="24">
        <f ca="1">IF(K19="按租金收入计税",ROUND(J5*M19,0),ROUND(C29*M19*0.7,0))</f>
        <v>0</v>
      </c>
      <c r="K19" s="1825" t="s">
        <v>1438</v>
      </c>
      <c r="L19" s="343" t="s">
        <v>1422</v>
      </c>
      <c r="M19" s="363">
        <f>IF(K19="按租金收入计税",'数据-取费表'!B51,'数据-取费表'!B50)</f>
        <v>1.2E-2</v>
      </c>
    </row>
    <row r="20" spans="1:37" s="1855" customFormat="1" ht="18" customHeight="1">
      <c r="A20" s="1198" t="s">
        <v>1039</v>
      </c>
      <c r="B20" s="343" t="s">
        <v>1439</v>
      </c>
      <c r="C20" s="24">
        <f ca="1">ROUND(C19*F20,0)</f>
        <v>0</v>
      </c>
      <c r="D20" s="365" t="s">
        <v>1440</v>
      </c>
      <c r="E20" s="343" t="s">
        <v>1422</v>
      </c>
      <c r="F20" s="363">
        <f>'数据-取费表'!B37</f>
        <v>1.4999999999999999E-2</v>
      </c>
      <c r="G20" s="1851"/>
      <c r="H20" s="1198" t="s">
        <v>1389</v>
      </c>
      <c r="I20" s="160" t="s">
        <v>1441</v>
      </c>
      <c r="J20" s="25">
        <f ca="1">ROUND(M20*M21,0)</f>
        <v>0</v>
      </c>
      <c r="K20" s="366" t="s">
        <v>1442</v>
      </c>
      <c r="L20" s="343" t="s">
        <v>1443</v>
      </c>
      <c r="M20" s="367">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3" t="s">
        <v>1444</v>
      </c>
      <c r="C21" s="24" t="s">
        <v>1</v>
      </c>
      <c r="D21" s="365" t="s">
        <v>1445</v>
      </c>
      <c r="E21" s="343" t="s">
        <v>1446</v>
      </c>
      <c r="F21" s="363">
        <f>'数据-取费表'!B38</f>
        <v>0.02</v>
      </c>
      <c r="G21" s="1851"/>
      <c r="H21" s="368"/>
      <c r="I21" s="352"/>
      <c r="J21" s="29"/>
      <c r="K21" s="369"/>
      <c r="L21" s="343" t="s">
        <v>1447</v>
      </c>
      <c r="M21" s="344">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3" t="s">
        <v>1448</v>
      </c>
      <c r="C22" s="24"/>
      <c r="D22" s="136" t="str">
        <f>IF(F23&lt;=1,"单利计息。","复利计息。")&amp;"建造成本、管理费用、销售费用产生的利息。"</f>
        <v>复利计息。建造成本、管理费用、销售费用产生的利息。</v>
      </c>
      <c r="E22" s="1815"/>
      <c r="F22" s="26"/>
      <c r="G22" s="1848"/>
      <c r="H22" s="1198" t="s">
        <v>1039</v>
      </c>
      <c r="I22" s="343" t="s">
        <v>1449</v>
      </c>
      <c r="J22" s="24">
        <f ca="1">ROUND(J14*M22,0)</f>
        <v>0</v>
      </c>
      <c r="K22" s="1795" t="s">
        <v>1450</v>
      </c>
      <c r="L22" s="343" t="s">
        <v>1422</v>
      </c>
      <c r="M22" s="370">
        <f ca="1">INDIRECT("'数据-取费表'!Ak"&amp;$G$1)</f>
        <v>0</v>
      </c>
    </row>
    <row r="23" spans="1:37" s="1855" customFormat="1" ht="18" customHeight="1">
      <c r="A23" s="1198"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51"/>
      <c r="H23" s="1198" t="s">
        <v>1075</v>
      </c>
      <c r="I23" s="343" t="s">
        <v>1453</v>
      </c>
      <c r="J23" s="24">
        <f ca="1">ROUND(J13*M23,0)</f>
        <v>0</v>
      </c>
      <c r="K23" s="1795" t="s">
        <v>1454</v>
      </c>
      <c r="L23" s="343" t="s">
        <v>1455</v>
      </c>
      <c r="M23" s="372">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3" t="s">
        <v>1461</v>
      </c>
      <c r="C25" s="24"/>
      <c r="D25" s="136" t="s">
        <v>1462</v>
      </c>
      <c r="E25" s="1815"/>
      <c r="F25" s="26"/>
      <c r="G25" s="1848"/>
      <c r="H25" s="1326" t="s">
        <v>1031</v>
      </c>
      <c r="I25" s="1341" t="s">
        <v>1463</v>
      </c>
      <c r="J25" s="351">
        <f ca="1">J5-J16</f>
        <v>0</v>
      </c>
      <c r="K25" s="1342" t="s">
        <v>1464</v>
      </c>
      <c r="L25" s="1343"/>
      <c r="M25" s="1344"/>
    </row>
    <row r="26" spans="1:37" ht="18" customHeight="1">
      <c r="A26" s="1198" t="s">
        <v>1034</v>
      </c>
      <c r="B26" s="343" t="s">
        <v>1465</v>
      </c>
      <c r="C26" s="24">
        <f ca="1">ROUND((C19+C20)*F26,0)</f>
        <v>0</v>
      </c>
      <c r="D26" s="365" t="s">
        <v>1466</v>
      </c>
      <c r="E26" s="354" t="s">
        <v>1467</v>
      </c>
      <c r="F26" s="353">
        <f ca="1">INDIRECT("'数据-取费表'!q"&amp;$G$1)</f>
        <v>0</v>
      </c>
      <c r="G26" s="1848"/>
      <c r="H26" s="340" t="s">
        <v>1032</v>
      </c>
      <c r="I26" s="341" t="s">
        <v>1468</v>
      </c>
      <c r="J26" s="342">
        <f ca="1">IF(J5&lt;&gt;0,ROUND(J25*(1-((1+M28)/(1+M26))^M27)/(M26-M28),0),0)</f>
        <v>0</v>
      </c>
      <c r="K26" s="366" t="s">
        <v>1469</v>
      </c>
      <c r="L26" s="343" t="s">
        <v>1470</v>
      </c>
      <c r="M26" s="353">
        <f ca="1">INDIRECT("'数据-取费表'!I"&amp;$G$1)</f>
        <v>0</v>
      </c>
    </row>
    <row r="27" spans="1:37" ht="18" customHeight="1">
      <c r="A27" s="1198" t="s">
        <v>1036</v>
      </c>
      <c r="B27" s="343" t="s">
        <v>1471</v>
      </c>
      <c r="C27" s="24">
        <f ca="1">ROUND(F21*F26,4)</f>
        <v>0</v>
      </c>
      <c r="D27" s="365" t="s">
        <v>1472</v>
      </c>
      <c r="E27" s="361"/>
      <c r="F27" s="362"/>
      <c r="G27" s="1848"/>
      <c r="H27" s="345"/>
      <c r="I27" s="346"/>
      <c r="J27" s="347"/>
      <c r="K27" s="374" t="s">
        <v>1473</v>
      </c>
      <c r="L27" s="343" t="s">
        <v>1474</v>
      </c>
      <c r="M27" s="375">
        <f ca="1">INDIRECT("'数据-取费表'!ag"&amp;$G$1)</f>
        <v>0</v>
      </c>
    </row>
    <row r="28" spans="1:37" s="1855" customFormat="1" ht="18" customHeight="1">
      <c r="A28" s="1198" t="s">
        <v>1037</v>
      </c>
      <c r="B28" s="343" t="s">
        <v>1475</v>
      </c>
      <c r="C28" s="24">
        <f>ROUND(F28/(1+'数据-取费表'!C42),4)</f>
        <v>5.2400000000000002E-2</v>
      </c>
      <c r="D28" s="365" t="s">
        <v>1476</v>
      </c>
      <c r="E28" s="343" t="s">
        <v>1422</v>
      </c>
      <c r="F28" s="363">
        <f>'数据-取费表'!B41</f>
        <v>5.5000000000000007E-2</v>
      </c>
      <c r="G28" s="1851"/>
      <c r="H28" s="349"/>
      <c r="I28" s="350"/>
      <c r="J28" s="351"/>
      <c r="K28" s="369"/>
      <c r="L28" s="343" t="s">
        <v>1477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6" t="s">
        <v>1033</v>
      </c>
      <c r="I29" s="377" t="s">
        <v>1479</v>
      </c>
      <c r="J29" s="378">
        <f ca="1">ROUND(J26/(1+F40)^F41,0)</f>
        <v>0</v>
      </c>
      <c r="K29" s="379" t="s">
        <v>1480</v>
      </c>
      <c r="L29" s="380"/>
      <c r="M29" s="381">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1">
        <f ca="1">ROUND(C31+C36+C37+C38,0)</f>
        <v>0</v>
      </c>
      <c r="D30" s="1334" t="s">
        <v>1425</v>
      </c>
      <c r="E30" s="1335"/>
      <c r="F30" s="1291"/>
      <c r="G30" s="1848"/>
      <c r="H30" s="739"/>
      <c r="I30" s="740"/>
      <c r="J30" s="741"/>
      <c r="K30" s="742"/>
      <c r="L30" s="743"/>
      <c r="M30" s="744"/>
    </row>
    <row r="31" spans="1:37" ht="18" customHeight="1">
      <c r="A31" s="1198" t="s">
        <v>1035</v>
      </c>
      <c r="B31" s="343" t="s">
        <v>1429</v>
      </c>
      <c r="C31" s="24">
        <f ca="1">ROUND(IF(项目基本情况!B11="自然人",C5*F31,C32+C33+C34),0)</f>
        <v>0</v>
      </c>
      <c r="D31" s="1797" t="s">
        <v>1430</v>
      </c>
      <c r="E31" s="1795" t="s">
        <v>1481</v>
      </c>
      <c r="F31" s="364" t="str">
        <f ca="1">IF(项目基本情况!B11="企业","",IF(INDIRECT("'数据-取费表'!c"&amp;$G$1)="住宅",5%,IF(F6*F7*F8/12/(1+'数据-取费表'!C42)&gt;20000,12%,7%)))</f>
        <v/>
      </c>
      <c r="G31" s="1848"/>
      <c r="H31" s="739"/>
      <c r="I31" s="740"/>
      <c r="J31" s="741"/>
      <c r="K31" s="742"/>
      <c r="L31" s="743"/>
      <c r="M31" s="744"/>
    </row>
    <row r="32" spans="1:37" ht="18" customHeight="1">
      <c r="A32" s="1198" t="s">
        <v>1034</v>
      </c>
      <c r="B32" s="343" t="s">
        <v>1433</v>
      </c>
      <c r="C32" s="24">
        <f ca="1">IF(项目基本情况!B11="自然人","——",ROUND(C5*F32/(1+'数据-取费表'!C42),0))</f>
        <v>0</v>
      </c>
      <c r="D32" s="1795" t="s">
        <v>1434</v>
      </c>
      <c r="E32" s="343" t="s">
        <v>1422</v>
      </c>
      <c r="F32" s="373">
        <f>'数据-取费表'!B41</f>
        <v>5.5000000000000007E-2</v>
      </c>
      <c r="G32" s="1848"/>
      <c r="H32" s="739"/>
      <c r="I32" s="740"/>
      <c r="J32" s="741"/>
      <c r="K32" s="742"/>
      <c r="L32" s="743"/>
      <c r="M32" s="744"/>
    </row>
    <row r="33" spans="1:18" ht="18" customHeight="1">
      <c r="A33" s="1198" t="s">
        <v>1036</v>
      </c>
      <c r="B33" s="343" t="s">
        <v>1437</v>
      </c>
      <c r="C33" s="24">
        <f ca="1">IF(项目基本情况!B11="自然人","——",IF(D33="按租金收入计税",ROUND(C5*F33,0),IF(D33="按房产原值计税",ROUND(C29*F33*0.7,0),INDIRECT("'数据-取费表'!Aj"&amp;$G$1))))</f>
        <v>0</v>
      </c>
      <c r="D33" s="1825" t="s">
        <v>1438</v>
      </c>
      <c r="E33" s="343" t="s">
        <v>1422</v>
      </c>
      <c r="F33" s="363">
        <f>IF(D33="按票据","——",IF(D33="按租金收入计税",'数据-取费表'!B51,'数据-取费表'!B50))</f>
        <v>1.2E-2</v>
      </c>
      <c r="G33" s="1848"/>
      <c r="H33" s="1856"/>
      <c r="I33" s="1857"/>
      <c r="J33" s="1858"/>
      <c r="K33" s="1859"/>
      <c r="L33" s="1856"/>
      <c r="M33" s="1856"/>
    </row>
    <row r="34" spans="1:18" ht="18" customHeight="1">
      <c r="A34" s="1288" t="s">
        <v>1389</v>
      </c>
      <c r="B34" s="160" t="s">
        <v>1441</v>
      </c>
      <c r="C34" s="25">
        <f ca="1">IF(项目基本情况!B11="自然人","——",ROUND(F34*F35,))</f>
        <v>0</v>
      </c>
      <c r="D34" s="366" t="s">
        <v>1442</v>
      </c>
      <c r="E34" s="343" t="s">
        <v>1443</v>
      </c>
      <c r="F34" s="367">
        <f>'数据-取费表'!B52</f>
        <v>1.5</v>
      </c>
      <c r="G34" s="1848"/>
      <c r="H34" s="739"/>
      <c r="I34" s="1857"/>
      <c r="J34" s="1858"/>
      <c r="K34" s="1860"/>
      <c r="L34" s="1861"/>
      <c r="M34" s="1861"/>
    </row>
    <row r="35" spans="1:18" ht="18" customHeight="1">
      <c r="A35" s="1350"/>
      <c r="B35" s="1348"/>
      <c r="C35" s="29"/>
      <c r="D35" s="369"/>
      <c r="E35" s="343" t="s">
        <v>1447</v>
      </c>
      <c r="F35" s="344">
        <f ca="1">INDIRECT("'数据-取费表'!r"&amp;$G$1)</f>
        <v>0</v>
      </c>
      <c r="G35" s="1848"/>
      <c r="H35" s="739"/>
      <c r="I35" s="1857"/>
      <c r="J35" s="1858"/>
      <c r="K35" s="1859"/>
      <c r="L35" s="1856"/>
      <c r="M35" s="1856"/>
    </row>
    <row r="36" spans="1:18" ht="18" customHeight="1">
      <c r="A36" s="1349" t="s">
        <v>1039</v>
      </c>
      <c r="B36" s="343" t="s">
        <v>1449</v>
      </c>
      <c r="C36" s="24">
        <f ca="1">ROUND(C29*F36,0)</f>
        <v>0</v>
      </c>
      <c r="D36" s="1795" t="s">
        <v>1482</v>
      </c>
      <c r="E36" s="343" t="s">
        <v>1422</v>
      </c>
      <c r="F36" s="370">
        <f ca="1">INDIRECT("'数据-取费表'!Ak"&amp;$G$1)</f>
        <v>0</v>
      </c>
      <c r="G36" s="1848"/>
      <c r="H36" s="1856"/>
      <c r="I36" s="1857"/>
      <c r="J36" s="1858"/>
      <c r="K36" s="745"/>
      <c r="L36" s="1856"/>
      <c r="M36" s="1856"/>
    </row>
    <row r="37" spans="1:18" ht="18" customHeight="1">
      <c r="A37" s="1198" t="s">
        <v>1075</v>
      </c>
      <c r="B37" s="343" t="s">
        <v>1453</v>
      </c>
      <c r="C37" s="24">
        <f ca="1">ROUND(C13*F37,0)</f>
        <v>0</v>
      </c>
      <c r="D37" s="1795" t="s">
        <v>1454</v>
      </c>
      <c r="E37" s="343" t="s">
        <v>1455</v>
      </c>
      <c r="F37" s="372">
        <f ca="1">INDIRECT("'数据-取费表'!Al"&amp;$G$1)</f>
        <v>0</v>
      </c>
      <c r="G37" s="1848"/>
      <c r="H37" s="1856"/>
      <c r="I37" s="1857"/>
      <c r="J37" s="1858"/>
      <c r="K37" s="745"/>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1">
        <f ca="1">C5-C30</f>
        <v>0</v>
      </c>
      <c r="D39" s="1342" t="s">
        <v>1484</v>
      </c>
      <c r="E39" s="1343"/>
      <c r="F39" s="1344"/>
      <c r="G39" s="1848"/>
      <c r="H39" s="1856"/>
      <c r="I39" s="1857"/>
      <c r="J39" s="1858"/>
      <c r="K39" s="1862"/>
      <c r="L39" s="1856"/>
      <c r="M39" s="1856"/>
    </row>
    <row r="40" spans="1:18" ht="18" customHeight="1">
      <c r="A40" s="340" t="s">
        <v>1032</v>
      </c>
      <c r="B40" s="341" t="s">
        <v>1485</v>
      </c>
      <c r="C40" s="342" t="e">
        <f ca="1">ROUND(C39*(1-((1+F42)/(1+F40))^F41)/(F40-F42),0)</f>
        <v>#DIV/0!</v>
      </c>
      <c r="D40" s="366" t="s">
        <v>1469</v>
      </c>
      <c r="E40" s="343" t="s">
        <v>1470</v>
      </c>
      <c r="F40" s="353">
        <f ca="1">INDIRECT("'数据-取费表'!I"&amp;$G$1)</f>
        <v>0</v>
      </c>
      <c r="G40" s="1848"/>
      <c r="H40" s="1836"/>
      <c r="I40" s="1857"/>
      <c r="J40" s="1858"/>
      <c r="K40" s="1862"/>
      <c r="L40" s="1836"/>
      <c r="M40" s="1836"/>
    </row>
    <row r="41" spans="1:18" ht="18" customHeight="1">
      <c r="A41" s="345"/>
      <c r="B41" s="346"/>
      <c r="C41" s="347"/>
      <c r="D41" s="374" t="s">
        <v>1486</v>
      </c>
      <c r="E41" s="343" t="s">
        <v>1474</v>
      </c>
      <c r="F41" s="375">
        <f ca="1">IF(INDIRECT("'数据-取费表'!af"&amp;$G$1)=0,INDIRECT("'数据-取费表'!ae"&amp;$G$1),INDIRECT("'数据-取费表'!af"&amp;$G$1))</f>
        <v>0</v>
      </c>
      <c r="G41" s="1848"/>
      <c r="H41" s="726"/>
      <c r="I41" s="1857"/>
      <c r="J41" s="1858"/>
      <c r="K41" s="745"/>
      <c r="L41" s="726"/>
      <c r="M41" s="726"/>
    </row>
    <row r="42" spans="1:18" ht="18" customHeight="1">
      <c r="A42" s="349"/>
      <c r="B42" s="350"/>
      <c r="C42" s="351"/>
      <c r="D42" s="369"/>
      <c r="E42" s="343" t="s">
        <v>1477</v>
      </c>
      <c r="F42" s="353">
        <f ca="1">INDIRECT("'数据-取费表'!v"&amp;$G$1)</f>
        <v>0</v>
      </c>
      <c r="G42" s="1848"/>
      <c r="H42" s="726"/>
      <c r="I42" s="1857"/>
      <c r="J42" s="1858"/>
      <c r="K42" s="745"/>
      <c r="L42" s="726"/>
      <c r="M42" s="726"/>
    </row>
    <row r="43" spans="1:18" ht="18" customHeight="1" thickBot="1">
      <c r="A43" s="376" t="s">
        <v>1033</v>
      </c>
      <c r="B43" s="377" t="s">
        <v>1487</v>
      </c>
      <c r="C43" s="378" t="e">
        <f ca="1">ROUND(C40/F43,0)</f>
        <v>#DIV/0!</v>
      </c>
      <c r="D43" s="379" t="s">
        <v>1488</v>
      </c>
      <c r="E43" s="380" t="s">
        <v>1489</v>
      </c>
      <c r="F43" s="381">
        <f ca="1">INDIRECT("'数据-取费表'!k"&amp;$G$1)</f>
        <v>0</v>
      </c>
      <c r="G43" s="1848"/>
      <c r="H43" s="726"/>
      <c r="I43" s="726"/>
      <c r="J43" s="726"/>
      <c r="K43" s="745"/>
      <c r="L43" s="726"/>
      <c r="M43" s="726"/>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86"/>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1" t="s">
        <v>1401</v>
      </c>
      <c r="C48" s="1814">
        <f ca="1">C49+C53+C55</f>
        <v>0</v>
      </c>
      <c r="D48" s="1359"/>
      <c r="E48" s="1360"/>
      <c r="F48" s="1178"/>
      <c r="G48" s="786"/>
      <c r="H48" s="787"/>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87"/>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87"/>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4">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5" t="s">
        <v>1409</v>
      </c>
      <c r="C53" s="357">
        <f ca="1">ROUND(IF(F53="押一",C49/12*F11,IF(F53="押二",C49/12*2*F11,IF(F53="押三",C49/12*3*F11,C54*F11))),0)</f>
        <v>0</v>
      </c>
      <c r="D53" s="1821" t="s">
        <v>3029</v>
      </c>
      <c r="E53" s="354" t="s">
        <v>1410</v>
      </c>
      <c r="F53" s="1363"/>
      <c r="I53" s="1902" t="s">
        <v>1547</v>
      </c>
      <c r="J53" s="1903" t="b">
        <f>IF(M47="住宅",J51,IF(D1="——",MIN(J51,L48),IF(D1="在建（套用方法）",MIN(J51,L48-'数据-取费表'!B24),IF(D1="土地（套用方法）",MIN(J51,L48-'数据-取费表'!B20)))))</f>
        <v>0</v>
      </c>
      <c r="K53" s="3124" t="s">
        <v>1548</v>
      </c>
      <c r="L53" s="3125"/>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2">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78">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6" t="s">
        <v>1030</v>
      </c>
      <c r="B58" s="1174" t="s">
        <v>1424</v>
      </c>
      <c r="C58" s="357">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4"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3">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3">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67">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8"/>
      <c r="B63" s="1172"/>
      <c r="C63" s="29"/>
      <c r="D63" s="1182"/>
      <c r="E63" s="1166" t="s">
        <v>1499</v>
      </c>
      <c r="F63" s="344">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0">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2">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3">
        <f t="shared" ca="1" si="0"/>
        <v>0</v>
      </c>
      <c r="O66" s="1881" t="s">
        <v>1041</v>
      </c>
      <c r="P66" s="1882" t="s">
        <v>1558</v>
      </c>
      <c r="Q66" s="1883" t="e">
        <f ca="1">L60</f>
        <v>#DIV/0!</v>
      </c>
      <c r="R66" s="1883" t="s">
        <v>1581</v>
      </c>
    </row>
    <row r="67" spans="1:18" s="1839" customFormat="1" ht="16.5" thickBot="1">
      <c r="A67" s="1173" t="s">
        <v>1031</v>
      </c>
      <c r="B67" s="1183" t="s">
        <v>1463</v>
      </c>
      <c r="C67" s="357">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2" t="e">
        <f ca="1">ROUND(C67*(1-((1+F70)/(1+F68))^F69)/(F68-F70),0)</f>
        <v>#DIV/0!</v>
      </c>
      <c r="D68" s="1181" t="s">
        <v>1469</v>
      </c>
      <c r="E68" s="1166" t="s">
        <v>1470</v>
      </c>
      <c r="F68" s="353">
        <f ca="1">F40</f>
        <v>0</v>
      </c>
      <c r="O68" s="1891" t="s">
        <v>1043</v>
      </c>
      <c r="P68" s="1931" t="s">
        <v>1583</v>
      </c>
      <c r="Q68" s="1883">
        <f ca="1">ROUND(Q69-Q70*Q71,0)</f>
        <v>0</v>
      </c>
      <c r="R68" s="1883" t="s">
        <v>1051</v>
      </c>
    </row>
    <row r="69" spans="1:18" s="1839" customFormat="1" ht="13.5" thickBot="1">
      <c r="A69" s="1167"/>
      <c r="B69" s="1168"/>
      <c r="C69" s="347"/>
      <c r="D69" s="1186" t="s">
        <v>1473</v>
      </c>
      <c r="E69" s="1166" t="s">
        <v>1474</v>
      </c>
      <c r="F69" s="375">
        <f ca="1">F41</f>
        <v>0</v>
      </c>
      <c r="O69" s="1891" t="s">
        <v>1048</v>
      </c>
      <c r="P69" s="1931" t="s">
        <v>1584</v>
      </c>
      <c r="Q69" s="1883">
        <f ca="1">C39</f>
        <v>0</v>
      </c>
      <c r="R69" s="1883" t="s">
        <v>1529</v>
      </c>
    </row>
    <row r="70" spans="1:18" s="1839" customFormat="1" ht="13.5" thickBot="1">
      <c r="A70" s="1170"/>
      <c r="B70" s="1171"/>
      <c r="C70" s="351"/>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78" t="e">
        <f ca="1">ROUND(C68/F71,0)</f>
        <v>#DIV/0!</v>
      </c>
      <c r="D71" s="1189" t="s">
        <v>1488</v>
      </c>
      <c r="E71" s="1190" t="s">
        <v>1489</v>
      </c>
      <c r="F71" s="381">
        <f ca="1">F43</f>
        <v>0</v>
      </c>
      <c r="O71" s="1891" t="s">
        <v>1050</v>
      </c>
      <c r="P71" s="1931" t="s">
        <v>1586</v>
      </c>
      <c r="Q71" s="1894">
        <f ca="1">C76</f>
        <v>0</v>
      </c>
      <c r="R71" s="1883"/>
    </row>
    <row r="72" spans="1:18" s="1839" customFormat="1" ht="13.5" thickBot="1">
      <c r="B72" s="790"/>
      <c r="C72" s="790"/>
      <c r="O72" s="1891" t="s">
        <v>1044</v>
      </c>
      <c r="P72" s="1882" t="s">
        <v>1564</v>
      </c>
      <c r="Q72" s="1894">
        <f>L52</f>
        <v>0</v>
      </c>
      <c r="R72" s="1883"/>
    </row>
    <row r="73" spans="1:18" ht="16.5" thickBot="1">
      <c r="A73" s="1839"/>
      <c r="B73" s="790"/>
      <c r="C73" s="790"/>
      <c r="D73" s="1839"/>
      <c r="E73" s="1839"/>
      <c r="F73" s="1839"/>
      <c r="O73" s="1891" t="s">
        <v>1045</v>
      </c>
      <c r="P73" s="1882" t="s">
        <v>1567</v>
      </c>
      <c r="Q73" s="1883" t="e">
        <f ca="1">L58</f>
        <v>#DIV/0!</v>
      </c>
      <c r="R73" s="1883" t="s">
        <v>1568</v>
      </c>
    </row>
    <row r="74" spans="1:18" ht="13.5" thickBot="1">
      <c r="A74" s="1839"/>
      <c r="B74" s="313"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2" t="s">
        <v>1506</v>
      </c>
      <c r="C75" s="383">
        <f ca="1">ROUND(C13*C76,0)</f>
        <v>0</v>
      </c>
      <c r="D75" s="1839"/>
      <c r="E75" s="1839"/>
      <c r="F75" s="1839"/>
      <c r="K75" s="1865"/>
      <c r="L75" s="1839"/>
      <c r="O75" s="1881" t="s">
        <v>1046</v>
      </c>
      <c r="P75" s="1882" t="s">
        <v>1549</v>
      </c>
      <c r="Q75" s="1883" t="e">
        <f ca="1">Q65+Q66</f>
        <v>#DIV/0!</v>
      </c>
      <c r="R75" s="1883" t="s">
        <v>1047</v>
      </c>
    </row>
    <row r="76" spans="1:18">
      <c r="B76" s="384" t="s">
        <v>1507</v>
      </c>
      <c r="C76" s="385">
        <f ca="1">INDIRECT("'数据-取费表'!j"&amp;$G$1)</f>
        <v>0</v>
      </c>
      <c r="I76" s="1839"/>
      <c r="J76" s="1839"/>
      <c r="K76" s="1865"/>
      <c r="L76" s="1839"/>
    </row>
    <row r="77" spans="1:18">
      <c r="B77" s="386" t="s">
        <v>1508</v>
      </c>
      <c r="C77" s="387"/>
      <c r="I77" s="1839"/>
      <c r="J77" s="1839"/>
      <c r="K77" s="1865"/>
      <c r="L77" s="1839"/>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2511</v>
      </c>
      <c r="B1" s="2558"/>
      <c r="C1" s="2558"/>
      <c r="D1" s="2558"/>
      <c r="E1" s="2559"/>
    </row>
    <row r="2" spans="1:6" ht="15.75">
      <c r="A2" s="2560" t="s">
        <v>2314</v>
      </c>
      <c r="B2" s="2561">
        <f ca="1">SUMIF(B6:B13,"&lt;&gt;#ref!",B6:B13)</f>
        <v>6057</v>
      </c>
      <c r="C2" s="2562" t="s">
        <v>2504</v>
      </c>
      <c r="D2" s="2563" t="s">
        <v>2505</v>
      </c>
      <c r="E2" s="2564">
        <f>SUM(E6:E13)</f>
        <v>36066.83</v>
      </c>
    </row>
    <row r="3" spans="1:6" ht="15.75">
      <c r="A3" s="2560" t="s">
        <v>1395</v>
      </c>
      <c r="B3" s="2561">
        <f ca="1">ROUND(B2*10000/E2,0)</f>
        <v>1679</v>
      </c>
      <c r="C3" s="2562" t="s">
        <v>2512</v>
      </c>
      <c r="D3" s="2565"/>
      <c r="E3" s="2566"/>
    </row>
    <row r="4" spans="1:6" ht="15.75">
      <c r="A4" s="2567"/>
      <c r="B4" s="2565"/>
      <c r="C4" s="2565"/>
      <c r="D4" s="2565"/>
      <c r="E4" s="2566"/>
    </row>
    <row r="5" spans="1:6" ht="15">
      <c r="A5" s="2568" t="s">
        <v>2506</v>
      </c>
      <c r="B5" s="3129" t="s">
        <v>2507</v>
      </c>
      <c r="C5" s="3129"/>
      <c r="D5" s="2569"/>
      <c r="E5" s="2570" t="s">
        <v>2508</v>
      </c>
      <c r="F5" s="2571" t="s">
        <v>2509</v>
      </c>
    </row>
    <row r="6" spans="1:6">
      <c r="A6" s="2572">
        <f>'数据-取费表'!AN6</f>
        <v>0</v>
      </c>
      <c r="B6" s="2571" t="e">
        <f ca="1">IF(F6="是",'数据-取费表'!AO6,0)</f>
        <v>#REF!</v>
      </c>
      <c r="C6" s="2562" t="s">
        <v>2504</v>
      </c>
      <c r="D6" s="2565"/>
      <c r="E6" s="2573">
        <f>IF(OR(A6=0,F6="否"),0,'数据-取费表'!K6+'数据-取费表'!S6)</f>
        <v>0</v>
      </c>
      <c r="F6" s="2574" t="s">
        <v>2510</v>
      </c>
    </row>
    <row r="7" spans="1:6">
      <c r="A7" s="2572">
        <f>'数据-取费表'!AN7</f>
        <v>0</v>
      </c>
      <c r="B7" s="2571" t="e">
        <f ca="1">IF(F7="是",'数据-取费表'!AO7,0)</f>
        <v>#REF!</v>
      </c>
      <c r="C7" s="2562" t="s">
        <v>2504</v>
      </c>
      <c r="D7" s="2565"/>
      <c r="E7" s="2573">
        <f>IF(OR(A7=0,F7="否"),0,'数据-取费表'!K7+'数据-取费表'!S7)</f>
        <v>0</v>
      </c>
      <c r="F7" s="2574" t="s">
        <v>2510</v>
      </c>
    </row>
    <row r="8" spans="1:6">
      <c r="A8" s="2572" t="str">
        <f>'数据-取费表'!AN8</f>
        <v>收益法</v>
      </c>
      <c r="B8" s="2571">
        <f ca="1">IF(F8="是",'数据-取费表'!AO8,0)</f>
        <v>6057</v>
      </c>
      <c r="C8" s="2562" t="s">
        <v>2504</v>
      </c>
      <c r="D8" s="2565"/>
      <c r="E8" s="2573">
        <f>IF(OR(A8=0,F8="否"),0,'数据-取费表'!K8+'数据-取费表'!S8)</f>
        <v>36066.83</v>
      </c>
      <c r="F8" s="2574" t="s">
        <v>2510</v>
      </c>
    </row>
    <row r="9" spans="1:6">
      <c r="A9" s="2572">
        <f>'数据-取费表'!AN9</f>
        <v>0</v>
      </c>
      <c r="B9" s="2571" t="e">
        <f ca="1">IF(F9="是",'数据-取费表'!AO9,0)</f>
        <v>#REF!</v>
      </c>
      <c r="C9" s="2562" t="s">
        <v>2504</v>
      </c>
      <c r="D9" s="2565"/>
      <c r="E9" s="2573">
        <f>IF(OR(A9=0,F9="否"),0,'数据-取费表'!K9+'数据-取费表'!S9)</f>
        <v>0</v>
      </c>
      <c r="F9" s="2574" t="s">
        <v>2510</v>
      </c>
    </row>
    <row r="10" spans="1:6">
      <c r="A10" s="2572">
        <f>'数据-取费表'!AN10</f>
        <v>0</v>
      </c>
      <c r="B10" s="2571" t="e">
        <f ca="1">IF(F10="是",'数据-取费表'!AO10,0)</f>
        <v>#REF!</v>
      </c>
      <c r="C10" s="2562" t="s">
        <v>2504</v>
      </c>
      <c r="D10" s="2565"/>
      <c r="E10" s="2573">
        <f>IF(OR(A10=0,F10="否"),0,'数据-取费表'!K10+'数据-取费表'!S10)</f>
        <v>0</v>
      </c>
      <c r="F10" s="2574" t="s">
        <v>2510</v>
      </c>
    </row>
    <row r="11" spans="1:6">
      <c r="A11" s="2572">
        <f>'数据-取费表'!AN11</f>
        <v>0</v>
      </c>
      <c r="B11" s="2571" t="e">
        <f ca="1">IF(F11="是",'数据-取费表'!AO11,0)</f>
        <v>#REF!</v>
      </c>
      <c r="C11" s="2562" t="s">
        <v>2504</v>
      </c>
      <c r="D11" s="2565"/>
      <c r="E11" s="2573">
        <f>IF(OR(A11=0,F11="否"),0,'数据-取费表'!K11+'数据-取费表'!S11)</f>
        <v>0</v>
      </c>
      <c r="F11" s="2574" t="s">
        <v>2510</v>
      </c>
    </row>
    <row r="12" spans="1:6">
      <c r="A12" s="2572">
        <f>'数据-取费表'!AN12</f>
        <v>0</v>
      </c>
      <c r="B12" s="2571" t="e">
        <f ca="1">IF(F12="是",'数据-取费表'!AO12,0)</f>
        <v>#REF!</v>
      </c>
      <c r="C12" s="2562" t="s">
        <v>2504</v>
      </c>
      <c r="D12" s="2565"/>
      <c r="E12" s="2573">
        <f>IF(OR(A12=0,F12="否"),0,'数据-取费表'!K12+'数据-取费表'!S12)</f>
        <v>0</v>
      </c>
      <c r="F12" s="2574" t="s">
        <v>2510</v>
      </c>
    </row>
    <row r="13" spans="1:6" ht="15" thickBot="1">
      <c r="A13" s="2575">
        <f>'数据-取费表'!AN13</f>
        <v>0</v>
      </c>
      <c r="B13" s="2571" t="e">
        <f ca="1">IF(F13="是",'数据-取费表'!AO13,0)</f>
        <v>#REF!</v>
      </c>
      <c r="C13" s="2576" t="s">
        <v>2504</v>
      </c>
      <c r="D13" s="2577"/>
      <c r="E13" s="2573">
        <f>IF(OR(A13=0,F13="否"),0,'数据-取费表'!K13+'数据-取费表'!S13)</f>
        <v>0</v>
      </c>
      <c r="F13" s="2574"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36" t="s">
        <v>1077</v>
      </c>
      <c r="B2" s="3137" t="s">
        <v>1078</v>
      </c>
      <c r="C2" s="3137"/>
      <c r="D2" s="1298" t="s">
        <v>1079</v>
      </c>
      <c r="E2" s="1298" t="s">
        <v>1080</v>
      </c>
      <c r="F2" s="1298" t="s">
        <v>1081</v>
      </c>
      <c r="G2" s="1298" t="s">
        <v>1082</v>
      </c>
      <c r="H2" s="1298" t="s">
        <v>1083</v>
      </c>
      <c r="I2" s="1299" t="s">
        <v>1084</v>
      </c>
    </row>
    <row r="3" spans="1:9">
      <c r="A3" s="3136"/>
      <c r="B3" s="3137" t="s">
        <v>1085</v>
      </c>
      <c r="C3" s="3137"/>
      <c r="D3" s="1300"/>
      <c r="E3" s="1298"/>
      <c r="F3" s="1301"/>
      <c r="G3" s="1301"/>
      <c r="H3" s="1302"/>
      <c r="I3" s="1303">
        <f>ROUND(D3*E3*F3*G3*H3/10000,0)</f>
        <v>0</v>
      </c>
    </row>
    <row r="4" spans="1:9">
      <c r="A4" s="3136"/>
      <c r="B4" s="3137" t="s">
        <v>1086</v>
      </c>
      <c r="C4" s="3137"/>
      <c r="D4" s="1300"/>
      <c r="E4" s="1298"/>
      <c r="F4" s="1301"/>
      <c r="G4" s="1301"/>
      <c r="H4" s="1302"/>
      <c r="I4" s="1303">
        <f t="shared" ref="I4:I9" si="0">ROUND(D4*E4*F4*G4*H4/10000,0)</f>
        <v>0</v>
      </c>
    </row>
    <row r="5" spans="1:9">
      <c r="A5" s="3136"/>
      <c r="B5" s="3137" t="s">
        <v>1087</v>
      </c>
      <c r="C5" s="3137"/>
      <c r="D5" s="1300"/>
      <c r="E5" s="1298"/>
      <c r="F5" s="1301"/>
      <c r="G5" s="1301"/>
      <c r="H5" s="1302"/>
      <c r="I5" s="1303">
        <f t="shared" si="0"/>
        <v>0</v>
      </c>
    </row>
    <row r="6" spans="1:9">
      <c r="A6" s="3136"/>
      <c r="B6" s="3137" t="s">
        <v>1088</v>
      </c>
      <c r="C6" s="3137"/>
      <c r="D6" s="1300"/>
      <c r="E6" s="1298"/>
      <c r="F6" s="1301"/>
      <c r="G6" s="1301"/>
      <c r="H6" s="1302"/>
      <c r="I6" s="1303">
        <f t="shared" si="0"/>
        <v>0</v>
      </c>
    </row>
    <row r="7" spans="1:9">
      <c r="A7" s="3136"/>
      <c r="B7" s="3137" t="s">
        <v>1089</v>
      </c>
      <c r="C7" s="3137"/>
      <c r="D7" s="1300"/>
      <c r="E7" s="1298"/>
      <c r="F7" s="1301"/>
      <c r="G7" s="1301"/>
      <c r="H7" s="1302"/>
      <c r="I7" s="1303">
        <f t="shared" si="0"/>
        <v>0</v>
      </c>
    </row>
    <row r="8" spans="1:9">
      <c r="A8" s="3136"/>
      <c r="B8" s="3137" t="s">
        <v>1090</v>
      </c>
      <c r="C8" s="3137"/>
      <c r="D8" s="1300"/>
      <c r="E8" s="1298"/>
      <c r="F8" s="1301"/>
      <c r="G8" s="1301"/>
      <c r="H8" s="1302"/>
      <c r="I8" s="1303">
        <f t="shared" si="0"/>
        <v>0</v>
      </c>
    </row>
    <row r="9" spans="1:9">
      <c r="A9" s="3136"/>
      <c r="B9" s="3137" t="s">
        <v>1091</v>
      </c>
      <c r="C9" s="3137"/>
      <c r="D9" s="1300"/>
      <c r="E9" s="1298"/>
      <c r="F9" s="1301"/>
      <c r="G9" s="1301"/>
      <c r="H9" s="1302"/>
      <c r="I9" s="1303">
        <f t="shared" si="0"/>
        <v>0</v>
      </c>
    </row>
    <row r="10" spans="1:9">
      <c r="A10" s="3136"/>
      <c r="B10" s="3138" t="s">
        <v>1092</v>
      </c>
      <c r="C10" s="3138"/>
      <c r="D10" s="1304"/>
      <c r="E10" s="1304" t="e">
        <f>ROUND(D1*10000/D10/H9,0)</f>
        <v>#DIV/0!</v>
      </c>
      <c r="F10" s="1305"/>
      <c r="G10" s="1305"/>
      <c r="H10" s="1306"/>
      <c r="I10" s="1307">
        <f>SUM(I3:I9)</f>
        <v>0</v>
      </c>
    </row>
    <row r="11" spans="1:9" ht="14.25">
      <c r="A11" s="3136" t="s">
        <v>1093</v>
      </c>
      <c r="B11" s="3137" t="s">
        <v>1094</v>
      </c>
      <c r="C11" s="3137"/>
      <c r="D11" s="1300" t="s">
        <v>1095</v>
      </c>
      <c r="E11" s="1300" t="s">
        <v>1096</v>
      </c>
      <c r="F11" s="1301" t="s">
        <v>1097</v>
      </c>
      <c r="G11" s="1301" t="s">
        <v>1083</v>
      </c>
      <c r="H11" s="1308" t="s">
        <v>1098</v>
      </c>
      <c r="I11" s="1299" t="s">
        <v>1084</v>
      </c>
    </row>
    <row r="12" spans="1:9">
      <c r="A12" s="3136"/>
      <c r="B12" s="3137" t="s">
        <v>1099</v>
      </c>
      <c r="C12" s="3137"/>
      <c r="D12" s="1300"/>
      <c r="E12" s="1300"/>
      <c r="F12" s="1301"/>
      <c r="G12" s="1302"/>
      <c r="H12" s="1309"/>
      <c r="I12" s="1299">
        <f>ROUND(D12*E12*F12*G12/10000,0)</f>
        <v>0</v>
      </c>
    </row>
    <row r="13" spans="1:9">
      <c r="A13" s="3136"/>
      <c r="B13" s="3137" t="s">
        <v>1100</v>
      </c>
      <c r="C13" s="3137"/>
      <c r="D13" s="1300"/>
      <c r="E13" s="1300"/>
      <c r="F13" s="1301"/>
      <c r="G13" s="1302"/>
      <c r="H13" s="1309"/>
      <c r="I13" s="1299">
        <f>ROUND(D13*E13*F13*G13/10000,0)</f>
        <v>0</v>
      </c>
    </row>
    <row r="14" spans="1:9">
      <c r="A14" s="3136"/>
      <c r="B14" s="3137" t="s">
        <v>1101</v>
      </c>
      <c r="C14" s="3137"/>
      <c r="D14" s="1300"/>
      <c r="E14" s="1300"/>
      <c r="F14" s="1301"/>
      <c r="G14" s="1302"/>
      <c r="H14" s="1309"/>
      <c r="I14" s="1299">
        <f>ROUND(D14*E14*F14*G14/10000,0)</f>
        <v>0</v>
      </c>
    </row>
    <row r="15" spans="1:9">
      <c r="A15" s="3136"/>
      <c r="B15" s="3138" t="s">
        <v>1092</v>
      </c>
      <c r="C15" s="3138"/>
      <c r="D15" s="1304"/>
      <c r="E15" s="1304">
        <f>SUM(E12:E14)</f>
        <v>0</v>
      </c>
      <c r="F15" s="1305"/>
      <c r="G15" s="1302"/>
      <c r="H15" s="1309"/>
      <c r="I15" s="1310">
        <f>SUM(I12:I14)</f>
        <v>0</v>
      </c>
    </row>
    <row r="16" spans="1:9" ht="24">
      <c r="A16" s="3136" t="s">
        <v>1102</v>
      </c>
      <c r="B16" s="3137" t="s">
        <v>1103</v>
      </c>
      <c r="C16" s="3137"/>
      <c r="D16" s="1300" t="s">
        <v>1079</v>
      </c>
      <c r="E16" s="1311" t="s">
        <v>1104</v>
      </c>
      <c r="F16" s="1301" t="s">
        <v>1105</v>
      </c>
      <c r="G16" s="1302" t="s">
        <v>1083</v>
      </c>
      <c r="H16" s="1308" t="s">
        <v>1098</v>
      </c>
      <c r="I16" s="1299" t="s">
        <v>1084</v>
      </c>
    </row>
    <row r="17" spans="1:9" ht="14.25">
      <c r="A17" s="3136"/>
      <c r="B17" s="3137" t="s">
        <v>1106</v>
      </c>
      <c r="C17" s="3137"/>
      <c r="D17" s="1300"/>
      <c r="E17" s="1300"/>
      <c r="F17" s="1301"/>
      <c r="G17" s="1302"/>
      <c r="H17" s="1312"/>
      <c r="I17" s="1313">
        <f>ROUND(D17*E17*F17*G17/10000,0)</f>
        <v>0</v>
      </c>
    </row>
    <row r="18" spans="1:9" ht="14.25">
      <c r="A18" s="3136"/>
      <c r="B18" s="3137" t="s">
        <v>1107</v>
      </c>
      <c r="C18" s="3137"/>
      <c r="D18" s="1300"/>
      <c r="E18" s="1300"/>
      <c r="F18" s="1301"/>
      <c r="G18" s="1302"/>
      <c r="H18" s="1312"/>
      <c r="I18" s="1313">
        <f>ROUND(D18*E18*F18*G18/10000,0)</f>
        <v>0</v>
      </c>
    </row>
    <row r="19" spans="1:9" ht="14.25">
      <c r="A19" s="3136"/>
      <c r="B19" s="3137" t="s">
        <v>1108</v>
      </c>
      <c r="C19" s="3137"/>
      <c r="D19" s="1300"/>
      <c r="E19" s="1300"/>
      <c r="F19" s="1301"/>
      <c r="G19" s="1302"/>
      <c r="H19" s="1312"/>
      <c r="I19" s="1313">
        <f>ROUND(D19*E19*F19*G19/10000,0)</f>
        <v>0</v>
      </c>
    </row>
    <row r="20" spans="1:9">
      <c r="A20" s="3136"/>
      <c r="B20" s="3138" t="s">
        <v>1092</v>
      </c>
      <c r="C20" s="3138"/>
      <c r="D20" s="1304">
        <f>SUM(D17:D19)</f>
        <v>0</v>
      </c>
      <c r="E20" s="1304"/>
      <c r="F20" s="1305"/>
      <c r="G20" s="1302"/>
      <c r="H20" s="1309"/>
      <c r="I20" s="1310">
        <f>SUM(I17:I19)</f>
        <v>0</v>
      </c>
    </row>
    <row r="21" spans="1:9">
      <c r="A21" s="3136" t="s">
        <v>1109</v>
      </c>
      <c r="B21" s="3139"/>
      <c r="C21" s="3139"/>
      <c r="D21" s="3139"/>
      <c r="E21" s="3139"/>
      <c r="F21" s="3139"/>
      <c r="G21" s="3139"/>
      <c r="H21" s="1762">
        <v>0.1</v>
      </c>
      <c r="I21" s="1307">
        <f>ROUND(I10*H21,0)</f>
        <v>0</v>
      </c>
    </row>
    <row r="22" spans="1:9" ht="14.25">
      <c r="A22" s="3140" t="s">
        <v>1110</v>
      </c>
      <c r="B22" s="3141"/>
      <c r="C22" s="3142"/>
      <c r="D22" s="1314" t="s">
        <v>1111</v>
      </c>
      <c r="E22" s="1314" t="s">
        <v>1112</v>
      </c>
      <c r="F22" s="1315" t="s">
        <v>1113</v>
      </c>
      <c r="G22" s="1315" t="s">
        <v>1114</v>
      </c>
      <c r="H22" s="1308" t="s">
        <v>1115</v>
      </c>
      <c r="I22" s="1299" t="s">
        <v>1116</v>
      </c>
    </row>
    <row r="23" spans="1:9" ht="14.25" thickBot="1">
      <c r="A23" s="3143"/>
      <c r="B23" s="3144"/>
      <c r="C23" s="3145"/>
      <c r="D23" s="1316"/>
      <c r="E23" s="1316"/>
      <c r="F23" s="1316"/>
      <c r="G23" s="1317"/>
      <c r="H23" s="1318"/>
      <c r="I23" s="1319">
        <f>ROUND(E23*D23*F23*(1-G23)/10000,0)</f>
        <v>0</v>
      </c>
    </row>
    <row r="26" spans="1:9">
      <c r="A26" s="1320" t="s">
        <v>1117</v>
      </c>
      <c r="B26" s="1320"/>
      <c r="C26" s="1320"/>
      <c r="D26" s="1320"/>
      <c r="E26" s="3133">
        <f>C27-C30-C31-C32</f>
        <v>0</v>
      </c>
      <c r="F26" s="3133"/>
      <c r="G26" s="3133"/>
      <c r="H26" s="1734" t="s">
        <v>1340</v>
      </c>
    </row>
    <row r="27" spans="1:9">
      <c r="A27" s="1321">
        <v>1</v>
      </c>
      <c r="B27" s="1322" t="s">
        <v>1118</v>
      </c>
      <c r="C27" s="1322">
        <f>C28+C29</f>
        <v>0</v>
      </c>
      <c r="D27" s="1322"/>
      <c r="E27" s="3134"/>
      <c r="F27" s="3134"/>
      <c r="G27" s="3134"/>
    </row>
    <row r="28" spans="1:9">
      <c r="A28" s="1323" t="s">
        <v>1119</v>
      </c>
      <c r="B28" s="1322" t="s">
        <v>1120</v>
      </c>
      <c r="C28" s="1322"/>
      <c r="D28" s="1322"/>
      <c r="E28" s="3134"/>
      <c r="F28" s="3134"/>
      <c r="G28" s="3134"/>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35"/>
      <c r="F32" s="3135"/>
      <c r="G32" s="3135"/>
    </row>
    <row r="33" spans="1:7" hidden="1">
      <c r="A33" s="3130" t="s">
        <v>1129</v>
      </c>
      <c r="B33" s="3131"/>
      <c r="C33" s="3131"/>
      <c r="D33" s="3132"/>
      <c r="E33" s="3133"/>
      <c r="F33" s="3133"/>
      <c r="G33" s="3133"/>
    </row>
    <row r="34" spans="1:7" hidden="1">
      <c r="A34" s="1325">
        <v>1</v>
      </c>
      <c r="B34" s="1322" t="s">
        <v>1130</v>
      </c>
      <c r="C34" s="1322"/>
      <c r="D34" s="1322"/>
      <c r="E34" s="3134"/>
      <c r="F34" s="3134"/>
      <c r="G34" s="3134"/>
    </row>
    <row r="35" spans="1:7" hidden="1">
      <c r="A35" s="1325">
        <v>2</v>
      </c>
      <c r="B35" s="1322" t="s">
        <v>1131</v>
      </c>
      <c r="C35" s="1322"/>
      <c r="D35" s="1322"/>
      <c r="E35" s="3134"/>
      <c r="F35" s="3134"/>
      <c r="G35" s="3134"/>
    </row>
    <row r="36" spans="1:7" hidden="1">
      <c r="A36" s="1325">
        <v>3</v>
      </c>
      <c r="B36" s="1322" t="s">
        <v>1132</v>
      </c>
      <c r="C36" s="1322"/>
      <c r="D36" s="1322"/>
      <c r="E36" s="3134"/>
      <c r="F36" s="3134"/>
      <c r="G36" s="3134"/>
    </row>
    <row r="37" spans="1:7" hidden="1">
      <c r="A37" s="1325">
        <v>4</v>
      </c>
      <c r="B37" s="1322" t="s">
        <v>1133</v>
      </c>
      <c r="C37" s="1322"/>
      <c r="D37" s="1322"/>
      <c r="E37" s="3134"/>
      <c r="F37" s="3134"/>
      <c r="G37" s="3134"/>
    </row>
    <row r="38" spans="1:7" hidden="1">
      <c r="A38" s="3130" t="s">
        <v>1134</v>
      </c>
      <c r="B38" s="3131"/>
      <c r="C38" s="3131"/>
      <c r="D38" s="3132"/>
      <c r="E38" s="3133"/>
      <c r="F38" s="3133"/>
      <c r="G38" s="31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北京绿地京瑞房地产开发有限公司：</v>
      </c>
    </row>
    <row r="4" spans="1:1" ht="36">
      <c r="A4" s="1945" t="str">
        <f>"受贵公司委托，我公司对"&amp;项目基本情况!S1&amp;"进行了预评估。"</f>
        <v>受贵公司委托，我公司对北京市大兴区北臧村生物医药基地DX00-0502-0013地块出让国有建设用地使用权及在建建筑物房地产抵押价值进行了预评估。</v>
      </c>
    </row>
    <row r="5" spans="1:1" ht="18.75">
      <c r="A5" s="1946" t="s">
        <v>1612</v>
      </c>
    </row>
    <row r="6" spans="1:1" ht="18.75">
      <c r="A6" s="1947" t="s">
        <v>1613</v>
      </c>
    </row>
    <row r="7" spans="1:1" ht="1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1" ht="57.75">
      <c r="A8" s="1948" t="s">
        <v>1614</v>
      </c>
    </row>
    <row r="9" spans="1:1" ht="18.75">
      <c r="A9" s="1947" t="s">
        <v>1615</v>
      </c>
    </row>
    <row r="10" spans="1:1" ht="1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2018年5月17日（评估专业人员实地查勘之日）</v>
      </c>
    </row>
    <row r="16" spans="1:1" ht="18.75">
      <c r="A16" s="1950" t="s">
        <v>1619</v>
      </c>
    </row>
    <row r="17" spans="1:1" ht="75">
      <c r="A17" s="1945" t="s">
        <v>1620</v>
      </c>
    </row>
    <row r="18" spans="1:1" ht="36">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578" t="s">
        <v>2514</v>
      </c>
      <c r="C1" s="1631" t="s">
        <v>2515</v>
      </c>
      <c r="D1" s="1618"/>
      <c r="E1" s="2579"/>
      <c r="F1" s="2580" t="s">
        <v>2516</v>
      </c>
      <c r="G1" s="1628" t="s">
        <v>2517</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89" customFormat="1" ht="28.5" customHeight="1" thickTop="1">
      <c r="A2" s="1614" t="s">
        <v>1394</v>
      </c>
      <c r="B2" s="1415" t="e">
        <f ca="1">IF(C2="——",ROUND(C49*D3/10000,0),ROUND(C49*D3/10000,0)-D2)</f>
        <v>#DIV/0!</v>
      </c>
      <c r="C2" s="2582"/>
      <c r="D2" s="1362" t="e">
        <f ca="1">SUMIF(INDIRECT("'"&amp;F2&amp;"'"&amp;"!A:A"),"承租人权益价值",INDIRECT("'"&amp;F2&amp;"'"&amp;"!c:c"))</f>
        <v>#REF!</v>
      </c>
      <c r="E2" s="2583" t="s">
        <v>2518</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89" customFormat="1" ht="28.5" customHeight="1" thickBot="1">
      <c r="A3" s="243" t="s">
        <v>1395</v>
      </c>
      <c r="B3" s="395" t="e">
        <f ca="1">IF(C2="——",C49,ROUND(B2*10000/D3,0))</f>
        <v>#DIV/0!</v>
      </c>
      <c r="C3" s="396" t="s">
        <v>2519</v>
      </c>
      <c r="D3" s="395">
        <f>IF(D1="",'数据-汇总表'!E3,SUMIF('数据-汇总表'!$C19:$C33,D1,'数据-汇总表'!$E19:$E33))</f>
        <v>183405</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7" t="s">
        <v>2520</v>
      </c>
      <c r="B4" s="398"/>
      <c r="C4" s="3169" t="s">
        <v>2521</v>
      </c>
      <c r="D4" s="3170"/>
      <c r="E4" s="3171" t="s">
        <v>2522</v>
      </c>
      <c r="F4" s="3172"/>
      <c r="G4" s="3169" t="s">
        <v>2523</v>
      </c>
      <c r="H4" s="3170"/>
      <c r="I4" s="3169" t="s">
        <v>2524</v>
      </c>
      <c r="J4" s="3170"/>
      <c r="K4" s="2592" t="s">
        <v>2525</v>
      </c>
      <c r="L4" s="1127"/>
      <c r="M4" s="1128"/>
      <c r="N4" s="1128"/>
      <c r="O4" s="1128"/>
      <c r="P4" s="3173" t="s">
        <v>2526</v>
      </c>
      <c r="Q4" s="3174"/>
      <c r="R4" s="3179" t="s">
        <v>2522</v>
      </c>
      <c r="S4" s="3180"/>
      <c r="T4" s="3179" t="s">
        <v>2523</v>
      </c>
      <c r="U4" s="3180"/>
      <c r="V4" s="3185" t="s">
        <v>2524</v>
      </c>
      <c r="W4" s="3185"/>
      <c r="X4" s="1810"/>
      <c r="Y4" s="3179" t="s">
        <v>2526</v>
      </c>
      <c r="Z4" s="3180"/>
      <c r="AA4" s="3166" t="s">
        <v>2522</v>
      </c>
      <c r="AB4" s="3166" t="s">
        <v>2523</v>
      </c>
      <c r="AC4" s="3166" t="s">
        <v>2524</v>
      </c>
    </row>
    <row r="5" spans="1:29" ht="15">
      <c r="A5" s="400"/>
      <c r="B5" s="401"/>
      <c r="C5" s="3188" t="s">
        <v>2527</v>
      </c>
      <c r="D5" s="3189"/>
      <c r="E5" s="3195" t="s">
        <v>2528</v>
      </c>
      <c r="F5" s="3196"/>
      <c r="G5" s="3188" t="s">
        <v>2529</v>
      </c>
      <c r="H5" s="3189"/>
      <c r="I5" s="3188" t="s">
        <v>2530</v>
      </c>
      <c r="J5" s="3189"/>
      <c r="K5" s="2593"/>
      <c r="L5" s="1127"/>
      <c r="M5" s="1128"/>
      <c r="N5" s="1128"/>
      <c r="O5" s="1128"/>
      <c r="P5" s="3175"/>
      <c r="Q5" s="3176"/>
      <c r="R5" s="3181"/>
      <c r="S5" s="3182"/>
      <c r="T5" s="3181"/>
      <c r="U5" s="3182"/>
      <c r="V5" s="3185"/>
      <c r="W5" s="3185"/>
      <c r="X5" s="1810"/>
      <c r="Y5" s="3181"/>
      <c r="Z5" s="3182"/>
      <c r="AA5" s="3167"/>
      <c r="AB5" s="3167"/>
      <c r="AC5" s="3167"/>
    </row>
    <row r="6" spans="1:29" ht="15.75" thickBot="1">
      <c r="A6" s="402"/>
      <c r="B6" s="403"/>
      <c r="C6" s="3186" t="s">
        <v>2531</v>
      </c>
      <c r="D6" s="3187"/>
      <c r="E6" s="3193" t="s">
        <v>2531</v>
      </c>
      <c r="F6" s="3194"/>
      <c r="G6" s="3186" t="s">
        <v>2531</v>
      </c>
      <c r="H6" s="3187"/>
      <c r="I6" s="3186" t="s">
        <v>2531</v>
      </c>
      <c r="J6" s="3187"/>
      <c r="K6" s="2593" t="s">
        <v>2532</v>
      </c>
      <c r="L6" s="1127"/>
      <c r="M6" s="1128"/>
      <c r="N6" s="1128"/>
      <c r="O6" s="1128"/>
      <c r="P6" s="3177"/>
      <c r="Q6" s="3178"/>
      <c r="R6" s="3181"/>
      <c r="S6" s="3182"/>
      <c r="T6" s="3183"/>
      <c r="U6" s="3184"/>
      <c r="V6" s="3185"/>
      <c r="W6" s="3185"/>
      <c r="X6" s="1810"/>
      <c r="Y6" s="3183"/>
      <c r="Z6" s="3184"/>
      <c r="AA6" s="3168"/>
      <c r="AB6" s="3168"/>
      <c r="AC6" s="3168"/>
    </row>
    <row r="7" spans="1:29" s="114" customFormat="1" ht="15.75" thickBot="1">
      <c r="A7" s="404" t="s">
        <v>2533</v>
      </c>
      <c r="B7" s="405"/>
      <c r="C7" s="406">
        <f>'数据-取费表'!B2</f>
        <v>43237</v>
      </c>
      <c r="D7" s="407">
        <v>100</v>
      </c>
      <c r="E7" s="408"/>
      <c r="F7" s="409">
        <f>SUMIF(58:58,YEAR(E7)&amp;"-"&amp;MONTH(E7),59:59)</f>
        <v>0</v>
      </c>
      <c r="G7" s="408"/>
      <c r="H7" s="407">
        <f>SUMIF(58:58,YEAR(G7)&amp;"-"&amp;MONTH(G7),59:59)</f>
        <v>0</v>
      </c>
      <c r="I7" s="408"/>
      <c r="J7" s="407">
        <f>SUMIF(58:58,YEAR(I7)&amp;"-"&amp;MONTH(I7),59:59)</f>
        <v>0</v>
      </c>
      <c r="K7" s="2594"/>
      <c r="L7" s="1129"/>
      <c r="M7" s="1130"/>
      <c r="N7" s="1130"/>
      <c r="O7" s="1130"/>
      <c r="P7" s="3190" t="s">
        <v>2534</v>
      </c>
      <c r="Q7" s="3192"/>
      <c r="R7" s="764" t="s">
        <v>23</v>
      </c>
      <c r="S7" s="765">
        <f t="shared" ref="S7:S15" si="0">F7</f>
        <v>0</v>
      </c>
      <c r="T7" s="764" t="s">
        <v>23</v>
      </c>
      <c r="U7" s="765">
        <f t="shared" ref="U7:U15" si="1">H7</f>
        <v>0</v>
      </c>
      <c r="V7" s="764" t="s">
        <v>23</v>
      </c>
      <c r="W7" s="765">
        <f t="shared" ref="W7:W15" si="2">J7</f>
        <v>0</v>
      </c>
      <c r="X7" s="766"/>
      <c r="Y7" s="3190" t="s">
        <v>2534</v>
      </c>
      <c r="Z7" s="3191"/>
      <c r="AA7" s="767" t="e">
        <f>D7/F7</f>
        <v>#DIV/0!</v>
      </c>
      <c r="AB7" s="767" t="e">
        <f>D7/H7</f>
        <v>#DIV/0!</v>
      </c>
      <c r="AC7" s="767" t="e">
        <f>D7/J7</f>
        <v>#DIV/0!</v>
      </c>
    </row>
    <row r="8" spans="1:29" s="114" customFormat="1" ht="15.75" thickBot="1">
      <c r="A8" s="404" t="s">
        <v>2535</v>
      </c>
      <c r="B8" s="405"/>
      <c r="C8" s="410" t="s">
        <v>2536</v>
      </c>
      <c r="D8" s="407">
        <v>100</v>
      </c>
      <c r="E8" s="2595"/>
      <c r="F8" s="409">
        <f>SUMIF(61:61,E8,62:62)-SUMIF(61:61,C8,62:62)+100</f>
        <v>0</v>
      </c>
      <c r="G8" s="410"/>
      <c r="H8" s="407">
        <f>SUMIF(61:61,G8,62:62)-SUMIF(61:61,C8,62:62)+100</f>
        <v>0</v>
      </c>
      <c r="I8" s="2595"/>
      <c r="J8" s="407">
        <f>SUMIF(61:61,I8,62:62)-SUMIF(61:61,C8,62:62)+100</f>
        <v>0</v>
      </c>
      <c r="K8" s="2594"/>
      <c r="L8" s="1129"/>
      <c r="M8" s="1130"/>
      <c r="N8" s="1130"/>
      <c r="O8" s="1130"/>
      <c r="P8" s="3190" t="s">
        <v>2537</v>
      </c>
      <c r="Q8" s="3191"/>
      <c r="R8" s="764" t="s">
        <v>23</v>
      </c>
      <c r="S8" s="765">
        <f t="shared" si="0"/>
        <v>0</v>
      </c>
      <c r="T8" s="764" t="s">
        <v>23</v>
      </c>
      <c r="U8" s="765">
        <f t="shared" si="1"/>
        <v>0</v>
      </c>
      <c r="V8" s="764" t="s">
        <v>23</v>
      </c>
      <c r="W8" s="765">
        <f t="shared" si="2"/>
        <v>0</v>
      </c>
      <c r="X8" s="766"/>
      <c r="Y8" s="3190" t="s">
        <v>2537</v>
      </c>
      <c r="Z8" s="3191"/>
      <c r="AA8" s="767" t="e">
        <f t="shared" ref="AA8:AA19" si="3">D8/F8</f>
        <v>#DIV/0!</v>
      </c>
      <c r="AB8" s="767" t="e">
        <f t="shared" ref="AB8:AB19" si="4">D8/H8</f>
        <v>#DIV/0!</v>
      </c>
      <c r="AC8" s="767" t="e">
        <f t="shared" ref="AC8:AC19" si="5">D8/J8</f>
        <v>#DIV/0!</v>
      </c>
    </row>
    <row r="9" spans="1:29" s="114" customFormat="1">
      <c r="A9" s="411" t="s">
        <v>2538</v>
      </c>
      <c r="B9" s="69" t="s">
        <v>2539</v>
      </c>
      <c r="C9" s="412"/>
      <c r="D9" s="131">
        <v>100</v>
      </c>
      <c r="E9" s="413"/>
      <c r="F9" s="414">
        <f>SUMIF(63:63,E9,64:64)-SUMIF(63:63,C9,64:64)+100</f>
        <v>100</v>
      </c>
      <c r="G9" s="415"/>
      <c r="H9" s="131">
        <f>SUMIF(63:63,G9,64:64)-SUMIF(63:63,C9,64:64)+100</f>
        <v>100</v>
      </c>
      <c r="I9" s="415"/>
      <c r="J9" s="131">
        <f>SUMIF(63:63,I9,64:64)-SUMIF(63:63,C9,64:64)+100</f>
        <v>100</v>
      </c>
      <c r="K9" s="2594"/>
      <c r="L9" s="1129"/>
      <c r="M9" s="1130"/>
      <c r="N9" s="1130"/>
      <c r="O9" s="1130"/>
      <c r="P9" s="3165" t="s">
        <v>2540</v>
      </c>
      <c r="Q9" s="1792" t="str">
        <f t="shared" ref="Q9:Q15" si="6">B9</f>
        <v>用途</v>
      </c>
      <c r="R9" s="764" t="s">
        <v>17</v>
      </c>
      <c r="S9" s="765">
        <f t="shared" si="0"/>
        <v>100</v>
      </c>
      <c r="T9" s="764" t="s">
        <v>17</v>
      </c>
      <c r="U9" s="765">
        <f t="shared" si="1"/>
        <v>100</v>
      </c>
      <c r="V9" s="764" t="s">
        <v>17</v>
      </c>
      <c r="W9" s="765">
        <f t="shared" si="2"/>
        <v>100</v>
      </c>
      <c r="X9" s="766"/>
      <c r="Y9" s="2982" t="s">
        <v>2541</v>
      </c>
      <c r="Z9" s="55" t="str">
        <f t="shared" ref="Z9:Z15" si="7">Q9</f>
        <v>用途</v>
      </c>
      <c r="AA9" s="767">
        <f t="shared" si="3"/>
        <v>1</v>
      </c>
      <c r="AB9" s="767">
        <f t="shared" si="4"/>
        <v>1</v>
      </c>
      <c r="AC9" s="767">
        <f t="shared" si="5"/>
        <v>1</v>
      </c>
    </row>
    <row r="10" spans="1:29" s="423" customFormat="1" ht="27">
      <c r="A10" s="417"/>
      <c r="B10" s="418" t="s">
        <v>2542</v>
      </c>
      <c r="C10" s="419"/>
      <c r="D10" s="132">
        <v>100</v>
      </c>
      <c r="E10" s="420"/>
      <c r="F10" s="421">
        <f>SUMIF(65:65,E10,66:66)-SUMIF(65:65,C10,66:66)+100</f>
        <v>100</v>
      </c>
      <c r="G10" s="419"/>
      <c r="H10" s="132">
        <f>SUMIF(65:65,G10,66:66)-SUMIF(65:65,C10,66:66)+100</f>
        <v>100</v>
      </c>
      <c r="I10" s="419"/>
      <c r="J10" s="132">
        <f>SUMIF(65:65,I10,66:66)-SUMIF(65:65,C10,66:66)+100</f>
        <v>100</v>
      </c>
      <c r="K10" s="422"/>
      <c r="L10" s="1132"/>
      <c r="M10" s="1133"/>
      <c r="N10" s="1133"/>
      <c r="O10" s="1133"/>
      <c r="P10" s="3165"/>
      <c r="Q10" s="1792" t="str">
        <f t="shared" si="6"/>
        <v>土地使用年限（年）</v>
      </c>
      <c r="R10" s="764" t="s">
        <v>17</v>
      </c>
      <c r="S10" s="765">
        <f t="shared" si="0"/>
        <v>100</v>
      </c>
      <c r="T10" s="764" t="s">
        <v>17</v>
      </c>
      <c r="U10" s="765">
        <f t="shared" si="1"/>
        <v>100</v>
      </c>
      <c r="V10" s="764" t="s">
        <v>17</v>
      </c>
      <c r="W10" s="765">
        <f t="shared" si="2"/>
        <v>100</v>
      </c>
      <c r="X10" s="766"/>
      <c r="Y10" s="2982"/>
      <c r="Z10" s="55" t="str">
        <f t="shared" si="7"/>
        <v>土地使用年限（年）</v>
      </c>
      <c r="AA10" s="767">
        <f t="shared" si="3"/>
        <v>1</v>
      </c>
      <c r="AB10" s="767">
        <f t="shared" si="4"/>
        <v>1</v>
      </c>
      <c r="AC10" s="767">
        <f t="shared" si="5"/>
        <v>1</v>
      </c>
    </row>
    <row r="11" spans="1:29" ht="15">
      <c r="A11" s="424"/>
      <c r="B11" s="418" t="s">
        <v>2543</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5"/>
      <c r="M11" s="1128"/>
      <c r="N11" s="1128"/>
      <c r="O11" s="1128"/>
      <c r="P11" s="3165"/>
      <c r="Q11" s="1792" t="str">
        <f t="shared" si="6"/>
        <v>容积率</v>
      </c>
      <c r="R11" s="764" t="s">
        <v>21</v>
      </c>
      <c r="S11" s="765" t="e">
        <f t="shared" si="0"/>
        <v>#N/A</v>
      </c>
      <c r="T11" s="764" t="s">
        <v>21</v>
      </c>
      <c r="U11" s="765" t="e">
        <f t="shared" si="1"/>
        <v>#N/A</v>
      </c>
      <c r="V11" s="764" t="s">
        <v>21</v>
      </c>
      <c r="W11" s="765" t="e">
        <f t="shared" si="2"/>
        <v>#N/A</v>
      </c>
      <c r="X11" s="766"/>
      <c r="Y11" s="2982"/>
      <c r="Z11" s="55" t="str">
        <f t="shared" si="7"/>
        <v>容积率</v>
      </c>
      <c r="AA11" s="767" t="e">
        <f t="shared" si="3"/>
        <v>#N/A</v>
      </c>
      <c r="AB11" s="767" t="e">
        <f t="shared" si="4"/>
        <v>#N/A</v>
      </c>
      <c r="AC11" s="767" t="e">
        <f t="shared" si="5"/>
        <v>#N/A</v>
      </c>
    </row>
    <row r="12" spans="1:29" s="114" customFormat="1" ht="15">
      <c r="A12" s="427"/>
      <c r="B12" s="2596">
        <v>111</v>
      </c>
      <c r="C12" s="428"/>
      <c r="D12" s="429">
        <v>100</v>
      </c>
      <c r="E12" s="428"/>
      <c r="F12" s="421">
        <f>SUMIF(70:70,E12,71:71)-SUMIF(70:70,C12,71:71)+100</f>
        <v>100</v>
      </c>
      <c r="G12" s="428"/>
      <c r="H12" s="132">
        <f>SUMIF(70:70,G12,71:71)-SUMIF(70:70,C12,71:71)+100</f>
        <v>100</v>
      </c>
      <c r="I12" s="428"/>
      <c r="J12" s="132">
        <f>SUMIF(70:70,I12,71:71)-SUMIF(70:70,C12,71:71)+100</f>
        <v>100</v>
      </c>
      <c r="K12" s="2597"/>
      <c r="L12" s="1129"/>
      <c r="M12" s="1130"/>
      <c r="N12" s="1130"/>
      <c r="O12" s="1130"/>
      <c r="P12" s="3165"/>
      <c r="Q12" s="1792">
        <f t="shared" si="6"/>
        <v>111</v>
      </c>
      <c r="R12" s="764" t="s">
        <v>21</v>
      </c>
      <c r="S12" s="765">
        <f t="shared" si="0"/>
        <v>100</v>
      </c>
      <c r="T12" s="764" t="s">
        <v>21</v>
      </c>
      <c r="U12" s="765">
        <f t="shared" si="1"/>
        <v>100</v>
      </c>
      <c r="V12" s="764" t="s">
        <v>21</v>
      </c>
      <c r="W12" s="765">
        <f t="shared" si="2"/>
        <v>100</v>
      </c>
      <c r="X12" s="766"/>
      <c r="Y12" s="2982"/>
      <c r="Z12" s="55">
        <f t="shared" si="7"/>
        <v>111</v>
      </c>
      <c r="AA12" s="767">
        <f>D12/F12</f>
        <v>1</v>
      </c>
      <c r="AB12" s="767">
        <f>D12/H12</f>
        <v>1</v>
      </c>
      <c r="AC12" s="767">
        <f>D12/J12</f>
        <v>1</v>
      </c>
    </row>
    <row r="13" spans="1:29" ht="15">
      <c r="A13" s="424"/>
      <c r="B13" s="2596">
        <v>111</v>
      </c>
      <c r="C13" s="430"/>
      <c r="D13" s="431">
        <v>100</v>
      </c>
      <c r="E13" s="430"/>
      <c r="F13" s="421">
        <f>SUMIF(72:72,E13,73:73)-SUMIF(72:72,C13,73:73)+100</f>
        <v>100</v>
      </c>
      <c r="G13" s="430"/>
      <c r="H13" s="431">
        <f>SUMIF(72:72,G13,73:73)-SUMIF(72:72,C13,73:73)+100</f>
        <v>100</v>
      </c>
      <c r="I13" s="430"/>
      <c r="J13" s="431">
        <f>SUMIF(72:72,I13,73:73)-SUMIF(72:72,C13,73:73)+100</f>
        <v>100</v>
      </c>
      <c r="K13" s="2597"/>
      <c r="L13" s="1137"/>
      <c r="M13" s="1128"/>
      <c r="N13" s="1128"/>
      <c r="O13" s="1128"/>
      <c r="P13" s="3165"/>
      <c r="Q13" s="1792">
        <f t="shared" si="6"/>
        <v>111</v>
      </c>
      <c r="R13" s="764" t="s">
        <v>21</v>
      </c>
      <c r="S13" s="765">
        <f t="shared" si="0"/>
        <v>100</v>
      </c>
      <c r="T13" s="764" t="s">
        <v>21</v>
      </c>
      <c r="U13" s="765">
        <f t="shared" si="1"/>
        <v>100</v>
      </c>
      <c r="V13" s="764" t="s">
        <v>21</v>
      </c>
      <c r="W13" s="765">
        <f t="shared" si="2"/>
        <v>100</v>
      </c>
      <c r="X13" s="766"/>
      <c r="Y13" s="2982"/>
      <c r="Z13" s="55">
        <f t="shared" si="7"/>
        <v>111</v>
      </c>
      <c r="AA13" s="767">
        <f t="shared" si="3"/>
        <v>1</v>
      </c>
      <c r="AB13" s="767">
        <f t="shared" si="4"/>
        <v>1</v>
      </c>
      <c r="AC13" s="767">
        <f t="shared" si="5"/>
        <v>1</v>
      </c>
    </row>
    <row r="14" spans="1:29" ht="15.75" thickBot="1">
      <c r="A14" s="432"/>
      <c r="B14" s="2598">
        <v>111</v>
      </c>
      <c r="C14" s="433"/>
      <c r="D14" s="434">
        <v>100</v>
      </c>
      <c r="E14" s="433"/>
      <c r="F14" s="435">
        <f>SUMIF(74:74,E14,75:75)-SUMIF(74:74,C14,75:75)+100</f>
        <v>100</v>
      </c>
      <c r="G14" s="433"/>
      <c r="H14" s="434">
        <f>SUMIF(74:74,G14,75:75)-SUMIF(74:74,C14,75:75)+100</f>
        <v>100</v>
      </c>
      <c r="I14" s="433"/>
      <c r="J14" s="434">
        <f>SUMIF(74:74,I14,75:75)-SUMIF(74:74,C14,75:75)+100</f>
        <v>100</v>
      </c>
      <c r="K14" s="2597"/>
      <c r="L14" s="1137"/>
      <c r="M14" s="1128"/>
      <c r="N14" s="1128"/>
      <c r="O14" s="1128"/>
      <c r="P14" s="3165"/>
      <c r="Q14" s="1792">
        <f t="shared" si="6"/>
        <v>111</v>
      </c>
      <c r="R14" s="764" t="s">
        <v>21</v>
      </c>
      <c r="S14" s="765">
        <f t="shared" si="0"/>
        <v>100</v>
      </c>
      <c r="T14" s="764" t="s">
        <v>21</v>
      </c>
      <c r="U14" s="765">
        <f t="shared" si="1"/>
        <v>100</v>
      </c>
      <c r="V14" s="764" t="s">
        <v>21</v>
      </c>
      <c r="W14" s="765">
        <f t="shared" si="2"/>
        <v>100</v>
      </c>
      <c r="X14" s="766"/>
      <c r="Y14" s="2982"/>
      <c r="Z14" s="55">
        <f t="shared" si="7"/>
        <v>111</v>
      </c>
      <c r="AA14" s="767">
        <f t="shared" si="3"/>
        <v>1</v>
      </c>
      <c r="AB14" s="767">
        <f t="shared" si="4"/>
        <v>1</v>
      </c>
      <c r="AC14" s="767">
        <f t="shared" si="5"/>
        <v>1</v>
      </c>
    </row>
    <row r="15" spans="1:29" ht="99.75">
      <c r="A15" s="436" t="s">
        <v>2544</v>
      </c>
      <c r="B15" s="67" t="s">
        <v>2081</v>
      </c>
      <c r="C15" s="2599">
        <f>估价对象房地状况!C3</f>
        <v>0</v>
      </c>
      <c r="D15" s="437">
        <v>100</v>
      </c>
      <c r="E15" s="440"/>
      <c r="F15" s="437">
        <f>SUMIF(76:76,E16,77:77)-SUMIF(76:76,C16,77:77)+100</f>
        <v>100</v>
      </c>
      <c r="G15" s="438"/>
      <c r="H15" s="437">
        <f>SUMIF(76:76,G16,77:77)-SUMIF(76:76,C16,77:77)+100</f>
        <v>100</v>
      </c>
      <c r="I15" s="438"/>
      <c r="J15" s="437">
        <f>SUMIF(76:76,I16,77:77)-SUMIF(76:76,C16,77:77)+100</f>
        <v>100</v>
      </c>
      <c r="K15" s="441"/>
      <c r="L15" s="1137"/>
      <c r="M15" s="1128"/>
      <c r="N15" s="1128"/>
      <c r="O15" s="1128"/>
      <c r="P15" s="3163" t="s">
        <v>2545</v>
      </c>
      <c r="Q15" s="1807" t="str">
        <f t="shared" si="6"/>
        <v>居住社区成熟度</v>
      </c>
      <c r="R15" s="768" t="s">
        <v>21</v>
      </c>
      <c r="S15" s="769">
        <f t="shared" si="0"/>
        <v>100</v>
      </c>
      <c r="T15" s="768" t="s">
        <v>21</v>
      </c>
      <c r="U15" s="769">
        <f t="shared" si="1"/>
        <v>100</v>
      </c>
      <c r="V15" s="768" t="s">
        <v>21</v>
      </c>
      <c r="W15" s="769">
        <f t="shared" si="2"/>
        <v>100</v>
      </c>
      <c r="X15" s="1810"/>
      <c r="Y15" s="3156" t="s">
        <v>2545</v>
      </c>
      <c r="Z15" s="1811" t="str">
        <f t="shared" si="7"/>
        <v>居住社区成熟度</v>
      </c>
      <c r="AA15" s="1808">
        <f t="shared" si="3"/>
        <v>1</v>
      </c>
      <c r="AB15" s="1808">
        <f t="shared" si="4"/>
        <v>1</v>
      </c>
      <c r="AC15" s="1808">
        <f t="shared" si="5"/>
        <v>1</v>
      </c>
    </row>
    <row r="16" spans="1:29" ht="15">
      <c r="A16" s="424"/>
      <c r="B16" s="442"/>
      <c r="C16" s="443"/>
      <c r="D16" s="444"/>
      <c r="E16" s="2600"/>
      <c r="F16" s="444"/>
      <c r="G16" s="2601"/>
      <c r="H16" s="446"/>
      <c r="I16" s="2601"/>
      <c r="J16" s="444"/>
      <c r="K16" s="2602"/>
      <c r="L16" s="1137"/>
      <c r="M16" s="1128"/>
      <c r="N16" s="1128"/>
      <c r="O16" s="1128"/>
      <c r="P16" s="3164"/>
      <c r="Q16" s="1807"/>
      <c r="R16" s="768"/>
      <c r="S16" s="769"/>
      <c r="T16" s="768"/>
      <c r="U16" s="769"/>
      <c r="V16" s="768"/>
      <c r="W16" s="769"/>
      <c r="X16" s="1810"/>
      <c r="Y16" s="3157"/>
      <c r="Z16" s="1811"/>
      <c r="AA16" s="1808">
        <v>1</v>
      </c>
      <c r="AB16" s="1808">
        <v>1</v>
      </c>
      <c r="AC16" s="1808">
        <v>1</v>
      </c>
    </row>
    <row r="17" spans="1:29" ht="85.5">
      <c r="A17" s="424"/>
      <c r="B17" s="447" t="s">
        <v>2087</v>
      </c>
      <c r="C17" s="2603" t="str">
        <f>估价对象房地状况!C6</f>
        <v>估价对象周边仅有829、兴52路公交线路，综合评价交通便捷度一般</v>
      </c>
      <c r="D17" s="446">
        <v>100</v>
      </c>
      <c r="E17" s="450"/>
      <c r="F17" s="446">
        <f>SUMIF(78:78,E18,79:79)-SUMIF(78:78,C18,79:79)+100</f>
        <v>100</v>
      </c>
      <c r="G17" s="448"/>
      <c r="H17" s="451">
        <f>SUMIF(78:78,G18,79:79)-SUMIF(78:78,C18,79:79)+100</f>
        <v>100</v>
      </c>
      <c r="I17" s="448"/>
      <c r="J17" s="451">
        <f>SUMIF(78:78,I18,79:79)-SUMIF(78:78,C18,79:79)+100</f>
        <v>100</v>
      </c>
      <c r="K17" s="441"/>
      <c r="L17" s="1137"/>
      <c r="M17" s="1128"/>
      <c r="N17" s="1128"/>
      <c r="O17" s="1128"/>
      <c r="P17" s="3164"/>
      <c r="Q17" s="1807" t="str">
        <f>B17</f>
        <v>交通便捷度</v>
      </c>
      <c r="R17" s="768" t="s">
        <v>21</v>
      </c>
      <c r="S17" s="769">
        <f>F17</f>
        <v>100</v>
      </c>
      <c r="T17" s="768" t="s">
        <v>21</v>
      </c>
      <c r="U17" s="769">
        <f>H17</f>
        <v>100</v>
      </c>
      <c r="V17" s="768" t="s">
        <v>21</v>
      </c>
      <c r="W17" s="769">
        <f>J17</f>
        <v>100</v>
      </c>
      <c r="X17" s="1810"/>
      <c r="Y17" s="3157"/>
      <c r="Z17" s="1811" t="str">
        <f>Q17</f>
        <v>交通便捷度</v>
      </c>
      <c r="AA17" s="1808">
        <f t="shared" si="3"/>
        <v>1</v>
      </c>
      <c r="AB17" s="1808">
        <f t="shared" si="4"/>
        <v>1</v>
      </c>
      <c r="AC17" s="1808">
        <f t="shared" si="5"/>
        <v>1</v>
      </c>
    </row>
    <row r="18" spans="1:29" ht="15">
      <c r="A18" s="424"/>
      <c r="B18" s="452"/>
      <c r="C18" s="2604"/>
      <c r="D18" s="446"/>
      <c r="E18" s="2605"/>
      <c r="F18" s="446"/>
      <c r="G18" s="2606"/>
      <c r="H18" s="444"/>
      <c r="I18" s="2606"/>
      <c r="J18" s="444"/>
      <c r="K18" s="2602"/>
      <c r="L18" s="1137"/>
      <c r="M18" s="1128"/>
      <c r="N18" s="1128"/>
      <c r="O18" s="1128"/>
      <c r="P18" s="3164"/>
      <c r="Q18" s="1807"/>
      <c r="R18" s="768"/>
      <c r="S18" s="769"/>
      <c r="T18" s="768"/>
      <c r="U18" s="769"/>
      <c r="V18" s="768"/>
      <c r="W18" s="769"/>
      <c r="X18" s="1810"/>
      <c r="Y18" s="3157"/>
      <c r="Z18" s="1811"/>
      <c r="AA18" s="1808">
        <v>1</v>
      </c>
      <c r="AB18" s="1808">
        <v>1</v>
      </c>
      <c r="AC18" s="1808">
        <v>1</v>
      </c>
    </row>
    <row r="19" spans="1:29" ht="42.75">
      <c r="A19" s="424"/>
      <c r="B19" s="447" t="s">
        <v>2086</v>
      </c>
      <c r="C19" s="2603" t="str">
        <f>估价对象房地状况!C7</f>
        <v>估价对象所在区域公共配套设施齐备度一般</v>
      </c>
      <c r="D19" s="451">
        <v>100</v>
      </c>
      <c r="E19" s="455"/>
      <c r="F19" s="451">
        <f>SUMIF(80:80,E20,81:81)-SUMIF(80:80,C20,81:81)+100</f>
        <v>100</v>
      </c>
      <c r="G19" s="453"/>
      <c r="H19" s="446">
        <f>SUMIF(80:80,G20,81:81)-SUMIF(80:80,C20,81:81)+100</f>
        <v>100</v>
      </c>
      <c r="I19" s="453"/>
      <c r="J19" s="446">
        <f>SUMIF(80:80,I20,81:81)-SUMIF(80:80,C20,81:81)+100</f>
        <v>100</v>
      </c>
      <c r="K19" s="441"/>
      <c r="L19" s="1137"/>
      <c r="M19" s="1128"/>
      <c r="N19" s="1128"/>
      <c r="O19" s="1128"/>
      <c r="P19" s="3164"/>
      <c r="Q19" s="1807" t="str">
        <f>B19</f>
        <v>公共配套设施</v>
      </c>
      <c r="R19" s="768" t="s">
        <v>21</v>
      </c>
      <c r="S19" s="769">
        <f>F19</f>
        <v>100</v>
      </c>
      <c r="T19" s="768" t="s">
        <v>21</v>
      </c>
      <c r="U19" s="769">
        <f>H19</f>
        <v>100</v>
      </c>
      <c r="V19" s="768" t="s">
        <v>21</v>
      </c>
      <c r="W19" s="769">
        <f>J19</f>
        <v>100</v>
      </c>
      <c r="X19" s="1810"/>
      <c r="Y19" s="3157"/>
      <c r="Z19" s="1811" t="str">
        <f>Q19</f>
        <v>公共配套设施</v>
      </c>
      <c r="AA19" s="1808">
        <f t="shared" si="3"/>
        <v>1</v>
      </c>
      <c r="AB19" s="1808">
        <f t="shared" si="4"/>
        <v>1</v>
      </c>
      <c r="AC19" s="1808">
        <f t="shared" si="5"/>
        <v>1</v>
      </c>
    </row>
    <row r="20" spans="1:29" ht="15">
      <c r="A20" s="424"/>
      <c r="B20" s="452"/>
      <c r="C20" s="443"/>
      <c r="D20" s="444"/>
      <c r="E20" s="2600"/>
      <c r="F20" s="444"/>
      <c r="G20" s="2601"/>
      <c r="H20" s="444"/>
      <c r="I20" s="2601"/>
      <c r="J20" s="444"/>
      <c r="K20" s="2602"/>
      <c r="L20" s="1137"/>
      <c r="M20" s="1128"/>
      <c r="N20" s="1128"/>
      <c r="O20" s="1128"/>
      <c r="P20" s="3164"/>
      <c r="Q20" s="1807"/>
      <c r="R20" s="768"/>
      <c r="S20" s="769"/>
      <c r="T20" s="768"/>
      <c r="U20" s="769"/>
      <c r="V20" s="768"/>
      <c r="W20" s="769"/>
      <c r="X20" s="1810"/>
      <c r="Y20" s="3157"/>
      <c r="Z20" s="1811"/>
      <c r="AA20" s="1808">
        <v>1</v>
      </c>
      <c r="AB20" s="1808">
        <v>1</v>
      </c>
      <c r="AC20" s="1808">
        <v>1</v>
      </c>
    </row>
    <row r="21" spans="1:29" ht="28.5">
      <c r="A21" s="424"/>
      <c r="B21" s="1381" t="s">
        <v>2088</v>
      </c>
      <c r="C21" s="2603" t="str">
        <f>估价对象房地状况!C8</f>
        <v>估价对象所在区域基础设施水平达七通</v>
      </c>
      <c r="D21" s="446">
        <v>100</v>
      </c>
      <c r="E21" s="455"/>
      <c r="F21" s="451">
        <f>SUMIF(82:82,E22,83:83)-SUMIF(82:82,C22,83:83)+100</f>
        <v>100</v>
      </c>
      <c r="G21" s="453"/>
      <c r="H21" s="446">
        <f>SUMIF(82:82,G22,83:83)-SUMIF(82:82,C22,83:83)+100</f>
        <v>100</v>
      </c>
      <c r="I21" s="453"/>
      <c r="J21" s="446">
        <f>SUMIF(82:82,I22,83:83)-SUMIF(82:82,C22,83:83)+100</f>
        <v>100</v>
      </c>
      <c r="K21" s="441"/>
      <c r="L21" s="1137"/>
      <c r="M21" s="1128"/>
      <c r="N21" s="1128"/>
      <c r="O21" s="1128"/>
      <c r="P21" s="3164"/>
      <c r="Q21" s="1807" t="str">
        <f>B21</f>
        <v>基础设施水平</v>
      </c>
      <c r="R21" s="768" t="s">
        <v>17</v>
      </c>
      <c r="S21" s="769">
        <f>F21</f>
        <v>100</v>
      </c>
      <c r="T21" s="768" t="s">
        <v>17</v>
      </c>
      <c r="U21" s="769">
        <f>H21</f>
        <v>100</v>
      </c>
      <c r="V21" s="768" t="s">
        <v>17</v>
      </c>
      <c r="W21" s="769">
        <f>J21</f>
        <v>100</v>
      </c>
      <c r="X21" s="1810"/>
      <c r="Y21" s="3157"/>
      <c r="Z21" s="1811" t="str">
        <f>Q21</f>
        <v>基础设施水平</v>
      </c>
      <c r="AA21" s="1808">
        <f t="shared" ref="AA21" si="8">D21/F21</f>
        <v>1</v>
      </c>
      <c r="AB21" s="1808">
        <f t="shared" ref="AB21" si="9">D21/H21</f>
        <v>1</v>
      </c>
      <c r="AC21" s="1808">
        <f t="shared" ref="AC21" si="10">D21/J21</f>
        <v>1</v>
      </c>
    </row>
    <row r="22" spans="1:29" ht="15">
      <c r="A22" s="424"/>
      <c r="B22" s="1381"/>
      <c r="C22" s="2604"/>
      <c r="D22" s="444"/>
      <c r="E22" s="443"/>
      <c r="F22" s="444"/>
      <c r="G22" s="2607"/>
      <c r="H22" s="444"/>
      <c r="I22" s="443"/>
      <c r="J22" s="444"/>
      <c r="K22" s="2608"/>
      <c r="L22" s="1137"/>
      <c r="M22" s="1128"/>
      <c r="N22" s="1128"/>
      <c r="O22" s="1128"/>
      <c r="P22" s="3164"/>
      <c r="Q22" s="1807"/>
      <c r="R22" s="768"/>
      <c r="S22" s="769"/>
      <c r="T22" s="768"/>
      <c r="U22" s="769"/>
      <c r="V22" s="768"/>
      <c r="W22" s="769"/>
      <c r="X22" s="1810"/>
      <c r="Y22" s="3157"/>
      <c r="Z22" s="1811"/>
      <c r="AA22" s="1808">
        <v>1</v>
      </c>
      <c r="AB22" s="1808">
        <v>1</v>
      </c>
      <c r="AC22" s="1808">
        <v>1</v>
      </c>
    </row>
    <row r="23" spans="1:29" ht="57">
      <c r="A23" s="424"/>
      <c r="B23" s="447" t="s">
        <v>2090</v>
      </c>
      <c r="C23" s="2603" t="str">
        <f>估价对象房地状况!C9</f>
        <v>周边仅有住宅配套绿化，无大型公园及高等教育机构；综合评价环境状况较差</v>
      </c>
      <c r="D23" s="446">
        <v>100</v>
      </c>
      <c r="E23" s="450"/>
      <c r="F23" s="446">
        <f>SUMIF(84:84,E24,85:85)-SUMIF(84:84,C24,85:85)+100</f>
        <v>100</v>
      </c>
      <c r="G23" s="448"/>
      <c r="H23" s="446">
        <f>SUMIF(84:84,G24,85:85)-SUMIF(84:84,C24,85:85)+100</f>
        <v>100</v>
      </c>
      <c r="I23" s="448"/>
      <c r="J23" s="446">
        <f>SUMIF(84:84,I24,85:85)-SUMIF(84:84,C24,85:85)+100</f>
        <v>100</v>
      </c>
      <c r="K23" s="441"/>
      <c r="L23" s="1137"/>
      <c r="M23" s="1128"/>
      <c r="N23" s="1128"/>
      <c r="O23" s="1128"/>
      <c r="P23" s="3164"/>
      <c r="Q23" s="1807" t="str">
        <f>B23</f>
        <v>自然及人文环境</v>
      </c>
      <c r="R23" s="768" t="s">
        <v>21</v>
      </c>
      <c r="S23" s="769">
        <f>F23</f>
        <v>100</v>
      </c>
      <c r="T23" s="768" t="s">
        <v>21</v>
      </c>
      <c r="U23" s="769">
        <f>H23</f>
        <v>100</v>
      </c>
      <c r="V23" s="768" t="s">
        <v>21</v>
      </c>
      <c r="W23" s="769">
        <f>J23</f>
        <v>100</v>
      </c>
      <c r="X23" s="1810"/>
      <c r="Y23" s="3157"/>
      <c r="Z23" s="1811" t="str">
        <f>Q23</f>
        <v>自然及人文环境</v>
      </c>
      <c r="AA23" s="1808">
        <f>D23/F23</f>
        <v>1</v>
      </c>
      <c r="AB23" s="1808">
        <f>D23/H23</f>
        <v>1</v>
      </c>
      <c r="AC23" s="1808">
        <f>D23/J23</f>
        <v>1</v>
      </c>
    </row>
    <row r="24" spans="1:29" ht="15">
      <c r="A24" s="424"/>
      <c r="B24" s="452"/>
      <c r="C24" s="443"/>
      <c r="D24" s="444"/>
      <c r="E24" s="2600"/>
      <c r="F24" s="444"/>
      <c r="G24" s="2601"/>
      <c r="H24" s="444"/>
      <c r="I24" s="2601"/>
      <c r="J24" s="444"/>
      <c r="K24" s="2602"/>
      <c r="L24" s="1137"/>
      <c r="M24" s="1128"/>
      <c r="N24" s="1128"/>
      <c r="O24" s="1128"/>
      <c r="P24" s="3164"/>
      <c r="Q24" s="1807"/>
      <c r="R24" s="768"/>
      <c r="S24" s="769"/>
      <c r="T24" s="768"/>
      <c r="U24" s="769"/>
      <c r="V24" s="768"/>
      <c r="W24" s="769"/>
      <c r="X24" s="1810"/>
      <c r="Y24" s="3157"/>
      <c r="Z24" s="1811"/>
      <c r="AA24" s="1808">
        <v>1</v>
      </c>
      <c r="AB24" s="1808">
        <v>1</v>
      </c>
      <c r="AC24" s="1808">
        <v>1</v>
      </c>
    </row>
    <row r="25" spans="1:29" ht="15">
      <c r="A25" s="424"/>
      <c r="B25" s="418" t="s">
        <v>2546</v>
      </c>
      <c r="C25" s="456"/>
      <c r="D25" s="431">
        <v>100</v>
      </c>
      <c r="E25" s="2609"/>
      <c r="F25" s="431">
        <f>SUMIF(86:86,E25,87:87)-SUMIF(86:86,C25,87:87)+100</f>
        <v>100</v>
      </c>
      <c r="G25" s="2610"/>
      <c r="H25" s="431">
        <f>SUMIF(86:86,G25,87:87)-SUMIF(86:86,C25,87:87)+100</f>
        <v>100</v>
      </c>
      <c r="I25" s="2610"/>
      <c r="J25" s="431">
        <f>SUMIF(86:86,I25,87:87)-SUMIF(86:86,C25,87:87)+100</f>
        <v>100</v>
      </c>
      <c r="K25" s="422"/>
      <c r="L25" s="1137"/>
      <c r="M25" s="1128"/>
      <c r="N25" s="1128"/>
      <c r="O25" s="1128"/>
      <c r="P25" s="3164"/>
      <c r="Q25" s="1807" t="str">
        <f t="shared" ref="Q25:Q46" si="11">B25</f>
        <v>楼层-1</v>
      </c>
      <c r="R25" s="768" t="s">
        <v>21</v>
      </c>
      <c r="S25" s="769">
        <f t="shared" ref="S25:S46" si="12">F25</f>
        <v>100</v>
      </c>
      <c r="T25" s="768" t="s">
        <v>21</v>
      </c>
      <c r="U25" s="769">
        <f t="shared" ref="U25:U46" si="13">H25</f>
        <v>100</v>
      </c>
      <c r="V25" s="768" t="s">
        <v>21</v>
      </c>
      <c r="W25" s="769">
        <f t="shared" ref="W25:W46" si="14">J25</f>
        <v>100</v>
      </c>
      <c r="X25" s="1810"/>
      <c r="Y25" s="3157"/>
      <c r="Z25" s="1811" t="str">
        <f>Q25</f>
        <v>楼层-1</v>
      </c>
      <c r="AA25" s="1808">
        <f t="shared" ref="AA25:AA46" si="15">D25/F25</f>
        <v>1</v>
      </c>
      <c r="AB25" s="1808">
        <f t="shared" ref="AB25:AB46" si="16">D25/H25</f>
        <v>1</v>
      </c>
      <c r="AC25" s="1808">
        <f t="shared" ref="AC25:AC46" si="17">D25/J25</f>
        <v>1</v>
      </c>
    </row>
    <row r="26" spans="1:29" ht="15">
      <c r="A26" s="424"/>
      <c r="B26" s="418" t="s">
        <v>2547</v>
      </c>
      <c r="C26" s="456"/>
      <c r="D26" s="431">
        <v>100</v>
      </c>
      <c r="E26" s="2609"/>
      <c r="F26" s="431">
        <f>SUMIF(88:88,E26,89:89)-SUMIF(88:88,C26,89:89)+100</f>
        <v>100</v>
      </c>
      <c r="G26" s="2610"/>
      <c r="H26" s="431">
        <f>SUMIF(88:88,G26,89:89)-SUMIF(88:88,C26,89:89)+100</f>
        <v>100</v>
      </c>
      <c r="I26" s="2610"/>
      <c r="J26" s="431">
        <f>SUMIF(88:88,I26,89:89)-SUMIF(88:88,C26,89:89)+100</f>
        <v>100</v>
      </c>
      <c r="K26" s="422"/>
      <c r="L26" s="1137"/>
      <c r="M26" s="1128"/>
      <c r="N26" s="1128"/>
      <c r="O26" s="1128"/>
      <c r="P26" s="3164"/>
      <c r="Q26" s="1807" t="str">
        <f t="shared" si="11"/>
        <v>朝向</v>
      </c>
      <c r="R26" s="768" t="s">
        <v>21</v>
      </c>
      <c r="S26" s="769">
        <f t="shared" si="12"/>
        <v>100</v>
      </c>
      <c r="T26" s="768" t="s">
        <v>21</v>
      </c>
      <c r="U26" s="769">
        <f t="shared" si="13"/>
        <v>100</v>
      </c>
      <c r="V26" s="768" t="s">
        <v>21</v>
      </c>
      <c r="W26" s="769">
        <f t="shared" si="14"/>
        <v>100</v>
      </c>
      <c r="X26" s="1810"/>
      <c r="Y26" s="3157"/>
      <c r="Z26" s="1811" t="str">
        <f>Q26</f>
        <v>朝向</v>
      </c>
      <c r="AA26" s="1808">
        <f t="shared" si="15"/>
        <v>1</v>
      </c>
      <c r="AB26" s="1808">
        <f t="shared" si="16"/>
        <v>1</v>
      </c>
      <c r="AC26" s="1808">
        <f t="shared" si="17"/>
        <v>1</v>
      </c>
    </row>
    <row r="27" spans="1:29" s="114" customFormat="1" ht="15">
      <c r="A27" s="427"/>
      <c r="B27" s="1383">
        <v>111</v>
      </c>
      <c r="C27" s="428"/>
      <c r="D27" s="458">
        <v>100</v>
      </c>
      <c r="E27" s="461"/>
      <c r="F27" s="458">
        <f>SUMIF(90:90,E27,91:91)-SUMIF(90:90,C27,91:91)+100</f>
        <v>100</v>
      </c>
      <c r="G27" s="459"/>
      <c r="H27" s="458">
        <f>SUMIF(90:90,G27,91:91)-SUMIF(90:90,C27,91:91)+100</f>
        <v>100</v>
      </c>
      <c r="I27" s="459"/>
      <c r="J27" s="458">
        <f>SUMIF(90:90,I27,91:91)-SUMIF(90:90,C27,91:91)+100</f>
        <v>100</v>
      </c>
      <c r="K27" s="2597"/>
      <c r="L27" s="1129"/>
      <c r="M27" s="1130"/>
      <c r="N27" s="1130"/>
      <c r="O27" s="1130"/>
      <c r="P27" s="3164"/>
      <c r="Q27" s="1792">
        <f t="shared" si="11"/>
        <v>111</v>
      </c>
      <c r="R27" s="764" t="s">
        <v>21</v>
      </c>
      <c r="S27" s="765">
        <f t="shared" si="12"/>
        <v>100</v>
      </c>
      <c r="T27" s="764" t="s">
        <v>21</v>
      </c>
      <c r="U27" s="765">
        <f t="shared" si="13"/>
        <v>100</v>
      </c>
      <c r="V27" s="764" t="s">
        <v>21</v>
      </c>
      <c r="W27" s="765">
        <f t="shared" si="14"/>
        <v>100</v>
      </c>
      <c r="X27" s="766"/>
      <c r="Y27" s="3157"/>
      <c r="Z27" s="55">
        <f>Q27</f>
        <v>111</v>
      </c>
      <c r="AA27" s="1808">
        <f t="shared" si="15"/>
        <v>1</v>
      </c>
      <c r="AB27" s="1808">
        <f t="shared" si="16"/>
        <v>1</v>
      </c>
      <c r="AC27" s="1808">
        <f t="shared" si="17"/>
        <v>1</v>
      </c>
    </row>
    <row r="28" spans="1:29" ht="15">
      <c r="A28" s="424"/>
      <c r="B28" s="1383">
        <v>111</v>
      </c>
      <c r="C28" s="430"/>
      <c r="D28" s="431">
        <v>100</v>
      </c>
      <c r="E28" s="430"/>
      <c r="F28" s="431">
        <f>SUMIF(92:92,E28,93:93)-SUMIF(92:92,C28,93:93)+100</f>
        <v>100</v>
      </c>
      <c r="G28" s="2611"/>
      <c r="H28" s="431">
        <f>SUMIF(92:92,G28,93:93)-SUMIF(92:92,C28,93:93)+100</f>
        <v>100</v>
      </c>
      <c r="I28" s="430"/>
      <c r="J28" s="431">
        <f>SUMIF(92:92,I28,93:93)-SUMIF(92:92,C28,93:93)+100</f>
        <v>100</v>
      </c>
      <c r="K28" s="2597"/>
      <c r="L28" s="1137"/>
      <c r="M28" s="1128"/>
      <c r="N28" s="1128"/>
      <c r="O28" s="1128"/>
      <c r="P28" s="3164"/>
      <c r="Q28" s="1807">
        <f t="shared" si="11"/>
        <v>111</v>
      </c>
      <c r="R28" s="768" t="s">
        <v>21</v>
      </c>
      <c r="S28" s="769">
        <f t="shared" si="12"/>
        <v>100</v>
      </c>
      <c r="T28" s="768" t="s">
        <v>21</v>
      </c>
      <c r="U28" s="769">
        <f t="shared" si="13"/>
        <v>100</v>
      </c>
      <c r="V28" s="768" t="s">
        <v>21</v>
      </c>
      <c r="W28" s="769">
        <f t="shared" si="14"/>
        <v>100</v>
      </c>
      <c r="X28" s="1810"/>
      <c r="Y28" s="3157"/>
      <c r="Z28" s="1811">
        <f t="shared" ref="Z28:Z46" si="18">Q28</f>
        <v>111</v>
      </c>
      <c r="AA28" s="1808">
        <f t="shared" si="15"/>
        <v>1</v>
      </c>
      <c r="AB28" s="1808">
        <f t="shared" si="16"/>
        <v>1</v>
      </c>
      <c r="AC28" s="1808">
        <f t="shared" si="17"/>
        <v>1</v>
      </c>
    </row>
    <row r="29" spans="1:29" ht="15">
      <c r="A29" s="424"/>
      <c r="B29" s="1383">
        <v>111</v>
      </c>
      <c r="C29" s="430"/>
      <c r="D29" s="431">
        <v>100</v>
      </c>
      <c r="E29" s="430"/>
      <c r="F29" s="431">
        <f>SUMIF(94:94,E29,95:95)-SUMIF(94:94,C29,95:95)+100</f>
        <v>100</v>
      </c>
      <c r="G29" s="2611"/>
      <c r="H29" s="431">
        <f>SUMIF(94:94,G29,95:95)-SUMIF(94:94,C29,95:95)+100</f>
        <v>100</v>
      </c>
      <c r="I29" s="430"/>
      <c r="J29" s="431">
        <f>SUMIF(94:94,I29,95:95)-SUMIF(94:94,C29,95:95)+100</f>
        <v>100</v>
      </c>
      <c r="K29" s="2597"/>
      <c r="L29" s="1137"/>
      <c r="M29" s="1128"/>
      <c r="N29" s="1128"/>
      <c r="O29" s="1128"/>
      <c r="P29" s="3164"/>
      <c r="Q29" s="1807">
        <f t="shared" si="11"/>
        <v>111</v>
      </c>
      <c r="R29" s="768" t="s">
        <v>21</v>
      </c>
      <c r="S29" s="769">
        <f t="shared" si="12"/>
        <v>100</v>
      </c>
      <c r="T29" s="768" t="s">
        <v>21</v>
      </c>
      <c r="U29" s="769">
        <f t="shared" si="13"/>
        <v>100</v>
      </c>
      <c r="V29" s="768" t="s">
        <v>21</v>
      </c>
      <c r="W29" s="769">
        <f t="shared" si="14"/>
        <v>100</v>
      </c>
      <c r="X29" s="1810"/>
      <c r="Y29" s="3157"/>
      <c r="Z29" s="1811">
        <f t="shared" si="18"/>
        <v>111</v>
      </c>
      <c r="AA29" s="1808">
        <f t="shared" si="15"/>
        <v>1</v>
      </c>
      <c r="AB29" s="1808">
        <f t="shared" si="16"/>
        <v>1</v>
      </c>
      <c r="AC29" s="1808">
        <f t="shared" si="17"/>
        <v>1</v>
      </c>
    </row>
    <row r="30" spans="1:29" ht="15">
      <c r="A30" s="424"/>
      <c r="B30" s="1383">
        <v>111</v>
      </c>
      <c r="C30" s="430"/>
      <c r="D30" s="431">
        <v>100</v>
      </c>
      <c r="E30" s="430"/>
      <c r="F30" s="431">
        <f>SUMIF(96:96,E30,97:97)-SUMIF(96:96,C30,97:97)+100</f>
        <v>100</v>
      </c>
      <c r="G30" s="2611"/>
      <c r="H30" s="431">
        <f>SUMIF(96:96,G30,97:97)-SUMIF(96:96,C30,97:97)+100</f>
        <v>100</v>
      </c>
      <c r="I30" s="430"/>
      <c r="J30" s="431">
        <f>SUMIF(96:96,I30,97:97)-SUMIF(96:96,C30,97:97)+100</f>
        <v>100</v>
      </c>
      <c r="K30" s="2597"/>
      <c r="L30" s="1137"/>
      <c r="M30" s="1128"/>
      <c r="N30" s="1128"/>
      <c r="O30" s="1128"/>
      <c r="P30" s="3164"/>
      <c r="Q30" s="1807">
        <f t="shared" si="11"/>
        <v>111</v>
      </c>
      <c r="R30" s="768" t="s">
        <v>21</v>
      </c>
      <c r="S30" s="769">
        <f t="shared" si="12"/>
        <v>100</v>
      </c>
      <c r="T30" s="768" t="s">
        <v>21</v>
      </c>
      <c r="U30" s="769">
        <f t="shared" si="13"/>
        <v>100</v>
      </c>
      <c r="V30" s="768" t="s">
        <v>21</v>
      </c>
      <c r="W30" s="769">
        <f t="shared" si="14"/>
        <v>100</v>
      </c>
      <c r="X30" s="1810"/>
      <c r="Y30" s="3157"/>
      <c r="Z30" s="1811">
        <f t="shared" si="18"/>
        <v>111</v>
      </c>
      <c r="AA30" s="1808">
        <f t="shared" si="15"/>
        <v>1</v>
      </c>
      <c r="AB30" s="1808">
        <f t="shared" si="16"/>
        <v>1</v>
      </c>
      <c r="AC30" s="1808">
        <f t="shared" si="17"/>
        <v>1</v>
      </c>
    </row>
    <row r="31" spans="1:29" ht="15.75" thickBot="1">
      <c r="A31" s="432"/>
      <c r="B31" s="1383">
        <v>111</v>
      </c>
      <c r="C31" s="433"/>
      <c r="D31" s="434">
        <v>100</v>
      </c>
      <c r="E31" s="433"/>
      <c r="F31" s="434">
        <f>SUMIF(98:98,E31,99:99)-SUMIF(98:98,C31,99:99)+100</f>
        <v>100</v>
      </c>
      <c r="G31" s="2612"/>
      <c r="H31" s="434">
        <f>SUMIF(98:98,G31,99:99)-SUMIF(98:98,C31,99:99)+100</f>
        <v>100</v>
      </c>
      <c r="I31" s="433"/>
      <c r="J31" s="434">
        <f>SUMIF(98:98,I31,99:99)-SUMIF(98:98,C31,99:99)+100</f>
        <v>100</v>
      </c>
      <c r="K31" s="2597"/>
      <c r="L31" s="1137"/>
      <c r="M31" s="1128"/>
      <c r="N31" s="1128"/>
      <c r="O31" s="1128"/>
      <c r="P31" s="3164"/>
      <c r="Q31" s="1807">
        <f t="shared" si="11"/>
        <v>111</v>
      </c>
      <c r="R31" s="768" t="s">
        <v>21</v>
      </c>
      <c r="S31" s="769">
        <f t="shared" si="12"/>
        <v>100</v>
      </c>
      <c r="T31" s="768" t="s">
        <v>21</v>
      </c>
      <c r="U31" s="769">
        <f t="shared" si="13"/>
        <v>100</v>
      </c>
      <c r="V31" s="768" t="s">
        <v>21</v>
      </c>
      <c r="W31" s="769">
        <f t="shared" si="14"/>
        <v>100</v>
      </c>
      <c r="X31" s="1810"/>
      <c r="Y31" s="3157"/>
      <c r="Z31" s="1811">
        <f t="shared" si="18"/>
        <v>111</v>
      </c>
      <c r="AA31" s="1808">
        <f t="shared" si="15"/>
        <v>1</v>
      </c>
      <c r="AB31" s="1808">
        <f t="shared" si="16"/>
        <v>1</v>
      </c>
      <c r="AC31" s="1808">
        <f t="shared" si="17"/>
        <v>1</v>
      </c>
    </row>
    <row r="32" spans="1:29" ht="15">
      <c r="A32" s="436" t="s">
        <v>2548</v>
      </c>
      <c r="B32" s="69" t="s">
        <v>2549</v>
      </c>
      <c r="C32" s="2613"/>
      <c r="D32" s="463">
        <v>100</v>
      </c>
      <c r="E32" s="2614"/>
      <c r="F32" s="457">
        <f>SUMIF(100:100,E32,101:101)-SUMIF(100:100,C32,101:101)+100</f>
        <v>100</v>
      </c>
      <c r="G32" s="2613"/>
      <c r="H32" s="463">
        <f>SUMIF(100:100,G32,101:101)-SUMIF(100:100,C32,101:101)+100</f>
        <v>100</v>
      </c>
      <c r="I32" s="2614"/>
      <c r="J32" s="431">
        <f>SUMIF(100:100,I32,101:101)-SUMIF(100:100,C32,101:101)+100</f>
        <v>100</v>
      </c>
      <c r="K32" s="422"/>
      <c r="L32" s="1137"/>
      <c r="M32" s="1128"/>
      <c r="N32" s="1128"/>
      <c r="O32" s="1128"/>
      <c r="P32" s="3158" t="s">
        <v>2550</v>
      </c>
      <c r="Q32" s="1807" t="str">
        <f t="shared" si="11"/>
        <v>建筑类型</v>
      </c>
      <c r="R32" s="768" t="s">
        <v>21</v>
      </c>
      <c r="S32" s="769">
        <f t="shared" si="12"/>
        <v>100</v>
      </c>
      <c r="T32" s="768" t="s">
        <v>21</v>
      </c>
      <c r="U32" s="769">
        <f t="shared" si="13"/>
        <v>100</v>
      </c>
      <c r="V32" s="768" t="s">
        <v>21</v>
      </c>
      <c r="W32" s="769">
        <f t="shared" si="14"/>
        <v>100</v>
      </c>
      <c r="X32" s="1810"/>
      <c r="Y32" s="3161" t="s">
        <v>2550</v>
      </c>
      <c r="Z32" s="1811" t="str">
        <f t="shared" si="18"/>
        <v>建筑类型</v>
      </c>
      <c r="AA32" s="1808">
        <f t="shared" si="15"/>
        <v>1</v>
      </c>
      <c r="AB32" s="1808">
        <f t="shared" si="16"/>
        <v>1</v>
      </c>
      <c r="AC32" s="1808">
        <f t="shared" si="17"/>
        <v>1</v>
      </c>
    </row>
    <row r="33" spans="1:29" s="467" customFormat="1" ht="15">
      <c r="A33" s="464"/>
      <c r="B33" s="418" t="s">
        <v>2551</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7"/>
      <c r="L33" s="1135"/>
      <c r="M33" s="1138"/>
      <c r="N33" s="1138"/>
      <c r="O33" s="1138"/>
      <c r="P33" s="3159"/>
      <c r="Q33" s="770" t="str">
        <f t="shared" si="11"/>
        <v>项目建筑规模</v>
      </c>
      <c r="R33" s="771" t="s">
        <v>21</v>
      </c>
      <c r="S33" s="772" t="e">
        <f t="shared" si="12"/>
        <v>#N/A</v>
      </c>
      <c r="T33" s="771" t="s">
        <v>21</v>
      </c>
      <c r="U33" s="772" t="e">
        <f t="shared" si="13"/>
        <v>#N/A</v>
      </c>
      <c r="V33" s="771" t="s">
        <v>21</v>
      </c>
      <c r="W33" s="772" t="e">
        <f t="shared" si="14"/>
        <v>#N/A</v>
      </c>
      <c r="X33" s="773"/>
      <c r="Y33" s="3161"/>
      <c r="Z33" s="774" t="str">
        <f t="shared" si="18"/>
        <v>项目建筑规模</v>
      </c>
      <c r="AA33" s="1808" t="e">
        <f t="shared" si="15"/>
        <v>#N/A</v>
      </c>
      <c r="AB33" s="1808" t="e">
        <f t="shared" si="16"/>
        <v>#N/A</v>
      </c>
      <c r="AC33" s="1808" t="e">
        <f t="shared" si="17"/>
        <v>#N/A</v>
      </c>
    </row>
    <row r="34" spans="1:29" ht="15">
      <c r="A34" s="468"/>
      <c r="B34" s="418" t="s">
        <v>2552</v>
      </c>
      <c r="C34" s="2615"/>
      <c r="D34" s="431">
        <v>100</v>
      </c>
      <c r="E34" s="2616"/>
      <c r="F34" s="457">
        <f>SUMIF(105:105,E34,106:106)-SUMIF(105:105,C34,106:106)+100</f>
        <v>100</v>
      </c>
      <c r="G34" s="2615"/>
      <c r="H34" s="431">
        <f>SUMIF(105:105,G34,106:106)-SUMIF(105:105,C34,106:106)+100</f>
        <v>100</v>
      </c>
      <c r="I34" s="2616"/>
      <c r="J34" s="431">
        <f>SUMIF(105:105,I34,106:106)-SUMIF(105:105,C34,106:106)+100</f>
        <v>100</v>
      </c>
      <c r="K34" s="422"/>
      <c r="L34" s="1137"/>
      <c r="M34" s="1128"/>
      <c r="N34" s="1128"/>
      <c r="O34" s="1128"/>
      <c r="P34" s="3159"/>
      <c r="Q34" s="1807" t="str">
        <f t="shared" si="11"/>
        <v>建筑结构</v>
      </c>
      <c r="R34" s="768" t="s">
        <v>21</v>
      </c>
      <c r="S34" s="769">
        <f t="shared" si="12"/>
        <v>100</v>
      </c>
      <c r="T34" s="768" t="s">
        <v>21</v>
      </c>
      <c r="U34" s="769">
        <f t="shared" si="13"/>
        <v>100</v>
      </c>
      <c r="V34" s="768" t="s">
        <v>21</v>
      </c>
      <c r="W34" s="769">
        <f t="shared" si="14"/>
        <v>100</v>
      </c>
      <c r="X34" s="1810"/>
      <c r="Y34" s="3161"/>
      <c r="Z34" s="1811" t="str">
        <f t="shared" si="18"/>
        <v>建筑结构</v>
      </c>
      <c r="AA34" s="1808">
        <f t="shared" si="15"/>
        <v>1</v>
      </c>
      <c r="AB34" s="1808">
        <f t="shared" si="16"/>
        <v>1</v>
      </c>
      <c r="AC34" s="1808">
        <f t="shared" si="17"/>
        <v>1</v>
      </c>
    </row>
    <row r="35" spans="1:29" ht="15">
      <c r="A35" s="468"/>
      <c r="B35" s="418" t="s">
        <v>2553</v>
      </c>
      <c r="C35" s="2609"/>
      <c r="D35" s="431">
        <v>100</v>
      </c>
      <c r="E35" s="2610"/>
      <c r="F35" s="457">
        <f>SUMIF(107:107,E35,108:108)-SUMIF(107:107,C35,108:108)+100</f>
        <v>100</v>
      </c>
      <c r="G35" s="2609"/>
      <c r="H35" s="431">
        <f>SUMIF(107:107,G35,108:108)-SUMIF(107:107,C35,108:108)+100</f>
        <v>100</v>
      </c>
      <c r="I35" s="2610"/>
      <c r="J35" s="431">
        <f>SUMIF(107:107,I35,108:108)-SUMIF(107:107,C35,108:108)+100</f>
        <v>100</v>
      </c>
      <c r="K35" s="422"/>
      <c r="L35" s="1137"/>
      <c r="M35" s="1128"/>
      <c r="N35" s="1128"/>
      <c r="O35" s="1128"/>
      <c r="P35" s="3159"/>
      <c r="Q35" s="1807" t="str">
        <f t="shared" si="11"/>
        <v>建筑品质</v>
      </c>
      <c r="R35" s="768" t="s">
        <v>21</v>
      </c>
      <c r="S35" s="769">
        <f t="shared" si="12"/>
        <v>100</v>
      </c>
      <c r="T35" s="768" t="s">
        <v>21</v>
      </c>
      <c r="U35" s="769">
        <f t="shared" si="13"/>
        <v>100</v>
      </c>
      <c r="V35" s="768" t="s">
        <v>21</v>
      </c>
      <c r="W35" s="769">
        <f t="shared" si="14"/>
        <v>100</v>
      </c>
      <c r="X35" s="1810"/>
      <c r="Y35" s="3161"/>
      <c r="Z35" s="1811" t="str">
        <f t="shared" si="18"/>
        <v>建筑品质</v>
      </c>
      <c r="AA35" s="1808">
        <f t="shared" si="15"/>
        <v>1</v>
      </c>
      <c r="AB35" s="1808">
        <f t="shared" si="16"/>
        <v>1</v>
      </c>
      <c r="AC35" s="1808">
        <f t="shared" si="17"/>
        <v>1</v>
      </c>
    </row>
    <row r="36" spans="1:29" ht="15">
      <c r="A36" s="468"/>
      <c r="B36" s="418" t="s">
        <v>2554</v>
      </c>
      <c r="C36" s="2609"/>
      <c r="D36" s="431">
        <v>100</v>
      </c>
      <c r="E36" s="2610"/>
      <c r="F36" s="457">
        <f>SUMIF(109:109,E36,110:110)-SUMIF(109:109,C36,110:110)+100</f>
        <v>100</v>
      </c>
      <c r="G36" s="2609"/>
      <c r="H36" s="431">
        <f>SUMIF(109:109,G36,110:110)-SUMIF(109:109,C36,110:110)+100</f>
        <v>100</v>
      </c>
      <c r="I36" s="2610"/>
      <c r="J36" s="431">
        <f>SUMIF(109:109,I36,110:110)-SUMIF(109:109,C36,110:110)+100</f>
        <v>100</v>
      </c>
      <c r="K36" s="422"/>
      <c r="L36" s="1137"/>
      <c r="M36" s="1128"/>
      <c r="N36" s="1128"/>
      <c r="O36" s="1128"/>
      <c r="P36" s="3159"/>
      <c r="Q36" s="1807" t="str">
        <f t="shared" si="11"/>
        <v>公共部分装修</v>
      </c>
      <c r="R36" s="768" t="s">
        <v>21</v>
      </c>
      <c r="S36" s="769">
        <f t="shared" si="12"/>
        <v>100</v>
      </c>
      <c r="T36" s="768" t="s">
        <v>21</v>
      </c>
      <c r="U36" s="769">
        <f t="shared" si="13"/>
        <v>100</v>
      </c>
      <c r="V36" s="768" t="s">
        <v>21</v>
      </c>
      <c r="W36" s="769">
        <f t="shared" si="14"/>
        <v>100</v>
      </c>
      <c r="X36" s="1810"/>
      <c r="Y36" s="3161"/>
      <c r="Z36" s="1811" t="str">
        <f t="shared" si="18"/>
        <v>公共部分装修</v>
      </c>
      <c r="AA36" s="1808">
        <f t="shared" si="15"/>
        <v>1</v>
      </c>
      <c r="AB36" s="1808">
        <f t="shared" si="16"/>
        <v>1</v>
      </c>
      <c r="AC36" s="1808">
        <f t="shared" si="17"/>
        <v>1</v>
      </c>
    </row>
    <row r="37" spans="1:29" s="114" customFormat="1" ht="15">
      <c r="A37" s="469"/>
      <c r="B37" s="418" t="s">
        <v>2555</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9"/>
      <c r="M37" s="1130"/>
      <c r="N37" s="1130"/>
      <c r="O37" s="1130"/>
      <c r="P37" s="3159"/>
      <c r="Q37" s="1792" t="str">
        <f t="shared" si="11"/>
        <v>成新度</v>
      </c>
      <c r="R37" s="764" t="s">
        <v>21</v>
      </c>
      <c r="S37" s="765" t="e">
        <f t="shared" si="12"/>
        <v>#N/A</v>
      </c>
      <c r="T37" s="764" t="s">
        <v>21</v>
      </c>
      <c r="U37" s="765" t="e">
        <f t="shared" si="13"/>
        <v>#N/A</v>
      </c>
      <c r="V37" s="764" t="s">
        <v>21</v>
      </c>
      <c r="W37" s="765" t="e">
        <f t="shared" si="14"/>
        <v>#N/A</v>
      </c>
      <c r="X37" s="766"/>
      <c r="Y37" s="3161"/>
      <c r="Z37" s="55" t="str">
        <f t="shared" si="18"/>
        <v>成新度</v>
      </c>
      <c r="AA37" s="767" t="e">
        <f t="shared" si="15"/>
        <v>#N/A</v>
      </c>
      <c r="AB37" s="767" t="e">
        <f t="shared" si="16"/>
        <v>#N/A</v>
      </c>
      <c r="AC37" s="767" t="e">
        <f t="shared" si="17"/>
        <v>#N/A</v>
      </c>
    </row>
    <row r="38" spans="1:29" ht="15">
      <c r="A38" s="468"/>
      <c r="B38" s="418" t="s">
        <v>2556</v>
      </c>
      <c r="C38" s="2609"/>
      <c r="D38" s="431">
        <v>100</v>
      </c>
      <c r="E38" s="2610"/>
      <c r="F38" s="457">
        <f>SUMIF(114:114,E38,115:115)-SUMIF(114:114,C38,115:115)+100</f>
        <v>100</v>
      </c>
      <c r="G38" s="2609"/>
      <c r="H38" s="431">
        <f>SUMIF(114:114,G38,115:115)-SUMIF(114:114,C38,115:115)+100</f>
        <v>100</v>
      </c>
      <c r="I38" s="2610"/>
      <c r="J38" s="431">
        <f>SUMIF(114:114,I38,115:115)-SUMIF(114:114,C38,115:115)+100</f>
        <v>100</v>
      </c>
      <c r="K38" s="422"/>
      <c r="L38" s="1137"/>
      <c r="M38" s="1128"/>
      <c r="N38" s="1128"/>
      <c r="O38" s="1128"/>
      <c r="P38" s="3159" t="s">
        <v>2550</v>
      </c>
      <c r="Q38" s="1807" t="str">
        <f t="shared" si="11"/>
        <v>物业管理</v>
      </c>
      <c r="R38" s="768" t="s">
        <v>21</v>
      </c>
      <c r="S38" s="769">
        <f t="shared" si="12"/>
        <v>100</v>
      </c>
      <c r="T38" s="768" t="s">
        <v>21</v>
      </c>
      <c r="U38" s="769">
        <f t="shared" si="13"/>
        <v>100</v>
      </c>
      <c r="V38" s="768" t="s">
        <v>21</v>
      </c>
      <c r="W38" s="769">
        <f t="shared" si="14"/>
        <v>100</v>
      </c>
      <c r="X38" s="1810"/>
      <c r="Y38" s="3161" t="s">
        <v>2550</v>
      </c>
      <c r="Z38" s="1811" t="str">
        <f t="shared" si="18"/>
        <v>物业管理</v>
      </c>
      <c r="AA38" s="1808">
        <f t="shared" si="15"/>
        <v>1</v>
      </c>
      <c r="AB38" s="1808">
        <f t="shared" si="16"/>
        <v>1</v>
      </c>
      <c r="AC38" s="1808">
        <f t="shared" si="17"/>
        <v>1</v>
      </c>
    </row>
    <row r="39" spans="1:29" ht="15">
      <c r="A39" s="468"/>
      <c r="B39" s="418" t="s">
        <v>2557</v>
      </c>
      <c r="C39" s="2609"/>
      <c r="D39" s="431">
        <v>100</v>
      </c>
      <c r="E39" s="2610"/>
      <c r="F39" s="457">
        <f>SUMIF(116:116,E39,117:117)-SUMIF(116:116,C39,117:117)+100</f>
        <v>100</v>
      </c>
      <c r="G39" s="2609"/>
      <c r="H39" s="431">
        <f>SUMIF(116:116,G39,117:117)-SUMIF(116:116,C39,117:117)+100</f>
        <v>100</v>
      </c>
      <c r="I39" s="2610"/>
      <c r="J39" s="431">
        <f>SUMIF(116:116,I39,117:117)-SUMIF(116:116,C39,117:117)+100</f>
        <v>100</v>
      </c>
      <c r="K39" s="422"/>
      <c r="L39" s="1137"/>
      <c r="M39" s="1128"/>
      <c r="N39" s="1128"/>
      <c r="O39" s="1128"/>
      <c r="P39" s="3159"/>
      <c r="Q39" s="1807" t="str">
        <f t="shared" si="11"/>
        <v>市政基础设施</v>
      </c>
      <c r="R39" s="768" t="s">
        <v>21</v>
      </c>
      <c r="S39" s="769">
        <f t="shared" si="12"/>
        <v>100</v>
      </c>
      <c r="T39" s="768" t="s">
        <v>21</v>
      </c>
      <c r="U39" s="769">
        <f t="shared" si="13"/>
        <v>100</v>
      </c>
      <c r="V39" s="768" t="s">
        <v>21</v>
      </c>
      <c r="W39" s="769">
        <f t="shared" si="14"/>
        <v>100</v>
      </c>
      <c r="X39" s="1810"/>
      <c r="Y39" s="3161"/>
      <c r="Z39" s="1811" t="str">
        <f t="shared" si="18"/>
        <v>市政基础设施</v>
      </c>
      <c r="AA39" s="1808">
        <f t="shared" si="15"/>
        <v>1</v>
      </c>
      <c r="AB39" s="1808">
        <f t="shared" si="16"/>
        <v>1</v>
      </c>
      <c r="AC39" s="1808">
        <f t="shared" si="17"/>
        <v>1</v>
      </c>
    </row>
    <row r="40" spans="1:29" ht="15">
      <c r="A40" s="468"/>
      <c r="B40" s="418" t="s">
        <v>2558</v>
      </c>
      <c r="C40" s="2609"/>
      <c r="D40" s="431">
        <v>100</v>
      </c>
      <c r="E40" s="2610"/>
      <c r="F40" s="457">
        <f>SUMIF(118:118,E40,119:119)-SUMIF(118:118,C40,119:119)+100</f>
        <v>100</v>
      </c>
      <c r="G40" s="2609"/>
      <c r="H40" s="431">
        <f>SUMIF(118:118,G40,119:119)-SUMIF(118:118,C40,119:119)+100</f>
        <v>100</v>
      </c>
      <c r="I40" s="2610"/>
      <c r="J40" s="431">
        <f>SUMIF(118:118,I40,119:119)-SUMIF(118:118,C40,119:119)+100</f>
        <v>100</v>
      </c>
      <c r="K40" s="422"/>
      <c r="L40" s="1137"/>
      <c r="M40" s="1128"/>
      <c r="N40" s="1128"/>
      <c r="O40" s="1128"/>
      <c r="P40" s="3159"/>
      <c r="Q40" s="1807" t="str">
        <f t="shared" si="11"/>
        <v>房型</v>
      </c>
      <c r="R40" s="768" t="s">
        <v>21</v>
      </c>
      <c r="S40" s="769">
        <f t="shared" si="12"/>
        <v>100</v>
      </c>
      <c r="T40" s="768" t="s">
        <v>21</v>
      </c>
      <c r="U40" s="769">
        <f t="shared" si="13"/>
        <v>100</v>
      </c>
      <c r="V40" s="768" t="s">
        <v>21</v>
      </c>
      <c r="W40" s="769">
        <f t="shared" si="14"/>
        <v>100</v>
      </c>
      <c r="X40" s="1810"/>
      <c r="Y40" s="3161"/>
      <c r="Z40" s="1811" t="str">
        <f t="shared" si="18"/>
        <v>房型</v>
      </c>
      <c r="AA40" s="1808">
        <f t="shared" si="15"/>
        <v>1</v>
      </c>
      <c r="AB40" s="1808">
        <f t="shared" si="16"/>
        <v>1</v>
      </c>
      <c r="AC40" s="1808">
        <f t="shared" si="17"/>
        <v>1</v>
      </c>
    </row>
    <row r="41" spans="1:29" s="467" customFormat="1" ht="28.5">
      <c r="A41" s="464"/>
      <c r="B41" s="418" t="s">
        <v>2559</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7"/>
      <c r="L41" s="1135"/>
      <c r="M41" s="1138"/>
      <c r="N41" s="1138"/>
      <c r="O41" s="1138"/>
      <c r="P41" s="3159"/>
      <c r="Q41" s="770" t="str">
        <f t="shared" si="11"/>
        <v>单套/主力户型建筑面积</v>
      </c>
      <c r="R41" s="771" t="s">
        <v>21</v>
      </c>
      <c r="S41" s="772">
        <f t="shared" si="12"/>
        <v>100</v>
      </c>
      <c r="T41" s="771" t="s">
        <v>21</v>
      </c>
      <c r="U41" s="772">
        <f t="shared" si="13"/>
        <v>100</v>
      </c>
      <c r="V41" s="771" t="s">
        <v>21</v>
      </c>
      <c r="W41" s="772">
        <f t="shared" si="14"/>
        <v>100</v>
      </c>
      <c r="X41" s="773"/>
      <c r="Y41" s="3161"/>
      <c r="Z41" s="774" t="str">
        <f t="shared" si="18"/>
        <v>单套/主力户型建筑面积</v>
      </c>
      <c r="AA41" s="1808">
        <f t="shared" si="15"/>
        <v>1</v>
      </c>
      <c r="AB41" s="1808">
        <f t="shared" si="16"/>
        <v>1</v>
      </c>
      <c r="AC41" s="1808">
        <f t="shared" si="17"/>
        <v>1</v>
      </c>
    </row>
    <row r="42" spans="1:29" ht="15">
      <c r="A42" s="468"/>
      <c r="B42" s="418" t="s">
        <v>2560</v>
      </c>
      <c r="C42" s="2609"/>
      <c r="D42" s="431">
        <v>100</v>
      </c>
      <c r="E42" s="2610"/>
      <c r="F42" s="457">
        <f>SUMIF(122:122,E42,123:123)-SUMIF(122:122,C42,123:123)+100</f>
        <v>100</v>
      </c>
      <c r="G42" s="2609"/>
      <c r="H42" s="431">
        <f>SUMIF(122:122,G42,123:123)-SUMIF(122:122,C42,123:123)+100</f>
        <v>100</v>
      </c>
      <c r="I42" s="2610"/>
      <c r="J42" s="431">
        <f>SUMIF(122:122,I42,123:123)-SUMIF(122:122,C42,123:123)+100</f>
        <v>100</v>
      </c>
      <c r="K42" s="422"/>
      <c r="L42" s="1137"/>
      <c r="M42" s="1128"/>
      <c r="N42" s="1128"/>
      <c r="O42" s="1128"/>
      <c r="P42" s="3159"/>
      <c r="Q42" s="1807" t="str">
        <f t="shared" si="11"/>
        <v>内部装修</v>
      </c>
      <c r="R42" s="768" t="s">
        <v>21</v>
      </c>
      <c r="S42" s="769">
        <f t="shared" si="12"/>
        <v>100</v>
      </c>
      <c r="T42" s="768" t="s">
        <v>21</v>
      </c>
      <c r="U42" s="769">
        <f t="shared" si="13"/>
        <v>100</v>
      </c>
      <c r="V42" s="768" t="s">
        <v>21</v>
      </c>
      <c r="W42" s="769">
        <f t="shared" si="14"/>
        <v>100</v>
      </c>
      <c r="X42" s="1810"/>
      <c r="Y42" s="3161"/>
      <c r="Z42" s="1811" t="str">
        <f t="shared" si="18"/>
        <v>内部装修</v>
      </c>
      <c r="AA42" s="1808">
        <f t="shared" si="15"/>
        <v>1</v>
      </c>
      <c r="AB42" s="1808">
        <f t="shared" si="16"/>
        <v>1</v>
      </c>
      <c r="AC42" s="1808">
        <f t="shared" si="17"/>
        <v>1</v>
      </c>
    </row>
    <row r="43" spans="1:29" ht="15">
      <c r="A43" s="468"/>
      <c r="B43" s="418" t="s">
        <v>2561</v>
      </c>
      <c r="C43" s="2609"/>
      <c r="D43" s="431">
        <v>100</v>
      </c>
      <c r="E43" s="2610"/>
      <c r="F43" s="457">
        <f>SUMIF(124:124,E43,125:125)-SUMIF(124:124,C43,125:125)+100</f>
        <v>100</v>
      </c>
      <c r="G43" s="2609"/>
      <c r="H43" s="431">
        <f>SUMIF(124:124,G43,125:125)-SUMIF(124:124,C43,125:125)+100</f>
        <v>100</v>
      </c>
      <c r="I43" s="2610"/>
      <c r="J43" s="431">
        <f>SUMIF(124:124,I43,125:125)-SUMIF(124:124,C43,125:125)+100</f>
        <v>100</v>
      </c>
      <c r="K43" s="422"/>
      <c r="L43" s="1137"/>
      <c r="M43" s="1128"/>
      <c r="N43" s="1128"/>
      <c r="O43" s="1128"/>
      <c r="P43" s="3159"/>
      <c r="Q43" s="1807" t="str">
        <f t="shared" si="11"/>
        <v>内部装修维护情况</v>
      </c>
      <c r="R43" s="768" t="s">
        <v>21</v>
      </c>
      <c r="S43" s="769">
        <f t="shared" si="12"/>
        <v>100</v>
      </c>
      <c r="T43" s="768" t="s">
        <v>21</v>
      </c>
      <c r="U43" s="769">
        <f t="shared" si="13"/>
        <v>100</v>
      </c>
      <c r="V43" s="768" t="s">
        <v>21</v>
      </c>
      <c r="W43" s="769">
        <f t="shared" si="14"/>
        <v>100</v>
      </c>
      <c r="X43" s="1810"/>
      <c r="Y43" s="3161"/>
      <c r="Z43" s="1811" t="str">
        <f t="shared" si="18"/>
        <v>内部装修维护情况</v>
      </c>
      <c r="AA43" s="1808">
        <f t="shared" si="15"/>
        <v>1</v>
      </c>
      <c r="AB43" s="1808">
        <f t="shared" si="16"/>
        <v>1</v>
      </c>
      <c r="AC43" s="1808">
        <f t="shared" si="17"/>
        <v>1</v>
      </c>
    </row>
    <row r="44" spans="1:29" s="114" customFormat="1" ht="15">
      <c r="A44" s="469"/>
      <c r="B44" s="1383">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7"/>
      <c r="L44" s="1129"/>
      <c r="M44" s="1130"/>
      <c r="N44" s="1130"/>
      <c r="O44" s="1130"/>
      <c r="P44" s="3159"/>
      <c r="Q44" s="1792">
        <f t="shared" si="11"/>
        <v>111</v>
      </c>
      <c r="R44" s="764" t="s">
        <v>21</v>
      </c>
      <c r="S44" s="765">
        <f t="shared" si="12"/>
        <v>100</v>
      </c>
      <c r="T44" s="764" t="s">
        <v>21</v>
      </c>
      <c r="U44" s="765">
        <f t="shared" si="13"/>
        <v>100</v>
      </c>
      <c r="V44" s="764" t="s">
        <v>21</v>
      </c>
      <c r="W44" s="765">
        <f t="shared" si="14"/>
        <v>100</v>
      </c>
      <c r="X44" s="766"/>
      <c r="Y44" s="3161"/>
      <c r="Z44" s="55">
        <f t="shared" si="18"/>
        <v>111</v>
      </c>
      <c r="AA44" s="767">
        <f t="shared" si="15"/>
        <v>1</v>
      </c>
      <c r="AB44" s="767">
        <f t="shared" si="16"/>
        <v>1</v>
      </c>
      <c r="AC44" s="767">
        <f t="shared" si="17"/>
        <v>1</v>
      </c>
    </row>
    <row r="45" spans="1:29" ht="15">
      <c r="A45" s="468"/>
      <c r="B45" s="138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7"/>
      <c r="L45" s="1137"/>
      <c r="M45" s="1128"/>
      <c r="N45" s="1128"/>
      <c r="O45" s="1128"/>
      <c r="P45" s="3159"/>
      <c r="Q45" s="1807">
        <f t="shared" si="11"/>
        <v>111</v>
      </c>
      <c r="R45" s="768" t="s">
        <v>21</v>
      </c>
      <c r="S45" s="769">
        <f t="shared" si="12"/>
        <v>100</v>
      </c>
      <c r="T45" s="768" t="s">
        <v>21</v>
      </c>
      <c r="U45" s="769">
        <f t="shared" si="13"/>
        <v>100</v>
      </c>
      <c r="V45" s="768" t="s">
        <v>21</v>
      </c>
      <c r="W45" s="769">
        <f t="shared" si="14"/>
        <v>100</v>
      </c>
      <c r="X45" s="1810"/>
      <c r="Y45" s="3161"/>
      <c r="Z45" s="1811">
        <f t="shared" si="18"/>
        <v>111</v>
      </c>
      <c r="AA45" s="1808">
        <f t="shared" si="15"/>
        <v>1</v>
      </c>
      <c r="AB45" s="1808">
        <f t="shared" si="16"/>
        <v>1</v>
      </c>
      <c r="AC45" s="1808">
        <f t="shared" si="17"/>
        <v>1</v>
      </c>
    </row>
    <row r="46" spans="1:29" ht="15.75" thickBot="1">
      <c r="A46" s="474"/>
      <c r="B46" s="2598">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7"/>
      <c r="L46" s="1137"/>
      <c r="M46" s="1128"/>
      <c r="N46" s="1128"/>
      <c r="O46" s="1128"/>
      <c r="P46" s="3160"/>
      <c r="Q46" s="1807">
        <f t="shared" si="11"/>
        <v>111</v>
      </c>
      <c r="R46" s="768" t="s">
        <v>20</v>
      </c>
      <c r="S46" s="769">
        <f t="shared" si="12"/>
        <v>100</v>
      </c>
      <c r="T46" s="768" t="s">
        <v>20</v>
      </c>
      <c r="U46" s="769">
        <f t="shared" si="13"/>
        <v>100</v>
      </c>
      <c r="V46" s="768" t="s">
        <v>20</v>
      </c>
      <c r="W46" s="769">
        <f t="shared" si="14"/>
        <v>100</v>
      </c>
      <c r="X46" s="1810"/>
      <c r="Y46" s="3162"/>
      <c r="Z46" s="1811">
        <f t="shared" si="18"/>
        <v>111</v>
      </c>
      <c r="AA46" s="1808">
        <f t="shared" si="15"/>
        <v>1</v>
      </c>
      <c r="AB46" s="1808">
        <f t="shared" si="16"/>
        <v>1</v>
      </c>
      <c r="AC46" s="1808">
        <f t="shared" si="17"/>
        <v>1</v>
      </c>
    </row>
    <row r="47" spans="1:29" ht="15">
      <c r="A47" s="475" t="s">
        <v>2562</v>
      </c>
      <c r="B47" s="476"/>
      <c r="C47" s="1404" t="s">
        <v>19</v>
      </c>
      <c r="D47" s="1405"/>
      <c r="E47" s="1406"/>
      <c r="F47" s="1407"/>
      <c r="G47" s="1408"/>
      <c r="H47" s="1409"/>
      <c r="I47" s="1406"/>
      <c r="J47" s="1409"/>
      <c r="K47" s="2617"/>
      <c r="L47" s="1140"/>
      <c r="M47" s="1141"/>
      <c r="N47" s="1128"/>
      <c r="O47" s="1141"/>
      <c r="P47" s="3154" t="str">
        <f>A47</f>
        <v>成交单价（元/平方米）</v>
      </c>
      <c r="Q47" s="3154"/>
      <c r="R47" s="3155">
        <f>E47</f>
        <v>0</v>
      </c>
      <c r="S47" s="3155"/>
      <c r="T47" s="3155">
        <f>G47</f>
        <v>0</v>
      </c>
      <c r="U47" s="3155"/>
      <c r="V47" s="3155">
        <f>I47</f>
        <v>0</v>
      </c>
      <c r="W47" s="3155"/>
      <c r="X47" s="753"/>
      <c r="Y47" s="775"/>
      <c r="Z47" s="753"/>
      <c r="AA47" s="753"/>
      <c r="AB47" s="753"/>
      <c r="AC47" s="753"/>
    </row>
    <row r="48" spans="1:29" ht="15.75" thickBot="1">
      <c r="A48" s="482" t="s">
        <v>2563</v>
      </c>
      <c r="B48" s="483"/>
      <c r="C48" s="1410" t="e">
        <f>R49</f>
        <v>#DIV/0!</v>
      </c>
      <c r="D48" s="1411"/>
      <c r="E48" s="1412" t="e">
        <f>R48</f>
        <v>#DIV/0!</v>
      </c>
      <c r="F48" s="1412"/>
      <c r="G48" s="1410" t="e">
        <f>T48</f>
        <v>#DIV/0!</v>
      </c>
      <c r="H48" s="1411"/>
      <c r="I48" s="1412" t="e">
        <f>V48</f>
        <v>#DIV/0!</v>
      </c>
      <c r="J48" s="1411"/>
      <c r="K48" s="2618"/>
      <c r="L48" s="1140"/>
      <c r="M48" s="1141"/>
      <c r="N48" s="1141"/>
      <c r="O48" s="1141"/>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3"/>
      <c r="Y48" s="753"/>
      <c r="Z48" s="753"/>
      <c r="AA48" s="753"/>
      <c r="AB48" s="753"/>
      <c r="AC48" s="753"/>
    </row>
    <row r="49" spans="1:29" ht="15.75" thickBot="1">
      <c r="A49" s="488" t="s">
        <v>2564</v>
      </c>
      <c r="B49" s="489"/>
      <c r="C49" s="1413" t="e">
        <f>R49</f>
        <v>#DIV/0!</v>
      </c>
      <c r="D49" s="1414"/>
      <c r="E49" s="1414"/>
      <c r="F49" s="1414"/>
      <c r="G49" s="1414"/>
      <c r="H49" s="1414"/>
      <c r="I49" s="1414"/>
      <c r="J49" s="1414"/>
      <c r="K49" s="2619"/>
      <c r="L49" s="1140"/>
      <c r="M49" s="1141"/>
      <c r="N49" s="1141"/>
      <c r="O49" s="1141"/>
      <c r="P49" s="3151" t="str">
        <f>A49</f>
        <v>估价对象XX用房的比较价值（楼面单价，元/平方米）</v>
      </c>
      <c r="Q49" s="3152"/>
      <c r="R49" s="3153" t="e">
        <f>IF(F1="售价",ROUND(AVERAGE(R48:V48),0),ROUND(AVERAGE(R48:V48),1))</f>
        <v>#DIV/0!</v>
      </c>
      <c r="S49" s="3153"/>
      <c r="T49" s="3153"/>
      <c r="U49" s="3153"/>
      <c r="V49" s="3153"/>
      <c r="W49" s="3153"/>
      <c r="X49" s="753"/>
      <c r="Y49" s="753"/>
      <c r="Z49" s="753"/>
      <c r="AA49" s="753"/>
      <c r="AB49" s="753"/>
      <c r="AC49" s="753"/>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3" t="s">
        <v>2565</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2"/>
      <c r="L52" s="1103"/>
      <c r="M52" s="1141"/>
      <c r="N52" s="1141"/>
      <c r="O52" s="1141"/>
    </row>
    <row r="53" spans="1:29" ht="13.5" customHeight="1">
      <c r="A53" s="1141"/>
      <c r="B53" s="1141"/>
      <c r="C53" s="493" t="s">
        <v>2566</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2"/>
      <c r="L53" s="1103"/>
      <c r="M53" s="1141"/>
      <c r="N53" s="1141"/>
      <c r="O53" s="1141"/>
    </row>
    <row r="54" spans="1:29" s="498" customFormat="1" ht="13.5" customHeight="1">
      <c r="A54" s="1142"/>
      <c r="B54" s="1142"/>
      <c r="C54" s="493" t="s">
        <v>2567</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5"/>
      <c r="L54" s="1146"/>
      <c r="M54" s="1142"/>
      <c r="N54" s="1142"/>
      <c r="O54" s="1142"/>
      <c r="P54" s="2621"/>
    </row>
    <row r="55" spans="1:29" s="498"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57" t="s">
        <v>2568</v>
      </c>
      <c r="B57" s="753"/>
      <c r="C57" s="758"/>
      <c r="D57" s="758"/>
      <c r="E57" s="758"/>
      <c r="F57" s="759"/>
      <c r="G57" s="759"/>
      <c r="H57" s="758"/>
      <c r="I57" s="758"/>
      <c r="J57" s="758"/>
      <c r="K57" s="1157"/>
      <c r="L57" s="1158"/>
      <c r="M57" s="1156"/>
      <c r="N57" s="1156"/>
      <c r="O57" s="1156"/>
      <c r="P57" s="2622"/>
      <c r="Q57" s="500"/>
    </row>
    <row r="58" spans="1:29" s="504" customFormat="1" ht="15">
      <c r="A58" s="501" t="s">
        <v>2569</v>
      </c>
      <c r="B58" s="502"/>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4" customFormat="1" ht="15">
      <c r="A59" s="505"/>
      <c r="B59" s="2623"/>
      <c r="C59" s="1570">
        <v>100</v>
      </c>
      <c r="D59" s="507"/>
      <c r="E59" s="508"/>
      <c r="F59" s="508"/>
      <c r="G59" s="508"/>
      <c r="H59" s="508"/>
      <c r="I59" s="508"/>
      <c r="J59" s="508"/>
      <c r="K59" s="508"/>
      <c r="L59" s="508"/>
      <c r="M59" s="509"/>
      <c r="N59" s="508"/>
      <c r="O59" s="509"/>
      <c r="P59" s="2624"/>
    </row>
    <row r="60" spans="1:29" s="114" customFormat="1" ht="15.75" thickBot="1">
      <c r="A60" s="511" t="s">
        <v>2570</v>
      </c>
      <c r="B60" s="512"/>
      <c r="C60" s="513"/>
      <c r="D60" s="514"/>
      <c r="E60" s="514"/>
      <c r="F60" s="514"/>
      <c r="G60" s="514"/>
      <c r="H60" s="514"/>
      <c r="I60" s="514"/>
      <c r="J60" s="514"/>
      <c r="K60" s="514"/>
      <c r="L60" s="514"/>
      <c r="M60" s="515"/>
      <c r="N60" s="514"/>
      <c r="O60" s="515"/>
      <c r="P60" s="2624"/>
      <c r="Q60" s="500"/>
    </row>
    <row r="61" spans="1:29" s="114" customFormat="1" ht="15">
      <c r="A61" s="517" t="s">
        <v>2571</v>
      </c>
      <c r="B61" s="506"/>
      <c r="C61" s="518" t="s">
        <v>2572</v>
      </c>
      <c r="D61" s="519"/>
      <c r="E61" s="519"/>
      <c r="F61" s="519"/>
      <c r="G61" s="519"/>
      <c r="H61" s="519"/>
      <c r="I61" s="519"/>
      <c r="J61" s="519"/>
      <c r="K61" s="519"/>
      <c r="L61" s="520"/>
      <c r="M61" s="521"/>
      <c r="N61" s="1148"/>
      <c r="O61" s="1148"/>
      <c r="P61" s="2625"/>
      <c r="Q61" s="500"/>
    </row>
    <row r="62" spans="1:29" s="114" customFormat="1" ht="15.75" thickBot="1">
      <c r="A62" s="517"/>
      <c r="B62" s="506"/>
      <c r="C62" s="507">
        <v>100</v>
      </c>
      <c r="D62" s="508"/>
      <c r="E62" s="508"/>
      <c r="F62" s="508"/>
      <c r="G62" s="508"/>
      <c r="H62" s="508"/>
      <c r="I62" s="508"/>
      <c r="J62" s="508"/>
      <c r="K62" s="508"/>
      <c r="L62" s="508"/>
      <c r="M62" s="510"/>
      <c r="N62" s="1148"/>
      <c r="O62" s="1148"/>
      <c r="P62" s="2624"/>
      <c r="Q62" s="500"/>
    </row>
    <row r="63" spans="1:29">
      <c r="A63" s="523" t="s">
        <v>2573</v>
      </c>
      <c r="B63" s="524" t="s">
        <v>2539</v>
      </c>
      <c r="C63" s="525">
        <f>C9</f>
        <v>0</v>
      </c>
      <c r="D63" s="526"/>
      <c r="E63" s="526"/>
      <c r="F63" s="526"/>
      <c r="G63" s="526"/>
      <c r="H63" s="526"/>
      <c r="I63" s="526"/>
      <c r="J63" s="526"/>
      <c r="K63" s="527"/>
      <c r="L63" s="528"/>
      <c r="M63" s="529"/>
      <c r="N63" s="1149"/>
      <c r="O63" s="1149"/>
      <c r="P63" s="2626"/>
      <c r="Q63" s="500"/>
    </row>
    <row r="64" spans="1:29" ht="15.75" thickBot="1">
      <c r="A64" s="530"/>
      <c r="B64" s="531"/>
      <c r="C64" s="532">
        <v>100</v>
      </c>
      <c r="D64" s="532"/>
      <c r="E64" s="532"/>
      <c r="F64" s="532"/>
      <c r="G64" s="532"/>
      <c r="H64" s="532"/>
      <c r="I64" s="532"/>
      <c r="J64" s="532"/>
      <c r="K64" s="532"/>
      <c r="L64" s="532"/>
      <c r="M64" s="533"/>
      <c r="N64" s="1150"/>
      <c r="O64" s="1150"/>
      <c r="P64" s="2626"/>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49"/>
      <c r="O65" s="1149"/>
      <c r="P65" s="2626"/>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0"/>
      <c r="O66" s="1150"/>
      <c r="P66" s="2626"/>
      <c r="Q66" s="500"/>
    </row>
    <row r="67" spans="1:17" ht="15.75" thickTop="1">
      <c r="A67" s="530"/>
      <c r="B67" s="542" t="s">
        <v>2543</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0"/>
      <c r="O67" s="1150"/>
      <c r="P67" s="2626"/>
      <c r="Q67" s="500"/>
    </row>
    <row r="68" spans="1:17" ht="15">
      <c r="A68" s="530"/>
      <c r="B68" s="544"/>
      <c r="C68" s="545"/>
      <c r="D68" s="545"/>
      <c r="E68" s="545"/>
      <c r="F68" s="545"/>
      <c r="G68" s="545"/>
      <c r="H68" s="545"/>
      <c r="I68" s="545"/>
      <c r="J68" s="545"/>
      <c r="K68" s="546"/>
      <c r="L68" s="547"/>
      <c r="M68" s="548"/>
      <c r="N68" s="1149"/>
      <c r="O68" s="1149"/>
      <c r="P68" s="2626"/>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0"/>
      <c r="O69" s="1150"/>
      <c r="P69" s="2626"/>
      <c r="Q69" s="500"/>
    </row>
    <row r="70" spans="1:17" s="467" customFormat="1" ht="15.75" thickTop="1">
      <c r="A70" s="549"/>
      <c r="B70" s="534">
        <f>B12</f>
        <v>111</v>
      </c>
      <c r="C70" s="550"/>
      <c r="D70" s="550"/>
      <c r="E70" s="550"/>
      <c r="F70" s="550"/>
      <c r="G70" s="550"/>
      <c r="H70" s="551"/>
      <c r="I70" s="551"/>
      <c r="J70" s="551"/>
      <c r="K70" s="551"/>
      <c r="L70" s="552"/>
      <c r="M70" s="553"/>
      <c r="N70" s="1151"/>
      <c r="O70" s="1151"/>
      <c r="P70" s="2627"/>
      <c r="Q70" s="555"/>
    </row>
    <row r="71" spans="1:17" s="467" customFormat="1" ht="15.75" thickBot="1">
      <c r="A71" s="549"/>
      <c r="B71" s="539"/>
      <c r="C71" s="556"/>
      <c r="D71" s="532"/>
      <c r="E71" s="532"/>
      <c r="F71" s="532"/>
      <c r="G71" s="532"/>
      <c r="H71" s="532"/>
      <c r="I71" s="532"/>
      <c r="J71" s="532"/>
      <c r="K71" s="532"/>
      <c r="L71" s="532"/>
      <c r="M71" s="533"/>
      <c r="N71" s="1150"/>
      <c r="O71" s="1150"/>
      <c r="P71" s="2627"/>
      <c r="Q71" s="555"/>
    </row>
    <row r="72" spans="1:17" s="467" customFormat="1" ht="15.75" thickTop="1">
      <c r="A72" s="549"/>
      <c r="B72" s="534">
        <f>B13</f>
        <v>111</v>
      </c>
      <c r="C72" s="550"/>
      <c r="D72" s="550"/>
      <c r="E72" s="550"/>
      <c r="F72" s="550"/>
      <c r="G72" s="550"/>
      <c r="H72" s="551"/>
      <c r="I72" s="551"/>
      <c r="J72" s="551"/>
      <c r="K72" s="551"/>
      <c r="L72" s="552"/>
      <c r="M72" s="553"/>
      <c r="N72" s="1151"/>
      <c r="O72" s="1151"/>
      <c r="P72" s="2628"/>
      <c r="Q72" s="557"/>
    </row>
    <row r="73" spans="1:17" s="467" customFormat="1" ht="15.75" thickBot="1">
      <c r="A73" s="549"/>
      <c r="B73" s="539"/>
      <c r="C73" s="556"/>
      <c r="D73" s="556"/>
      <c r="E73" s="556"/>
      <c r="F73" s="556"/>
      <c r="G73" s="556"/>
      <c r="H73" s="558"/>
      <c r="I73" s="558"/>
      <c r="J73" s="558"/>
      <c r="K73" s="558"/>
      <c r="L73" s="558"/>
      <c r="M73" s="559"/>
      <c r="N73" s="1151"/>
      <c r="O73" s="1151"/>
      <c r="P73" s="2627"/>
      <c r="Q73" s="555"/>
    </row>
    <row r="74" spans="1:17" s="467" customFormat="1" ht="15.75" thickTop="1">
      <c r="A74" s="549"/>
      <c r="B74" s="542">
        <f>B14</f>
        <v>111</v>
      </c>
      <c r="C74" s="550"/>
      <c r="D74" s="550"/>
      <c r="E74" s="550"/>
      <c r="F74" s="550"/>
      <c r="G74" s="519"/>
      <c r="H74" s="560"/>
      <c r="I74" s="560"/>
      <c r="J74" s="560"/>
      <c r="K74" s="560"/>
      <c r="L74" s="561"/>
      <c r="M74" s="562"/>
      <c r="N74" s="1151"/>
      <c r="O74" s="1151"/>
      <c r="P74" s="2629"/>
      <c r="Q74" s="555"/>
    </row>
    <row r="75" spans="1:17" s="467" customFormat="1" ht="15.75" thickBot="1">
      <c r="A75" s="564"/>
      <c r="B75" s="565"/>
      <c r="C75" s="566"/>
      <c r="D75" s="566"/>
      <c r="E75" s="566"/>
      <c r="F75" s="566"/>
      <c r="G75" s="566"/>
      <c r="H75" s="567"/>
      <c r="I75" s="567"/>
      <c r="J75" s="567"/>
      <c r="K75" s="567"/>
      <c r="L75" s="567"/>
      <c r="M75" s="568"/>
      <c r="N75" s="1151"/>
      <c r="O75" s="1151"/>
      <c r="P75" s="2627"/>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49"/>
      <c r="O76" s="1149"/>
      <c r="P76" s="2630"/>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0"/>
      <c r="O77" s="1150"/>
      <c r="P77" s="2626"/>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49"/>
      <c r="O78" s="1149"/>
      <c r="P78" s="2626"/>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0"/>
      <c r="O79" s="1150"/>
      <c r="P79" s="2626"/>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49"/>
      <c r="O80" s="1149"/>
      <c r="P80" s="2626"/>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0"/>
      <c r="O81" s="1150"/>
      <c r="P81" s="2626"/>
      <c r="Q81" s="500"/>
    </row>
    <row r="82" spans="1:17" ht="15.75" thickTop="1">
      <c r="A82" s="530"/>
      <c r="B82" s="542" t="s">
        <v>2088</v>
      </c>
      <c r="C82" s="535" t="s">
        <v>2589</v>
      </c>
      <c r="D82" s="535" t="s">
        <v>2590</v>
      </c>
      <c r="E82" s="535" t="s">
        <v>2591</v>
      </c>
      <c r="F82" s="535" t="s">
        <v>2592</v>
      </c>
      <c r="G82" s="535" t="s">
        <v>2593</v>
      </c>
      <c r="H82" s="535"/>
      <c r="I82" s="535"/>
      <c r="J82" s="535"/>
      <c r="K82" s="535"/>
      <c r="L82" s="535"/>
      <c r="M82" s="1379"/>
      <c r="N82" s="1150"/>
      <c r="O82" s="1150"/>
      <c r="P82" s="2626"/>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0"/>
      <c r="O83" s="1150"/>
      <c r="P83" s="2626"/>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49"/>
      <c r="O84" s="1149"/>
      <c r="P84" s="2626"/>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0"/>
      <c r="O85" s="1150"/>
      <c r="P85" s="2626"/>
      <c r="Q85" s="500"/>
    </row>
    <row r="86" spans="1:17" s="114" customFormat="1" ht="15.75" thickTop="1">
      <c r="A86" s="575"/>
      <c r="B86" s="534" t="s">
        <v>2595</v>
      </c>
      <c r="C86" s="550"/>
      <c r="D86" s="550"/>
      <c r="E86" s="550"/>
      <c r="F86" s="550"/>
      <c r="G86" s="550"/>
      <c r="H86" s="550"/>
      <c r="I86" s="550"/>
      <c r="J86" s="550"/>
      <c r="K86" s="550"/>
      <c r="L86" s="576"/>
      <c r="M86" s="577"/>
      <c r="N86" s="1148"/>
      <c r="O86" s="1148"/>
      <c r="P86" s="2626"/>
      <c r="Q86" s="500"/>
    </row>
    <row r="87" spans="1:17" s="114"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0"/>
      <c r="O87" s="1150"/>
      <c r="P87" s="2626"/>
      <c r="Q87" s="500"/>
    </row>
    <row r="88" spans="1:17" s="114" customFormat="1" ht="15.75" thickTop="1">
      <c r="A88" s="575"/>
      <c r="B88" s="534" t="s">
        <v>2596</v>
      </c>
      <c r="C88" s="550"/>
      <c r="D88" s="550"/>
      <c r="E88" s="550"/>
      <c r="F88" s="2631"/>
      <c r="G88" s="550"/>
      <c r="H88" s="550"/>
      <c r="I88" s="550"/>
      <c r="J88" s="550"/>
      <c r="K88" s="550"/>
      <c r="L88" s="550"/>
      <c r="M88" s="577"/>
      <c r="N88" s="1148"/>
      <c r="O88" s="1148"/>
      <c r="P88" s="2626"/>
      <c r="Q88" s="500"/>
    </row>
    <row r="89" spans="1:17" s="114"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0"/>
      <c r="O89" s="1150"/>
      <c r="P89" s="2626"/>
      <c r="Q89" s="500"/>
    </row>
    <row r="90" spans="1:17" s="467" customFormat="1" ht="15.75" thickTop="1">
      <c r="A90" s="549"/>
      <c r="B90" s="534">
        <f>B27</f>
        <v>111</v>
      </c>
      <c r="C90" s="550"/>
      <c r="D90" s="550"/>
      <c r="E90" s="550"/>
      <c r="F90" s="550"/>
      <c r="G90" s="550"/>
      <c r="H90" s="551"/>
      <c r="I90" s="551"/>
      <c r="J90" s="551"/>
      <c r="K90" s="551"/>
      <c r="L90" s="552"/>
      <c r="M90" s="553"/>
      <c r="N90" s="1151"/>
      <c r="O90" s="1151"/>
      <c r="P90" s="2627"/>
      <c r="Q90" s="555"/>
    </row>
    <row r="91" spans="1:17" s="467" customFormat="1" ht="15.75" thickBot="1">
      <c r="A91" s="549"/>
      <c r="B91" s="539"/>
      <c r="C91" s="556"/>
      <c r="D91" s="556"/>
      <c r="E91" s="556"/>
      <c r="F91" s="556"/>
      <c r="G91" s="556"/>
      <c r="H91" s="558"/>
      <c r="I91" s="558"/>
      <c r="J91" s="558"/>
      <c r="K91" s="558"/>
      <c r="L91" s="558"/>
      <c r="M91" s="559"/>
      <c r="N91" s="1151"/>
      <c r="O91" s="1151"/>
      <c r="P91" s="2627"/>
      <c r="Q91" s="555"/>
    </row>
    <row r="92" spans="1:17" ht="15.75" thickTop="1">
      <c r="A92" s="530"/>
      <c r="B92" s="534">
        <f>B28</f>
        <v>111</v>
      </c>
      <c r="C92" s="550"/>
      <c r="D92" s="550"/>
      <c r="E92" s="550"/>
      <c r="F92" s="550"/>
      <c r="G92" s="579"/>
      <c r="H92" s="579"/>
      <c r="I92" s="579"/>
      <c r="J92" s="579"/>
      <c r="K92" s="580"/>
      <c r="L92" s="581"/>
      <c r="M92" s="582"/>
      <c r="N92" s="1149"/>
      <c r="O92" s="1149"/>
      <c r="P92" s="2626"/>
      <c r="Q92" s="500"/>
    </row>
    <row r="93" spans="1:17" ht="15.75" thickBot="1">
      <c r="A93" s="530"/>
      <c r="B93" s="539"/>
      <c r="C93" s="556"/>
      <c r="D93" s="532"/>
      <c r="E93" s="532"/>
      <c r="F93" s="532"/>
      <c r="G93" s="532"/>
      <c r="H93" s="532"/>
      <c r="I93" s="532"/>
      <c r="J93" s="532"/>
      <c r="K93" s="532"/>
      <c r="L93" s="532"/>
      <c r="M93" s="533"/>
      <c r="N93" s="1150"/>
      <c r="O93" s="1150"/>
      <c r="P93" s="2626"/>
      <c r="Q93" s="500"/>
    </row>
    <row r="94" spans="1:17" ht="15.75" thickTop="1">
      <c r="A94" s="530"/>
      <c r="B94" s="534">
        <f>B29</f>
        <v>111</v>
      </c>
      <c r="C94" s="550"/>
      <c r="D94" s="550"/>
      <c r="E94" s="550"/>
      <c r="F94" s="550"/>
      <c r="G94" s="579"/>
      <c r="H94" s="579"/>
      <c r="I94" s="579"/>
      <c r="J94" s="579"/>
      <c r="K94" s="580"/>
      <c r="L94" s="581"/>
      <c r="M94" s="582"/>
      <c r="N94" s="1149"/>
      <c r="O94" s="1149"/>
      <c r="P94" s="2626"/>
      <c r="Q94" s="500"/>
    </row>
    <row r="95" spans="1:17" ht="15.75" thickBot="1">
      <c r="A95" s="530"/>
      <c r="B95" s="539"/>
      <c r="C95" s="556"/>
      <c r="D95" s="556"/>
      <c r="E95" s="556"/>
      <c r="F95" s="556"/>
      <c r="G95" s="532"/>
      <c r="H95" s="532"/>
      <c r="I95" s="532"/>
      <c r="J95" s="532"/>
      <c r="K95" s="532"/>
      <c r="L95" s="532"/>
      <c r="M95" s="533"/>
      <c r="N95" s="1150"/>
      <c r="O95" s="1150"/>
      <c r="P95" s="2626"/>
      <c r="Q95" s="500"/>
    </row>
    <row r="96" spans="1:17" ht="15.75" thickTop="1">
      <c r="A96" s="530"/>
      <c r="B96" s="534">
        <f>B30</f>
        <v>111</v>
      </c>
      <c r="C96" s="550"/>
      <c r="D96" s="550"/>
      <c r="E96" s="550"/>
      <c r="F96" s="550"/>
      <c r="G96" s="579"/>
      <c r="H96" s="579"/>
      <c r="I96" s="579"/>
      <c r="J96" s="579"/>
      <c r="K96" s="580"/>
      <c r="L96" s="581"/>
      <c r="M96" s="582"/>
      <c r="N96" s="1149"/>
      <c r="O96" s="1149"/>
      <c r="P96" s="2626"/>
      <c r="Q96" s="500"/>
    </row>
    <row r="97" spans="1:17" ht="15.75" thickBot="1">
      <c r="A97" s="530"/>
      <c r="B97" s="539"/>
      <c r="C97" s="566"/>
      <c r="D97" s="566"/>
      <c r="E97" s="566"/>
      <c r="F97" s="566"/>
      <c r="G97" s="532"/>
      <c r="H97" s="532"/>
      <c r="I97" s="532"/>
      <c r="J97" s="532"/>
      <c r="K97" s="532"/>
      <c r="L97" s="532"/>
      <c r="M97" s="533"/>
      <c r="N97" s="1150"/>
      <c r="O97" s="1150"/>
      <c r="P97" s="2626"/>
      <c r="Q97" s="500"/>
    </row>
    <row r="98" spans="1:17" ht="15.75" thickTop="1">
      <c r="A98" s="530"/>
      <c r="B98" s="542">
        <f>B31</f>
        <v>111</v>
      </c>
      <c r="C98" s="583"/>
      <c r="D98" s="583"/>
      <c r="E98" s="583"/>
      <c r="F98" s="583"/>
      <c r="G98" s="583"/>
      <c r="H98" s="583"/>
      <c r="I98" s="583"/>
      <c r="J98" s="583"/>
      <c r="K98" s="584"/>
      <c r="L98" s="585"/>
      <c r="M98" s="586"/>
      <c r="N98" s="1149"/>
      <c r="O98" s="1149"/>
      <c r="P98" s="2626"/>
      <c r="Q98" s="500"/>
    </row>
    <row r="99" spans="1:17" ht="15.75" thickBot="1">
      <c r="A99" s="2632"/>
      <c r="B99" s="565"/>
      <c r="C99" s="587"/>
      <c r="D99" s="587"/>
      <c r="E99" s="587"/>
      <c r="F99" s="587"/>
      <c r="G99" s="587"/>
      <c r="H99" s="587"/>
      <c r="I99" s="587"/>
      <c r="J99" s="587"/>
      <c r="K99" s="587"/>
      <c r="L99" s="587"/>
      <c r="M99" s="588"/>
      <c r="N99" s="1150"/>
      <c r="O99" s="1150"/>
      <c r="P99" s="2626"/>
      <c r="Q99" s="500"/>
    </row>
    <row r="100" spans="1:17">
      <c r="A100" s="523" t="s">
        <v>2548</v>
      </c>
      <c r="B100" s="524" t="s">
        <v>2597</v>
      </c>
      <c r="C100" s="526"/>
      <c r="D100" s="526"/>
      <c r="E100" s="526"/>
      <c r="F100" s="526"/>
      <c r="G100" s="526"/>
      <c r="H100" s="526"/>
      <c r="I100" s="526"/>
      <c r="J100" s="526"/>
      <c r="K100" s="527"/>
      <c r="L100" s="528"/>
      <c r="M100" s="529"/>
      <c r="N100" s="1149"/>
      <c r="O100" s="1149"/>
      <c r="P100" s="2626"/>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0"/>
      <c r="O101" s="1150"/>
      <c r="P101" s="2626"/>
      <c r="Q101" s="500"/>
    </row>
    <row r="102" spans="1:17" ht="15.75" thickTop="1">
      <c r="A102" s="530"/>
      <c r="B102" s="534" t="s">
        <v>2598</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8"/>
      <c r="O102" s="1148"/>
      <c r="P102" s="2626"/>
      <c r="Q102" s="500"/>
    </row>
    <row r="103" spans="1:17" s="467" customFormat="1">
      <c r="A103" s="589"/>
      <c r="B103" s="590"/>
      <c r="C103" s="591"/>
      <c r="D103" s="591"/>
      <c r="E103" s="591"/>
      <c r="F103" s="591"/>
      <c r="G103" s="591"/>
      <c r="H103" s="591"/>
      <c r="I103" s="591"/>
      <c r="J103" s="592"/>
      <c r="K103" s="592"/>
      <c r="L103" s="593"/>
      <c r="M103" s="594"/>
      <c r="N103" s="1151"/>
      <c r="O103" s="1151"/>
      <c r="P103" s="2627"/>
      <c r="Q103" s="555"/>
    </row>
    <row r="104" spans="1:17" s="467" customFormat="1" ht="15.75" thickBot="1">
      <c r="A104" s="549"/>
      <c r="B104" s="539"/>
      <c r="C104" s="556"/>
      <c r="D104" s="532"/>
      <c r="E104" s="532"/>
      <c r="F104" s="532"/>
      <c r="G104" s="532"/>
      <c r="H104" s="532"/>
      <c r="I104" s="532"/>
      <c r="J104" s="532"/>
      <c r="K104" s="532"/>
      <c r="L104" s="532"/>
      <c r="M104" s="532"/>
      <c r="N104" s="1150"/>
      <c r="O104" s="1150"/>
      <c r="P104" s="2627"/>
      <c r="Q104" s="555"/>
    </row>
    <row r="105" spans="1:17" ht="15" thickTop="1">
      <c r="A105" s="595"/>
      <c r="B105" s="534" t="s">
        <v>2599</v>
      </c>
      <c r="C105" s="550"/>
      <c r="D105" s="550"/>
      <c r="E105" s="579"/>
      <c r="F105" s="579"/>
      <c r="G105" s="579"/>
      <c r="H105" s="579"/>
      <c r="I105" s="579"/>
      <c r="J105" s="579"/>
      <c r="K105" s="580"/>
      <c r="L105" s="581"/>
      <c r="M105" s="582"/>
      <c r="N105" s="1149"/>
      <c r="O105" s="1149"/>
      <c r="P105" s="2626"/>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0"/>
      <c r="O106" s="1150"/>
      <c r="P106" s="2626"/>
      <c r="Q106" s="500"/>
    </row>
    <row r="107" spans="1:17" ht="15" thickTop="1">
      <c r="A107" s="595"/>
      <c r="B107" s="534" t="s">
        <v>2600</v>
      </c>
      <c r="C107" s="579"/>
      <c r="D107" s="579"/>
      <c r="E107" s="579"/>
      <c r="F107" s="579"/>
      <c r="G107" s="579"/>
      <c r="H107" s="579"/>
      <c r="I107" s="579"/>
      <c r="J107" s="579"/>
      <c r="K107" s="580"/>
      <c r="L107" s="581"/>
      <c r="M107" s="582"/>
      <c r="N107" s="1149"/>
      <c r="O107" s="1149"/>
      <c r="P107" s="2626"/>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0"/>
      <c r="O108" s="1150"/>
      <c r="P108" s="2626"/>
      <c r="Q108" s="500"/>
    </row>
    <row r="109" spans="1:17" ht="15" thickTop="1">
      <c r="A109" s="595"/>
      <c r="B109" s="534" t="s">
        <v>2601</v>
      </c>
      <c r="C109" s="550"/>
      <c r="D109" s="550"/>
      <c r="E109" s="550"/>
      <c r="F109" s="579"/>
      <c r="G109" s="579"/>
      <c r="H109" s="579"/>
      <c r="I109" s="579"/>
      <c r="J109" s="579"/>
      <c r="K109" s="580"/>
      <c r="L109" s="581"/>
      <c r="M109" s="582"/>
      <c r="N109" s="1149"/>
      <c r="O109" s="1149"/>
      <c r="P109" s="2626"/>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0"/>
      <c r="O110" s="1150"/>
      <c r="P110" s="2626"/>
      <c r="Q110" s="500"/>
    </row>
    <row r="111" spans="1:17" s="467" customFormat="1" ht="15" thickTop="1">
      <c r="A111" s="589"/>
      <c r="B111" s="534" t="s">
        <v>1991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1"/>
      <c r="O111" s="1151"/>
      <c r="P111" s="2627"/>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1"/>
      <c r="O112" s="1151"/>
      <c r="P112" s="2627"/>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1"/>
      <c r="O113" s="1151"/>
      <c r="P113" s="2627"/>
      <c r="Q113" s="555"/>
    </row>
    <row r="114" spans="1:17" ht="15" thickTop="1">
      <c r="A114" s="595"/>
      <c r="B114" s="534" t="s">
        <v>2602</v>
      </c>
      <c r="C114" s="550"/>
      <c r="D114" s="550"/>
      <c r="E114" s="579"/>
      <c r="F114" s="579"/>
      <c r="G114" s="579"/>
      <c r="H114" s="579"/>
      <c r="I114" s="579"/>
      <c r="J114" s="579"/>
      <c r="K114" s="580"/>
      <c r="L114" s="581"/>
      <c r="M114" s="582"/>
      <c r="N114" s="1149"/>
      <c r="O114" s="1149"/>
      <c r="P114" s="2626"/>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0"/>
      <c r="O115" s="1150"/>
      <c r="P115" s="2626"/>
      <c r="Q115" s="500"/>
    </row>
    <row r="116" spans="1:17" ht="15" thickTop="1">
      <c r="A116" s="595"/>
      <c r="B116" s="534" t="s">
        <v>2603</v>
      </c>
      <c r="C116" s="550"/>
      <c r="D116" s="550"/>
      <c r="E116" s="550"/>
      <c r="F116" s="550"/>
      <c r="G116" s="550"/>
      <c r="H116" s="579"/>
      <c r="I116" s="579"/>
      <c r="J116" s="579"/>
      <c r="K116" s="580"/>
      <c r="L116" s="581"/>
      <c r="M116" s="582"/>
      <c r="N116" s="1149"/>
      <c r="O116" s="1149"/>
      <c r="P116" s="2626"/>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0"/>
      <c r="O117" s="1150"/>
      <c r="P117" s="2626"/>
      <c r="Q117" s="500"/>
    </row>
    <row r="118" spans="1:17" ht="15" thickTop="1">
      <c r="A118" s="595"/>
      <c r="B118" s="534" t="s">
        <v>2604</v>
      </c>
      <c r="C118" s="579"/>
      <c r="D118" s="579"/>
      <c r="E118" s="579"/>
      <c r="F118" s="579"/>
      <c r="G118" s="579"/>
      <c r="H118" s="579"/>
      <c r="I118" s="579"/>
      <c r="J118" s="579"/>
      <c r="K118" s="580"/>
      <c r="L118" s="581"/>
      <c r="M118" s="582"/>
      <c r="N118" s="1149"/>
      <c r="O118" s="1149"/>
      <c r="P118" s="2626"/>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0"/>
      <c r="O119" s="1150"/>
      <c r="P119" s="2626"/>
      <c r="Q119" s="500"/>
    </row>
    <row r="120" spans="1:17" s="467" customFormat="1" ht="28.5" thickTop="1">
      <c r="A120" s="589"/>
      <c r="B120" s="534" t="s">
        <v>2559</v>
      </c>
      <c r="C120" s="550"/>
      <c r="D120" s="550"/>
      <c r="E120" s="550"/>
      <c r="F120" s="550"/>
      <c r="G120" s="550"/>
      <c r="H120" s="550"/>
      <c r="I120" s="550"/>
      <c r="J120" s="550"/>
      <c r="K120" s="550"/>
      <c r="L120" s="576"/>
      <c r="M120" s="577"/>
      <c r="N120" s="1151"/>
      <c r="O120" s="1151"/>
      <c r="P120" s="2627"/>
      <c r="Q120" s="555"/>
    </row>
    <row r="121" spans="1:17" s="467" customFormat="1" ht="15.75" thickBot="1">
      <c r="A121" s="549"/>
      <c r="B121" s="531"/>
      <c r="C121" s="556"/>
      <c r="D121" s="532"/>
      <c r="E121" s="532"/>
      <c r="F121" s="532"/>
      <c r="G121" s="532"/>
      <c r="H121" s="532"/>
      <c r="I121" s="532"/>
      <c r="J121" s="532"/>
      <c r="K121" s="532"/>
      <c r="L121" s="532"/>
      <c r="M121" s="532"/>
      <c r="N121" s="1151"/>
      <c r="O121" s="1151"/>
      <c r="P121" s="2627"/>
      <c r="Q121" s="555"/>
    </row>
    <row r="122" spans="1:17" ht="15" thickTop="1">
      <c r="A122" s="595"/>
      <c r="B122" s="534" t="s">
        <v>2605</v>
      </c>
      <c r="C122" s="550"/>
      <c r="D122" s="550"/>
      <c r="E122" s="550"/>
      <c r="F122" s="579"/>
      <c r="G122" s="579"/>
      <c r="H122" s="579"/>
      <c r="I122" s="579"/>
      <c r="J122" s="579"/>
      <c r="K122" s="580"/>
      <c r="L122" s="581"/>
      <c r="M122" s="582"/>
      <c r="N122" s="1149"/>
      <c r="O122" s="1149"/>
      <c r="P122" s="2626"/>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0"/>
      <c r="O123" s="1150"/>
      <c r="P123" s="2626"/>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49"/>
      <c r="O124" s="1149"/>
      <c r="P124" s="2627"/>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0"/>
      <c r="O125" s="1150"/>
      <c r="P125" s="2626"/>
      <c r="Q125" s="500"/>
    </row>
    <row r="126" spans="1:17" s="467" customFormat="1" ht="15" thickTop="1">
      <c r="A126" s="589"/>
      <c r="B126" s="534">
        <f>B44</f>
        <v>111</v>
      </c>
      <c r="C126" s="550"/>
      <c r="D126" s="550"/>
      <c r="E126" s="550"/>
      <c r="F126" s="550"/>
      <c r="G126" s="550"/>
      <c r="H126" s="551"/>
      <c r="I126" s="551"/>
      <c r="J126" s="551"/>
      <c r="K126" s="551"/>
      <c r="L126" s="552"/>
      <c r="M126" s="553"/>
      <c r="N126" s="1151"/>
      <c r="O126" s="1151"/>
      <c r="P126" s="2627"/>
      <c r="Q126" s="555"/>
    </row>
    <row r="127" spans="1:17" s="467" customFormat="1" ht="15.75" thickBot="1">
      <c r="A127" s="549"/>
      <c r="B127" s="539"/>
      <c r="C127" s="556"/>
      <c r="D127" s="532"/>
      <c r="E127" s="532"/>
      <c r="F127" s="532"/>
      <c r="G127" s="556"/>
      <c r="H127" s="558"/>
      <c r="I127" s="558"/>
      <c r="J127" s="558"/>
      <c r="K127" s="558"/>
      <c r="L127" s="558"/>
      <c r="M127" s="559"/>
      <c r="N127" s="1151"/>
      <c r="O127" s="1151"/>
      <c r="P127" s="2627"/>
      <c r="Q127" s="555"/>
    </row>
    <row r="128" spans="1:17" ht="15" thickTop="1">
      <c r="A128" s="595"/>
      <c r="B128" s="534">
        <f>B45</f>
        <v>111</v>
      </c>
      <c r="C128" s="550"/>
      <c r="D128" s="550"/>
      <c r="E128" s="550"/>
      <c r="F128" s="550"/>
      <c r="G128" s="579"/>
      <c r="H128" s="579"/>
      <c r="I128" s="579"/>
      <c r="J128" s="579"/>
      <c r="K128" s="580"/>
      <c r="L128" s="581"/>
      <c r="M128" s="582"/>
      <c r="N128" s="1149"/>
      <c r="O128" s="1149"/>
      <c r="P128" s="2626"/>
      <c r="Q128" s="500"/>
    </row>
    <row r="129" spans="1:17" ht="15.75" thickBot="1">
      <c r="A129" s="530"/>
      <c r="B129" s="539"/>
      <c r="C129" s="556"/>
      <c r="D129" s="556"/>
      <c r="E129" s="556"/>
      <c r="F129" s="556"/>
      <c r="G129" s="532"/>
      <c r="H129" s="532"/>
      <c r="I129" s="532"/>
      <c r="J129" s="532"/>
      <c r="K129" s="532"/>
      <c r="L129" s="532"/>
      <c r="M129" s="533"/>
      <c r="N129" s="1150"/>
      <c r="O129" s="1150"/>
      <c r="P129" s="2626"/>
      <c r="Q129" s="500"/>
    </row>
    <row r="130" spans="1:17" ht="15" thickTop="1">
      <c r="A130" s="595"/>
      <c r="B130" s="542">
        <f>B46</f>
        <v>111</v>
      </c>
      <c r="C130" s="550"/>
      <c r="D130" s="550"/>
      <c r="E130" s="550"/>
      <c r="F130" s="550"/>
      <c r="G130" s="583"/>
      <c r="H130" s="583"/>
      <c r="I130" s="583"/>
      <c r="J130" s="583"/>
      <c r="K130" s="519"/>
      <c r="L130" s="520"/>
      <c r="M130" s="586"/>
      <c r="N130" s="1149"/>
      <c r="O130" s="1149"/>
      <c r="P130" s="2626"/>
      <c r="Q130" s="500"/>
    </row>
    <row r="131" spans="1:17" ht="15.75" thickBot="1">
      <c r="A131" s="2632"/>
      <c r="B131" s="565"/>
      <c r="C131" s="566"/>
      <c r="D131" s="566"/>
      <c r="E131" s="566"/>
      <c r="F131" s="566"/>
      <c r="G131" s="587"/>
      <c r="H131" s="587"/>
      <c r="I131" s="587"/>
      <c r="J131" s="587"/>
      <c r="K131" s="587"/>
      <c r="L131" s="587"/>
      <c r="M131" s="588"/>
      <c r="N131" s="1150"/>
      <c r="O131" s="1150"/>
      <c r="P131" s="2626"/>
      <c r="Q131" s="500"/>
    </row>
    <row r="136" spans="1:17" ht="15" thickBot="1">
      <c r="B136" s="2633" t="s">
        <v>2607</v>
      </c>
    </row>
    <row r="137" spans="1:17" ht="15">
      <c r="B137" s="2634" t="s">
        <v>2608</v>
      </c>
      <c r="C137" s="2635"/>
      <c r="D137" s="2635"/>
      <c r="E137" s="2635"/>
      <c r="F137" s="2635"/>
      <c r="G137" s="2636"/>
      <c r="H137" s="2637"/>
      <c r="I137" s="2638" t="s">
        <v>2609</v>
      </c>
      <c r="J137" s="2635"/>
      <c r="K137" s="2639"/>
    </row>
    <row r="138" spans="1:17" ht="15">
      <c r="B138" s="2640"/>
      <c r="C138" s="142" t="s">
        <v>2610</v>
      </c>
      <c r="D138" s="142" t="s">
        <v>2611</v>
      </c>
      <c r="E138" s="2641" t="s">
        <v>2612</v>
      </c>
      <c r="F138" s="2642" t="s">
        <v>2613</v>
      </c>
      <c r="G138" s="142" t="s">
        <v>2611</v>
      </c>
      <c r="H138" s="143" t="s">
        <v>2612</v>
      </c>
      <c r="I138" s="2643"/>
      <c r="J138" s="142" t="s">
        <v>2614</v>
      </c>
      <c r="K138" s="143" t="s">
        <v>2615</v>
      </c>
    </row>
    <row r="139" spans="1:17" ht="15">
      <c r="B139" s="1081">
        <v>6</v>
      </c>
      <c r="C139" s="1082">
        <v>96</v>
      </c>
      <c r="D139" s="2644" t="s">
        <v>2616</v>
      </c>
      <c r="E139" s="1083">
        <v>100</v>
      </c>
      <c r="F139" s="1084">
        <v>102.5</v>
      </c>
      <c r="G139" s="2644" t="s">
        <v>2616</v>
      </c>
      <c r="H139" s="1085">
        <v>105</v>
      </c>
      <c r="I139" s="2645" t="s">
        <v>2617</v>
      </c>
      <c r="J139" s="1082">
        <v>20</v>
      </c>
      <c r="K139" s="1086">
        <f>C145/(J139-2)</f>
        <v>4.0555555555555553E-3</v>
      </c>
    </row>
    <row r="140" spans="1:17" ht="15">
      <c r="B140" s="1087">
        <v>5</v>
      </c>
      <c r="C140" s="1088">
        <v>100</v>
      </c>
      <c r="D140" s="1088"/>
      <c r="E140" s="1089"/>
      <c r="F140" s="1090">
        <v>102</v>
      </c>
      <c r="G140" s="1088"/>
      <c r="H140" s="1091"/>
      <c r="I140" s="2646" t="s">
        <v>2618</v>
      </c>
      <c r="J140" s="311">
        <f>ROUNDUP((J139-1)/2,0)</f>
        <v>10</v>
      </c>
      <c r="K140" s="1092">
        <v>100</v>
      </c>
    </row>
    <row r="141" spans="1:17" ht="15">
      <c r="B141" s="1087">
        <v>4</v>
      </c>
      <c r="C141" s="1088">
        <v>102</v>
      </c>
      <c r="D141" s="1088"/>
      <c r="E141" s="1089"/>
      <c r="F141" s="1090">
        <v>101.5</v>
      </c>
      <c r="G141" s="1088"/>
      <c r="H141" s="1091"/>
      <c r="I141" s="2646" t="s">
        <v>2619</v>
      </c>
      <c r="J141" s="311">
        <v>1</v>
      </c>
      <c r="K141" s="1093">
        <f>ROUND(100+(J141-J140)*K139*100,1)</f>
        <v>96.4</v>
      </c>
    </row>
    <row r="142" spans="1:17" ht="15">
      <c r="B142" s="1087">
        <v>3</v>
      </c>
      <c r="C142" s="1088">
        <v>103</v>
      </c>
      <c r="D142" s="1088"/>
      <c r="E142" s="1089"/>
      <c r="F142" s="1090">
        <v>101</v>
      </c>
      <c r="G142" s="1088"/>
      <c r="H142" s="1091"/>
      <c r="I142" s="2646" t="s">
        <v>2620</v>
      </c>
      <c r="J142" s="311">
        <f>J139</f>
        <v>20</v>
      </c>
      <c r="K142" s="1094">
        <v>95</v>
      </c>
    </row>
    <row r="143" spans="1:17" ht="15">
      <c r="B143" s="1087">
        <v>2</v>
      </c>
      <c r="C143" s="1088">
        <v>100</v>
      </c>
      <c r="D143" s="1088"/>
      <c r="E143" s="1089"/>
      <c r="F143" s="1090">
        <v>100.5</v>
      </c>
      <c r="G143" s="1088"/>
      <c r="H143" s="1091"/>
      <c r="I143" s="2646" t="s">
        <v>2621</v>
      </c>
      <c r="J143" s="1088">
        <v>15</v>
      </c>
      <c r="K143" s="1093">
        <f>ROUND(100+(J143-J140)*K139*100,1)</f>
        <v>102</v>
      </c>
    </row>
    <row r="144" spans="1:17" ht="15">
      <c r="B144" s="1087">
        <v>1</v>
      </c>
      <c r="C144" s="1088">
        <v>98</v>
      </c>
      <c r="D144" s="2647" t="s">
        <v>2622</v>
      </c>
      <c r="E144" s="1089">
        <v>102</v>
      </c>
      <c r="F144" s="1095">
        <v>100</v>
      </c>
      <c r="G144" s="2647" t="s">
        <v>2622</v>
      </c>
      <c r="H144" s="1091">
        <v>105</v>
      </c>
      <c r="I144" s="2646" t="s">
        <v>2621</v>
      </c>
      <c r="J144" s="1088">
        <v>18</v>
      </c>
      <c r="K144" s="1093">
        <f>ROUND(100+(J144-J140)*K139*100,1)</f>
        <v>103.2</v>
      </c>
    </row>
    <row r="145" spans="2:11" ht="15.75" thickBot="1">
      <c r="B145" s="2648" t="s">
        <v>2623</v>
      </c>
      <c r="C145" s="1096">
        <f>ROUND(MAX(C139:C144)/MIN(C139:C144)-1,3)</f>
        <v>7.2999999999999995E-2</v>
      </c>
      <c r="D145" s="1097"/>
      <c r="E145" s="1097"/>
      <c r="F145" s="2649" t="s">
        <v>2624</v>
      </c>
      <c r="G145" s="2650"/>
      <c r="H145" s="2651"/>
      <c r="I145" s="2652" t="s">
        <v>2621</v>
      </c>
      <c r="J145" s="1098">
        <v>8</v>
      </c>
      <c r="K145" s="1099">
        <f>ROUND(100+(J145-J140)*K139*100,1)</f>
        <v>99.2</v>
      </c>
    </row>
    <row r="147" spans="2:11">
      <c r="B147" s="2633" t="s">
        <v>2625</v>
      </c>
    </row>
    <row r="148" spans="2:11">
      <c r="B148" s="2633"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2513</v>
      </c>
      <c r="B1" s="2665" t="s">
        <v>2687</v>
      </c>
      <c r="C1" s="1617" t="s">
        <v>2515</v>
      </c>
      <c r="D1" s="1618"/>
      <c r="E1" s="1627"/>
      <c r="F1" s="2580"/>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2314</v>
      </c>
      <c r="B2" s="1415" t="e">
        <f ca="1">IF(C2="——",ROUND(C43*D3/10000,0),ROUND(C43*D3/10000,0)-D2)</f>
        <v>#DIV/0!</v>
      </c>
      <c r="C2" s="2582"/>
      <c r="D2" s="1121" t="e">
        <f ca="1">SUMIF(INDIRECT("'"&amp;F2&amp;"'"&amp;"!A:A"),"承租人权益价值",INDIRECT("'"&amp;F2&amp;"'"&amp;"!c:c"))</f>
        <v>#REF!</v>
      </c>
      <c r="E2" s="2583" t="s">
        <v>2315</v>
      </c>
      <c r="F2" s="2584"/>
      <c r="G2" s="1122"/>
      <c r="H2" s="1122"/>
      <c r="I2" s="1122"/>
      <c r="J2" s="1122"/>
      <c r="K2" s="1122"/>
      <c r="L2" s="1125"/>
      <c r="M2" s="1126"/>
      <c r="N2" s="1126"/>
      <c r="O2" s="1126"/>
      <c r="P2" s="762"/>
      <c r="Q2" s="762"/>
      <c r="R2" s="762"/>
      <c r="S2" s="762"/>
      <c r="T2" s="762"/>
      <c r="U2" s="762"/>
      <c r="V2" s="762"/>
      <c r="W2" s="762"/>
      <c r="X2" s="762"/>
      <c r="Y2" s="762"/>
      <c r="Z2" s="762"/>
      <c r="AA2" s="762"/>
      <c r="AB2" s="762"/>
      <c r="AC2" s="776"/>
    </row>
    <row r="3" spans="1:29" s="394" customFormat="1" ht="28.5" customHeight="1" thickBot="1">
      <c r="A3" s="243" t="s">
        <v>2316</v>
      </c>
      <c r="B3" s="605" t="e">
        <f ca="1">IF(C2="——",C43,ROUND(B2*10000/D3,0))</f>
        <v>#DIV/0!</v>
      </c>
      <c r="C3" s="396" t="s">
        <v>2629</v>
      </c>
      <c r="D3" s="395">
        <f>IF(D1="",'数据-汇总表'!E3,SUMIF('数据-汇总表'!$C19:$C33,D1,'数据-汇总表'!$E19:$E33))</f>
        <v>183405</v>
      </c>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397" t="s">
        <v>2630</v>
      </c>
      <c r="B4" s="398"/>
      <c r="C4" s="3169" t="s">
        <v>2631</v>
      </c>
      <c r="D4" s="3170"/>
      <c r="E4" s="3171" t="s">
        <v>2632</v>
      </c>
      <c r="F4" s="3172"/>
      <c r="G4" s="3169" t="s">
        <v>2633</v>
      </c>
      <c r="H4" s="3170"/>
      <c r="I4" s="3169" t="s">
        <v>2634</v>
      </c>
      <c r="J4" s="3170"/>
      <c r="K4" s="606" t="s">
        <v>2635</v>
      </c>
      <c r="L4" s="1127"/>
      <c r="M4" s="1128"/>
      <c r="N4" s="1128"/>
      <c r="O4" s="1128"/>
      <c r="P4" s="3173" t="s">
        <v>2636</v>
      </c>
      <c r="Q4" s="3174"/>
      <c r="R4" s="3179" t="s">
        <v>2632</v>
      </c>
      <c r="S4" s="3180"/>
      <c r="T4" s="3179" t="s">
        <v>2633</v>
      </c>
      <c r="U4" s="3180"/>
      <c r="V4" s="3185" t="s">
        <v>2634</v>
      </c>
      <c r="W4" s="3185"/>
      <c r="X4" s="1810"/>
      <c r="Y4" s="3179" t="s">
        <v>2636</v>
      </c>
      <c r="Z4" s="3180"/>
      <c r="AA4" s="3166" t="s">
        <v>2632</v>
      </c>
      <c r="AB4" s="3167" t="s">
        <v>2633</v>
      </c>
      <c r="AC4" s="3166" t="s">
        <v>2634</v>
      </c>
    </row>
    <row r="5" spans="1:29" ht="15">
      <c r="A5" s="400"/>
      <c r="B5" s="401"/>
      <c r="C5" s="3188" t="s">
        <v>2527</v>
      </c>
      <c r="D5" s="3189"/>
      <c r="E5" s="3195" t="s">
        <v>2528</v>
      </c>
      <c r="F5" s="3196"/>
      <c r="G5" s="3188" t="s">
        <v>2529</v>
      </c>
      <c r="H5" s="3189"/>
      <c r="I5" s="3188" t="s">
        <v>2530</v>
      </c>
      <c r="J5" s="3189"/>
      <c r="K5" s="606"/>
      <c r="L5" s="1127"/>
      <c r="M5" s="1128"/>
      <c r="N5" s="1128"/>
      <c r="O5" s="1128"/>
      <c r="P5" s="3175"/>
      <c r="Q5" s="3176"/>
      <c r="R5" s="3181"/>
      <c r="S5" s="3182"/>
      <c r="T5" s="3181"/>
      <c r="U5" s="3182"/>
      <c r="V5" s="3185"/>
      <c r="W5" s="3185"/>
      <c r="X5" s="1810"/>
      <c r="Y5" s="3181"/>
      <c r="Z5" s="3182"/>
      <c r="AA5" s="3167"/>
      <c r="AB5" s="3167"/>
      <c r="AC5" s="3167"/>
    </row>
    <row r="6" spans="1:29" ht="15.75" thickBot="1">
      <c r="A6" s="402"/>
      <c r="B6" s="403"/>
      <c r="C6" s="3186" t="s">
        <v>2531</v>
      </c>
      <c r="D6" s="3187"/>
      <c r="E6" s="3193" t="s">
        <v>2531</v>
      </c>
      <c r="F6" s="3194"/>
      <c r="G6" s="3186" t="s">
        <v>2531</v>
      </c>
      <c r="H6" s="3187"/>
      <c r="I6" s="3186" t="s">
        <v>2531</v>
      </c>
      <c r="J6" s="3187"/>
      <c r="K6" s="606" t="s">
        <v>2532</v>
      </c>
      <c r="L6" s="1127"/>
      <c r="M6" s="1128"/>
      <c r="N6" s="1128"/>
      <c r="O6" s="1128"/>
      <c r="P6" s="3177"/>
      <c r="Q6" s="3178"/>
      <c r="R6" s="3181"/>
      <c r="S6" s="3182"/>
      <c r="T6" s="3183"/>
      <c r="U6" s="3184"/>
      <c r="V6" s="3185"/>
      <c r="W6" s="3185"/>
      <c r="X6" s="1810"/>
      <c r="Y6" s="3183"/>
      <c r="Z6" s="3184"/>
      <c r="AA6" s="3168"/>
      <c r="AB6" s="3168"/>
      <c r="AC6" s="3168"/>
    </row>
    <row r="7" spans="1:29" s="114" customFormat="1" ht="15.75" thickBot="1">
      <c r="A7" s="404" t="s">
        <v>2533</v>
      </c>
      <c r="B7" s="405"/>
      <c r="C7" s="406">
        <f>'数据-取费表'!B2</f>
        <v>43237</v>
      </c>
      <c r="D7" s="407">
        <v>100</v>
      </c>
      <c r="E7" s="408"/>
      <c r="F7" s="409">
        <f>SUMIF(52:52,YEAR(E7)&amp;"-"&amp;MONTH(E7),53:53)</f>
        <v>0</v>
      </c>
      <c r="G7" s="408"/>
      <c r="H7" s="407">
        <f>SUMIF(52:52,YEAR(G7)&amp;"-"&amp;MONTH(G7),53:53)</f>
        <v>0</v>
      </c>
      <c r="I7" s="408"/>
      <c r="J7" s="407">
        <f>SUMIF(52:52,YEAR(I7)&amp;"-"&amp;MONTH(I7),53:53)</f>
        <v>0</v>
      </c>
      <c r="K7" s="607"/>
      <c r="L7" s="1129"/>
      <c r="M7" s="1130"/>
      <c r="N7" s="1130"/>
      <c r="O7" s="1130"/>
      <c r="P7" s="3190" t="s">
        <v>2534</v>
      </c>
      <c r="Q7" s="3192"/>
      <c r="R7" s="764" t="s">
        <v>17</v>
      </c>
      <c r="S7" s="765">
        <f t="shared" ref="S7:S15" si="0">F7</f>
        <v>0</v>
      </c>
      <c r="T7" s="764" t="s">
        <v>17</v>
      </c>
      <c r="U7" s="765">
        <f t="shared" ref="U7:U15" si="1">H7</f>
        <v>0</v>
      </c>
      <c r="V7" s="764" t="s">
        <v>17</v>
      </c>
      <c r="W7" s="765">
        <f t="shared" ref="W7:W15" si="2">J7</f>
        <v>0</v>
      </c>
      <c r="X7" s="766"/>
      <c r="Y7" s="3190" t="s">
        <v>2534</v>
      </c>
      <c r="Z7" s="3191"/>
      <c r="AA7" s="767" t="e">
        <f>D7/F7</f>
        <v>#DIV/0!</v>
      </c>
      <c r="AB7" s="767" t="e">
        <f>D7/H7</f>
        <v>#DIV/0!</v>
      </c>
      <c r="AC7" s="767" t="e">
        <f>D7/J7</f>
        <v>#DIV/0!</v>
      </c>
    </row>
    <row r="8" spans="1:29" s="114" customFormat="1" ht="15.75" thickBot="1">
      <c r="A8" s="404" t="s">
        <v>2535</v>
      </c>
      <c r="B8" s="405"/>
      <c r="C8" s="410" t="s">
        <v>2536</v>
      </c>
      <c r="D8" s="407">
        <v>100</v>
      </c>
      <c r="E8" s="410"/>
      <c r="F8" s="409">
        <f>SUMIF(55:55,E8,56:56)-SUMIF(55:55,C8,56:56)+100</f>
        <v>0</v>
      </c>
      <c r="G8" s="410"/>
      <c r="H8" s="407">
        <f>SUMIF(55:55,G8,56:56)-SUMIF(55:55,C8,56:56)+100</f>
        <v>0</v>
      </c>
      <c r="I8" s="410"/>
      <c r="J8" s="407">
        <f>SUMIF(55:55,I8,56:56)-SUMIF(55:55,C8,56:56)+100</f>
        <v>0</v>
      </c>
      <c r="K8" s="607"/>
      <c r="L8" s="1129"/>
      <c r="M8" s="1130"/>
      <c r="N8" s="1130"/>
      <c r="O8" s="1130"/>
      <c r="P8" s="3190" t="s">
        <v>2537</v>
      </c>
      <c r="Q8" s="3191"/>
      <c r="R8" s="764" t="s">
        <v>17</v>
      </c>
      <c r="S8" s="765">
        <f t="shared" si="0"/>
        <v>0</v>
      </c>
      <c r="T8" s="764" t="s">
        <v>17</v>
      </c>
      <c r="U8" s="765">
        <f t="shared" si="1"/>
        <v>0</v>
      </c>
      <c r="V8" s="764" t="s">
        <v>17</v>
      </c>
      <c r="W8" s="765">
        <f t="shared" si="2"/>
        <v>0</v>
      </c>
      <c r="X8" s="766"/>
      <c r="Y8" s="3190" t="s">
        <v>2537</v>
      </c>
      <c r="Z8" s="3191"/>
      <c r="AA8" s="767" t="e">
        <f t="shared" ref="AA8:AA40" si="3">D8/F8</f>
        <v>#DIV/0!</v>
      </c>
      <c r="AB8" s="767" t="e">
        <f t="shared" ref="AB8:AB40" si="4">D8/H8</f>
        <v>#DIV/0!</v>
      </c>
      <c r="AC8" s="767" t="e">
        <f t="shared" ref="AC8:AC40" si="5">D8/J8</f>
        <v>#DIV/0!</v>
      </c>
    </row>
    <row r="9" spans="1:29" s="114" customFormat="1">
      <c r="A9" s="411" t="s">
        <v>2538</v>
      </c>
      <c r="B9" s="69" t="s">
        <v>2539</v>
      </c>
      <c r="C9" s="412"/>
      <c r="D9" s="131">
        <v>100</v>
      </c>
      <c r="E9" s="415"/>
      <c r="F9" s="131">
        <f>SUMIF(57:57,E9,58:58)-SUMIF(57:57,C9,58:58)+100</f>
        <v>100</v>
      </c>
      <c r="G9" s="413"/>
      <c r="H9" s="131">
        <f>SUMIF(57:57,G9,58:58)-SUMIF(57:57,C9,58:58)+100</f>
        <v>100</v>
      </c>
      <c r="I9" s="413"/>
      <c r="J9" s="131">
        <f>SUMIF(57:57,I9,58:58)-SUMIF(57:57,C9,58:58)+100</f>
        <v>100</v>
      </c>
      <c r="K9" s="607"/>
      <c r="L9" s="1129"/>
      <c r="M9" s="1130"/>
      <c r="N9" s="1130"/>
      <c r="O9" s="1131"/>
      <c r="P9" s="3154" t="s">
        <v>2540</v>
      </c>
      <c r="Q9" s="1792" t="str">
        <f t="shared" ref="Q9:Q15" si="6">B9</f>
        <v>用途</v>
      </c>
      <c r="R9" s="764" t="s">
        <v>17</v>
      </c>
      <c r="S9" s="765">
        <f t="shared" si="0"/>
        <v>100</v>
      </c>
      <c r="T9" s="764" t="s">
        <v>17</v>
      </c>
      <c r="U9" s="765">
        <f t="shared" si="1"/>
        <v>100</v>
      </c>
      <c r="V9" s="764" t="s">
        <v>17</v>
      </c>
      <c r="W9" s="765">
        <f t="shared" si="2"/>
        <v>100</v>
      </c>
      <c r="X9" s="766"/>
      <c r="Y9" s="2982" t="s">
        <v>2541</v>
      </c>
      <c r="Z9" s="55" t="str">
        <f t="shared" ref="Z9:Z15" si="7">Q9</f>
        <v>用途</v>
      </c>
      <c r="AA9" s="767">
        <f t="shared" si="3"/>
        <v>1</v>
      </c>
      <c r="AB9" s="767">
        <f t="shared" si="4"/>
        <v>1</v>
      </c>
      <c r="AC9" s="767">
        <f t="shared" si="5"/>
        <v>1</v>
      </c>
    </row>
    <row r="10" spans="1:29" s="423" customFormat="1" ht="27">
      <c r="A10" s="417"/>
      <c r="B10" s="418" t="s">
        <v>2542</v>
      </c>
      <c r="C10" s="419"/>
      <c r="D10" s="132">
        <v>100</v>
      </c>
      <c r="E10" s="419"/>
      <c r="F10" s="132">
        <f>SUMIF(59:59,E10,60:60)-SUMIF(59:59,C10,60:60)+100</f>
        <v>100</v>
      </c>
      <c r="G10" s="420"/>
      <c r="H10" s="132">
        <f>SUMIF(59:59,G10,60:60)-SUMIF(59:59,C10,60:60)+100</f>
        <v>100</v>
      </c>
      <c r="I10" s="419"/>
      <c r="J10" s="132">
        <f>SUMIF(59:59,I10,60:60)-SUMIF(59:59,C10,60:60)+100</f>
        <v>100</v>
      </c>
      <c r="K10" s="608"/>
      <c r="L10" s="1132"/>
      <c r="M10" s="1133"/>
      <c r="N10" s="1133"/>
      <c r="O10" s="1134"/>
      <c r="P10" s="3154"/>
      <c r="Q10" s="1792" t="str">
        <f t="shared" si="6"/>
        <v>土地使用年限（年）</v>
      </c>
      <c r="R10" s="764" t="s">
        <v>17</v>
      </c>
      <c r="S10" s="765">
        <f t="shared" si="0"/>
        <v>100</v>
      </c>
      <c r="T10" s="764" t="s">
        <v>17</v>
      </c>
      <c r="U10" s="765">
        <f t="shared" si="1"/>
        <v>100</v>
      </c>
      <c r="V10" s="764" t="s">
        <v>17</v>
      </c>
      <c r="W10" s="765">
        <f t="shared" si="2"/>
        <v>100</v>
      </c>
      <c r="X10" s="766"/>
      <c r="Y10" s="2982"/>
      <c r="Z10" s="55" t="str">
        <f t="shared" si="7"/>
        <v>土地使用年限（年）</v>
      </c>
      <c r="AA10" s="767">
        <f t="shared" si="3"/>
        <v>1</v>
      </c>
      <c r="AB10" s="767">
        <f t="shared" si="4"/>
        <v>1</v>
      </c>
      <c r="AC10" s="767">
        <f t="shared" si="5"/>
        <v>1</v>
      </c>
    </row>
    <row r="11" spans="1:29" ht="15">
      <c r="A11" s="424"/>
      <c r="B11" s="418" t="s">
        <v>2543</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5"/>
      <c r="M11" s="1128"/>
      <c r="N11" s="1128"/>
      <c r="O11" s="1136"/>
      <c r="P11" s="3154"/>
      <c r="Q11" s="1792" t="str">
        <f t="shared" si="6"/>
        <v>容积率</v>
      </c>
      <c r="R11" s="764" t="s">
        <v>17</v>
      </c>
      <c r="S11" s="765" t="e">
        <f t="shared" si="0"/>
        <v>#N/A</v>
      </c>
      <c r="T11" s="764" t="s">
        <v>17</v>
      </c>
      <c r="U11" s="765" t="e">
        <f t="shared" si="1"/>
        <v>#N/A</v>
      </c>
      <c r="V11" s="764" t="s">
        <v>17</v>
      </c>
      <c r="W11" s="765" t="e">
        <f t="shared" si="2"/>
        <v>#N/A</v>
      </c>
      <c r="X11" s="766"/>
      <c r="Y11" s="2982"/>
      <c r="Z11" s="55" t="str">
        <f t="shared" si="7"/>
        <v>容积率</v>
      </c>
      <c r="AA11" s="767" t="e">
        <f t="shared" si="3"/>
        <v>#N/A</v>
      </c>
      <c r="AB11" s="767" t="e">
        <f t="shared" si="4"/>
        <v>#N/A</v>
      </c>
      <c r="AC11" s="767" t="e">
        <f t="shared" si="5"/>
        <v>#N/A</v>
      </c>
    </row>
    <row r="12" spans="1:29" s="114" customFormat="1" ht="15">
      <c r="A12" s="427"/>
      <c r="B12" s="2596">
        <v>111</v>
      </c>
      <c r="C12" s="428"/>
      <c r="D12" s="429">
        <v>100</v>
      </c>
      <c r="E12" s="430"/>
      <c r="F12" s="132">
        <f>SUMIF(64:64,E12,65:65)-SUMIF(64:64,C12,65:65)+100</f>
        <v>100</v>
      </c>
      <c r="G12" s="2688"/>
      <c r="H12" s="132">
        <f>SUMIF(64:64,G12,65:65)-SUMIF(64:64,C12,65:65)+100</f>
        <v>100</v>
      </c>
      <c r="I12" s="465"/>
      <c r="J12" s="132">
        <f>SUMIF(64:64,I12,65:65)-SUMIF(64:64,C12,65:65)+100</f>
        <v>100</v>
      </c>
      <c r="K12" s="609"/>
      <c r="L12" s="1129"/>
      <c r="M12" s="1130"/>
      <c r="N12" s="1130"/>
      <c r="O12" s="1131"/>
      <c r="P12" s="3154"/>
      <c r="Q12" s="1792">
        <f t="shared" si="6"/>
        <v>111</v>
      </c>
      <c r="R12" s="764" t="s">
        <v>17</v>
      </c>
      <c r="S12" s="765">
        <f t="shared" si="0"/>
        <v>100</v>
      </c>
      <c r="T12" s="764" t="s">
        <v>17</v>
      </c>
      <c r="U12" s="765">
        <f t="shared" si="1"/>
        <v>100</v>
      </c>
      <c r="V12" s="764" t="s">
        <v>17</v>
      </c>
      <c r="W12" s="765">
        <f t="shared" si="2"/>
        <v>100</v>
      </c>
      <c r="X12" s="766"/>
      <c r="Y12" s="2982"/>
      <c r="Z12" s="55">
        <f t="shared" si="7"/>
        <v>111</v>
      </c>
      <c r="AA12" s="767">
        <f>D12/F12</f>
        <v>1</v>
      </c>
      <c r="AB12" s="767">
        <f>D12/H12</f>
        <v>1</v>
      </c>
      <c r="AC12" s="767">
        <f>D12/J12</f>
        <v>1</v>
      </c>
    </row>
    <row r="13" spans="1:29" ht="15">
      <c r="A13" s="424"/>
      <c r="B13" s="2596">
        <v>111</v>
      </c>
      <c r="C13" s="430"/>
      <c r="D13" s="431">
        <v>100</v>
      </c>
      <c r="E13" s="430"/>
      <c r="F13" s="132">
        <f>SUMIF(66:66,E13,67:67)-SUMIF(66:66,C13,67:67)+100</f>
        <v>100</v>
      </c>
      <c r="G13" s="2688"/>
      <c r="H13" s="431">
        <f>SUMIF(66:66,G13,67:67)-SUMIF(66:66,C13,67:67)+100</f>
        <v>100</v>
      </c>
      <c r="I13" s="465"/>
      <c r="J13" s="431">
        <f>SUMIF(66:66,I13,67:67)-SUMIF(66:66,C13,67:67)+100</f>
        <v>100</v>
      </c>
      <c r="K13" s="609"/>
      <c r="L13" s="1137"/>
      <c r="M13" s="1128"/>
      <c r="N13" s="1128"/>
      <c r="O13" s="1136"/>
      <c r="P13" s="3154"/>
      <c r="Q13" s="1792">
        <f t="shared" si="6"/>
        <v>111</v>
      </c>
      <c r="R13" s="764" t="s">
        <v>17</v>
      </c>
      <c r="S13" s="765">
        <f t="shared" si="0"/>
        <v>100</v>
      </c>
      <c r="T13" s="764" t="s">
        <v>17</v>
      </c>
      <c r="U13" s="765">
        <f t="shared" si="1"/>
        <v>100</v>
      </c>
      <c r="V13" s="764" t="s">
        <v>17</v>
      </c>
      <c r="W13" s="765">
        <f t="shared" si="2"/>
        <v>100</v>
      </c>
      <c r="X13" s="766"/>
      <c r="Y13" s="2982"/>
      <c r="Z13" s="55">
        <f t="shared" si="7"/>
        <v>111</v>
      </c>
      <c r="AA13" s="767">
        <f t="shared" si="3"/>
        <v>1</v>
      </c>
      <c r="AB13" s="767">
        <f t="shared" si="4"/>
        <v>1</v>
      </c>
      <c r="AC13" s="767">
        <f t="shared" si="5"/>
        <v>1</v>
      </c>
    </row>
    <row r="14" spans="1:29" ht="15.75" thickBot="1">
      <c r="A14" s="432"/>
      <c r="B14" s="2598">
        <v>111</v>
      </c>
      <c r="C14" s="433"/>
      <c r="D14" s="434">
        <v>100</v>
      </c>
      <c r="E14" s="433"/>
      <c r="F14" s="434">
        <f>SUMIF(68:68,E14,69:69)-SUMIF(68:68,C14,69:69)+100</f>
        <v>100</v>
      </c>
      <c r="G14" s="2688"/>
      <c r="H14" s="434">
        <f>SUMIF(68:68,G14,69:69)-SUMIF(68:68,C14,69:69)+100</f>
        <v>100</v>
      </c>
      <c r="I14" s="465"/>
      <c r="J14" s="434">
        <f>SUMIF(68:68,I14,69:69)-SUMIF(68:68,C14,69:69)+100</f>
        <v>100</v>
      </c>
      <c r="K14" s="609"/>
      <c r="L14" s="1137"/>
      <c r="M14" s="1128"/>
      <c r="N14" s="1128"/>
      <c r="O14" s="1136"/>
      <c r="P14" s="3154"/>
      <c r="Q14" s="1792">
        <f t="shared" si="6"/>
        <v>111</v>
      </c>
      <c r="R14" s="764" t="s">
        <v>17</v>
      </c>
      <c r="S14" s="765">
        <f t="shared" si="0"/>
        <v>100</v>
      </c>
      <c r="T14" s="764" t="s">
        <v>17</v>
      </c>
      <c r="U14" s="765">
        <f t="shared" si="1"/>
        <v>100</v>
      </c>
      <c r="V14" s="764" t="s">
        <v>17</v>
      </c>
      <c r="W14" s="765">
        <f t="shared" si="2"/>
        <v>100</v>
      </c>
      <c r="X14" s="766"/>
      <c r="Y14" s="2982"/>
      <c r="Z14" s="55">
        <f t="shared" si="7"/>
        <v>111</v>
      </c>
      <c r="AA14" s="767">
        <f t="shared" si="3"/>
        <v>1</v>
      </c>
      <c r="AB14" s="767">
        <f t="shared" si="4"/>
        <v>1</v>
      </c>
      <c r="AC14" s="767">
        <f t="shared" si="5"/>
        <v>1</v>
      </c>
    </row>
    <row r="15" spans="1:29" ht="57">
      <c r="A15" s="436" t="s">
        <v>2544</v>
      </c>
      <c r="B15" s="67" t="s">
        <v>2688</v>
      </c>
      <c r="C15" s="2689">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7"/>
      <c r="M15" s="1128"/>
      <c r="N15" s="1128"/>
      <c r="O15" s="1136"/>
      <c r="P15" s="3156" t="s">
        <v>2545</v>
      </c>
      <c r="Q15" s="1807" t="str">
        <f t="shared" si="6"/>
        <v>产业集聚程度</v>
      </c>
      <c r="R15" s="768" t="s">
        <v>17</v>
      </c>
      <c r="S15" s="769">
        <f t="shared" si="0"/>
        <v>100</v>
      </c>
      <c r="T15" s="768" t="s">
        <v>17</v>
      </c>
      <c r="U15" s="769">
        <f t="shared" si="1"/>
        <v>100</v>
      </c>
      <c r="V15" s="768" t="s">
        <v>17</v>
      </c>
      <c r="W15" s="769">
        <f t="shared" si="2"/>
        <v>100</v>
      </c>
      <c r="X15" s="1810"/>
      <c r="Y15" s="3156" t="s">
        <v>2545</v>
      </c>
      <c r="Z15" s="1811" t="str">
        <f t="shared" si="7"/>
        <v>产业集聚程度</v>
      </c>
      <c r="AA15" s="1808">
        <f t="shared" si="3"/>
        <v>1</v>
      </c>
      <c r="AB15" s="1808">
        <f t="shared" si="4"/>
        <v>1</v>
      </c>
      <c r="AC15" s="1808">
        <f t="shared" si="5"/>
        <v>1</v>
      </c>
    </row>
    <row r="16" spans="1:29" ht="15">
      <c r="A16" s="424"/>
      <c r="B16" s="442"/>
      <c r="C16" s="443"/>
      <c r="D16" s="444"/>
      <c r="E16" s="443"/>
      <c r="F16" s="445"/>
      <c r="G16" s="443"/>
      <c r="H16" s="446"/>
      <c r="I16" s="443"/>
      <c r="J16" s="444"/>
      <c r="K16" s="611"/>
      <c r="L16" s="1137"/>
      <c r="M16" s="1128"/>
      <c r="N16" s="1128"/>
      <c r="O16" s="1136"/>
      <c r="P16" s="3157"/>
      <c r="Q16" s="1807"/>
      <c r="R16" s="768"/>
      <c r="S16" s="769"/>
      <c r="T16" s="768"/>
      <c r="U16" s="769"/>
      <c r="V16" s="768"/>
      <c r="W16" s="769"/>
      <c r="X16" s="1810"/>
      <c r="Y16" s="3157"/>
      <c r="Z16" s="1811"/>
      <c r="AA16" s="1808">
        <v>1</v>
      </c>
      <c r="AB16" s="1808">
        <v>1</v>
      </c>
      <c r="AC16" s="1808">
        <v>1</v>
      </c>
    </row>
    <row r="17" spans="1:29" ht="85.5">
      <c r="A17" s="424"/>
      <c r="B17" s="447" t="s">
        <v>2087</v>
      </c>
      <c r="C17" s="2603">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7"/>
      <c r="M17" s="1128"/>
      <c r="N17" s="1128"/>
      <c r="O17" s="1136"/>
      <c r="P17" s="3157"/>
      <c r="Q17" s="1807" t="str">
        <f>B17</f>
        <v>交通便捷度</v>
      </c>
      <c r="R17" s="768" t="s">
        <v>17</v>
      </c>
      <c r="S17" s="769">
        <f>F17</f>
        <v>100</v>
      </c>
      <c r="T17" s="768" t="s">
        <v>17</v>
      </c>
      <c r="U17" s="769">
        <f>H17</f>
        <v>100</v>
      </c>
      <c r="V17" s="768" t="s">
        <v>17</v>
      </c>
      <c r="W17" s="769">
        <f>J17</f>
        <v>100</v>
      </c>
      <c r="X17" s="1810"/>
      <c r="Y17" s="3157"/>
      <c r="Z17" s="1811" t="str">
        <f>Q17</f>
        <v>交通便捷度</v>
      </c>
      <c r="AA17" s="1808">
        <f t="shared" si="3"/>
        <v>1</v>
      </c>
      <c r="AB17" s="1808">
        <f t="shared" si="4"/>
        <v>1</v>
      </c>
      <c r="AC17" s="1808">
        <f t="shared" si="5"/>
        <v>1</v>
      </c>
    </row>
    <row r="18" spans="1:29" ht="15">
      <c r="A18" s="424"/>
      <c r="B18" s="452"/>
      <c r="C18" s="2604"/>
      <c r="D18" s="446"/>
      <c r="E18" s="2606"/>
      <c r="F18" s="449"/>
      <c r="G18" s="2605"/>
      <c r="H18" s="444"/>
      <c r="I18" s="2606"/>
      <c r="J18" s="444"/>
      <c r="K18" s="611"/>
      <c r="L18" s="1137"/>
      <c r="M18" s="1128"/>
      <c r="N18" s="1128"/>
      <c r="O18" s="1136"/>
      <c r="P18" s="3157"/>
      <c r="Q18" s="1807"/>
      <c r="R18" s="768"/>
      <c r="S18" s="769"/>
      <c r="T18" s="768"/>
      <c r="U18" s="769"/>
      <c r="V18" s="768"/>
      <c r="W18" s="769"/>
      <c r="X18" s="1810"/>
      <c r="Y18" s="3157"/>
      <c r="Z18" s="1811"/>
      <c r="AA18" s="1808">
        <v>1</v>
      </c>
      <c r="AB18" s="1808">
        <v>1</v>
      </c>
      <c r="AC18" s="1808">
        <v>1</v>
      </c>
    </row>
    <row r="19" spans="1:29" ht="42.75">
      <c r="A19" s="424"/>
      <c r="B19" s="447" t="s">
        <v>2673</v>
      </c>
      <c r="C19" s="2603">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7"/>
      <c r="M19" s="1128"/>
      <c r="N19" s="1128"/>
      <c r="O19" s="1136"/>
      <c r="P19" s="3157"/>
      <c r="Q19" s="1807" t="str">
        <f>B19</f>
        <v>公共配套设施</v>
      </c>
      <c r="R19" s="768" t="s">
        <v>17</v>
      </c>
      <c r="S19" s="769">
        <f>F19</f>
        <v>100</v>
      </c>
      <c r="T19" s="768" t="s">
        <v>17</v>
      </c>
      <c r="U19" s="769">
        <f>H19</f>
        <v>100</v>
      </c>
      <c r="V19" s="768" t="s">
        <v>17</v>
      </c>
      <c r="W19" s="769">
        <f>J19</f>
        <v>100</v>
      </c>
      <c r="X19" s="1810"/>
      <c r="Y19" s="3157"/>
      <c r="Z19" s="1811" t="str">
        <f>Q19</f>
        <v>公共配套设施</v>
      </c>
      <c r="AA19" s="1808">
        <f t="shared" si="3"/>
        <v>1</v>
      </c>
      <c r="AB19" s="1808">
        <f t="shared" si="4"/>
        <v>1</v>
      </c>
      <c r="AC19" s="1808">
        <f t="shared" si="5"/>
        <v>1</v>
      </c>
    </row>
    <row r="20" spans="1:29" ht="15">
      <c r="A20" s="424"/>
      <c r="B20" s="452"/>
      <c r="C20" s="443"/>
      <c r="D20" s="444"/>
      <c r="E20" s="2601"/>
      <c r="F20" s="445"/>
      <c r="G20" s="2600"/>
      <c r="H20" s="444"/>
      <c r="I20" s="2601"/>
      <c r="J20" s="444"/>
      <c r="K20" s="611"/>
      <c r="L20" s="1137"/>
      <c r="M20" s="1128"/>
      <c r="N20" s="1128"/>
      <c r="O20" s="1136"/>
      <c r="P20" s="3157"/>
      <c r="Q20" s="1807"/>
      <c r="R20" s="768"/>
      <c r="S20" s="769"/>
      <c r="T20" s="768"/>
      <c r="U20" s="769"/>
      <c r="V20" s="768"/>
      <c r="W20" s="769"/>
      <c r="X20" s="1810"/>
      <c r="Y20" s="3157"/>
      <c r="Z20" s="1811"/>
      <c r="AA20" s="1808">
        <v>1</v>
      </c>
      <c r="AB20" s="1808">
        <v>1</v>
      </c>
      <c r="AC20" s="1808">
        <v>1</v>
      </c>
    </row>
    <row r="21" spans="1:29" ht="28.5">
      <c r="A21" s="424"/>
      <c r="B21" s="1381" t="s">
        <v>2674</v>
      </c>
      <c r="C21" s="2603">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7"/>
      <c r="M21" s="1128"/>
      <c r="N21" s="1128"/>
      <c r="O21" s="1136"/>
      <c r="P21" s="3157"/>
      <c r="Q21" s="1807" t="str">
        <f>B21</f>
        <v>基础设施水平</v>
      </c>
      <c r="R21" s="768" t="s">
        <v>17</v>
      </c>
      <c r="S21" s="769">
        <f>F21</f>
        <v>100</v>
      </c>
      <c r="T21" s="768" t="s">
        <v>17</v>
      </c>
      <c r="U21" s="769">
        <f>H21</f>
        <v>100</v>
      </c>
      <c r="V21" s="768" t="s">
        <v>17</v>
      </c>
      <c r="W21" s="769">
        <f>J21</f>
        <v>100</v>
      </c>
      <c r="X21" s="1810"/>
      <c r="Y21" s="3157"/>
      <c r="Z21" s="1811" t="str">
        <f>Q21</f>
        <v>基础设施水平</v>
      </c>
      <c r="AA21" s="1808">
        <f t="shared" ref="AA21" si="8">D21/F21</f>
        <v>1</v>
      </c>
      <c r="AB21" s="1808">
        <f t="shared" ref="AB21" si="9">D21/H21</f>
        <v>1</v>
      </c>
      <c r="AC21" s="1808">
        <f t="shared" ref="AC21" si="10">D21/J21</f>
        <v>1</v>
      </c>
    </row>
    <row r="22" spans="1:29" ht="15">
      <c r="A22" s="424"/>
      <c r="B22" s="1381"/>
      <c r="C22" s="2604"/>
      <c r="D22" s="444"/>
      <c r="E22" s="443"/>
      <c r="F22" s="445"/>
      <c r="G22" s="443"/>
      <c r="H22" s="444"/>
      <c r="I22" s="443"/>
      <c r="J22" s="444"/>
      <c r="K22" s="1380"/>
      <c r="L22" s="1137"/>
      <c r="M22" s="1128"/>
      <c r="N22" s="1128"/>
      <c r="O22" s="1136"/>
      <c r="P22" s="3157"/>
      <c r="Q22" s="1807"/>
      <c r="R22" s="768"/>
      <c r="S22" s="769"/>
      <c r="T22" s="768"/>
      <c r="U22" s="769"/>
      <c r="V22" s="768"/>
      <c r="W22" s="769"/>
      <c r="X22" s="1810"/>
      <c r="Y22" s="3157"/>
      <c r="Z22" s="1811"/>
      <c r="AA22" s="1808">
        <v>1</v>
      </c>
      <c r="AB22" s="1808">
        <v>1</v>
      </c>
      <c r="AC22" s="1808">
        <v>1</v>
      </c>
    </row>
    <row r="23" spans="1:29" ht="71.25">
      <c r="A23" s="424"/>
      <c r="B23" s="447" t="s">
        <v>2675</v>
      </c>
      <c r="C23" s="2603">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7"/>
      <c r="M23" s="1128"/>
      <c r="N23" s="1128"/>
      <c r="O23" s="1136"/>
      <c r="P23" s="3157"/>
      <c r="Q23" s="1807" t="str">
        <f>B23</f>
        <v>环境质量</v>
      </c>
      <c r="R23" s="768" t="s">
        <v>17</v>
      </c>
      <c r="S23" s="769">
        <f>F23</f>
        <v>100</v>
      </c>
      <c r="T23" s="768" t="s">
        <v>17</v>
      </c>
      <c r="U23" s="769">
        <f>H23</f>
        <v>100</v>
      </c>
      <c r="V23" s="768" t="s">
        <v>17</v>
      </c>
      <c r="W23" s="769">
        <f>J23</f>
        <v>100</v>
      </c>
      <c r="X23" s="1810"/>
      <c r="Y23" s="3157"/>
      <c r="Z23" s="1811" t="str">
        <f>Q23</f>
        <v>环境质量</v>
      </c>
      <c r="AA23" s="1808">
        <f t="shared" si="3"/>
        <v>1</v>
      </c>
      <c r="AB23" s="1808">
        <f t="shared" si="4"/>
        <v>1</v>
      </c>
      <c r="AC23" s="1808">
        <f t="shared" si="5"/>
        <v>1</v>
      </c>
    </row>
    <row r="24" spans="1:29" ht="15">
      <c r="A24" s="424"/>
      <c r="B24" s="1381"/>
      <c r="C24" s="443"/>
      <c r="D24" s="444"/>
      <c r="E24" s="2601"/>
      <c r="F24" s="445"/>
      <c r="G24" s="2600"/>
      <c r="H24" s="444"/>
      <c r="I24" s="2601"/>
      <c r="J24" s="444"/>
      <c r="K24" s="611"/>
      <c r="L24" s="1137"/>
      <c r="M24" s="1128"/>
      <c r="N24" s="1128"/>
      <c r="O24" s="1136"/>
      <c r="P24" s="3157"/>
      <c r="Q24" s="1807"/>
      <c r="R24" s="768"/>
      <c r="S24" s="769"/>
      <c r="T24" s="768"/>
      <c r="U24" s="769"/>
      <c r="V24" s="768"/>
      <c r="W24" s="769"/>
      <c r="X24" s="1810"/>
      <c r="Y24" s="3157"/>
      <c r="Z24" s="1811"/>
      <c r="AA24" s="1808">
        <v>1</v>
      </c>
      <c r="AB24" s="1808">
        <v>1</v>
      </c>
      <c r="AC24" s="1808">
        <v>1</v>
      </c>
    </row>
    <row r="25" spans="1:29" ht="15">
      <c r="A25" s="400"/>
      <c r="B25" s="1383">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7"/>
      <c r="M25" s="1128"/>
      <c r="N25" s="1128"/>
      <c r="O25" s="1136"/>
      <c r="P25" s="3157"/>
      <c r="Q25" s="1807">
        <f>B25</f>
        <v>111</v>
      </c>
      <c r="R25" s="768" t="s">
        <v>17</v>
      </c>
      <c r="S25" s="769">
        <f>F25</f>
        <v>100</v>
      </c>
      <c r="T25" s="768" t="s">
        <v>17</v>
      </c>
      <c r="U25" s="769">
        <f>H25</f>
        <v>100</v>
      </c>
      <c r="V25" s="768" t="s">
        <v>17</v>
      </c>
      <c r="W25" s="769">
        <f>J25</f>
        <v>100</v>
      </c>
      <c r="X25" s="1810"/>
      <c r="Y25" s="3157"/>
      <c r="Z25" s="1811">
        <f>Q25</f>
        <v>111</v>
      </c>
      <c r="AA25" s="1808">
        <f t="shared" si="3"/>
        <v>1</v>
      </c>
      <c r="AB25" s="1808">
        <f t="shared" si="4"/>
        <v>1</v>
      </c>
      <c r="AC25" s="1808">
        <f t="shared" si="5"/>
        <v>1</v>
      </c>
    </row>
    <row r="26" spans="1:29" ht="15">
      <c r="A26" s="424"/>
      <c r="B26" s="1383">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7"/>
      <c r="M26" s="1128"/>
      <c r="N26" s="1128"/>
      <c r="O26" s="1136"/>
      <c r="P26" s="3157"/>
      <c r="Q26" s="1807">
        <f t="shared" ref="Q26:Q40" si="11">B26</f>
        <v>111</v>
      </c>
      <c r="R26" s="768" t="s">
        <v>17</v>
      </c>
      <c r="S26" s="769">
        <f>F26</f>
        <v>100</v>
      </c>
      <c r="T26" s="768" t="s">
        <v>17</v>
      </c>
      <c r="U26" s="769">
        <f>H26</f>
        <v>100</v>
      </c>
      <c r="V26" s="768" t="s">
        <v>17</v>
      </c>
      <c r="W26" s="769">
        <f>J26</f>
        <v>100</v>
      </c>
      <c r="X26" s="1810"/>
      <c r="Y26" s="3157"/>
      <c r="Z26" s="1811">
        <f>Q26</f>
        <v>111</v>
      </c>
      <c r="AA26" s="1808">
        <f t="shared" si="3"/>
        <v>1</v>
      </c>
      <c r="AB26" s="1808">
        <f t="shared" si="4"/>
        <v>1</v>
      </c>
      <c r="AC26" s="1808">
        <f t="shared" si="5"/>
        <v>1</v>
      </c>
    </row>
    <row r="27" spans="1:29" s="114" customFormat="1" ht="15">
      <c r="A27" s="427"/>
      <c r="B27" s="1383">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9"/>
      <c r="M27" s="1130"/>
      <c r="N27" s="1130"/>
      <c r="O27" s="1131"/>
      <c r="P27" s="3157"/>
      <c r="Q27" s="1792">
        <f t="shared" si="11"/>
        <v>111</v>
      </c>
      <c r="R27" s="764" t="s">
        <v>17</v>
      </c>
      <c r="S27" s="765">
        <f>F27</f>
        <v>100</v>
      </c>
      <c r="T27" s="764" t="s">
        <v>17</v>
      </c>
      <c r="U27" s="765">
        <f>H27</f>
        <v>100</v>
      </c>
      <c r="V27" s="764" t="s">
        <v>17</v>
      </c>
      <c r="W27" s="765">
        <f>J27</f>
        <v>100</v>
      </c>
      <c r="X27" s="766"/>
      <c r="Y27" s="3157"/>
      <c r="Z27" s="55">
        <f>Q27</f>
        <v>111</v>
      </c>
      <c r="AA27" s="1808">
        <f>D27/F27</f>
        <v>1</v>
      </c>
      <c r="AB27" s="1808">
        <f>D27/H27</f>
        <v>1</v>
      </c>
      <c r="AC27" s="1808">
        <f>D27/J27</f>
        <v>1</v>
      </c>
    </row>
    <row r="28" spans="1:29" ht="15.75" thickBot="1">
      <c r="A28" s="432"/>
      <c r="B28" s="1383">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7"/>
      <c r="M28" s="1128"/>
      <c r="N28" s="1128"/>
      <c r="O28" s="1136"/>
      <c r="P28" s="3157"/>
      <c r="Q28" s="1807">
        <f t="shared" si="11"/>
        <v>111</v>
      </c>
      <c r="R28" s="768" t="s">
        <v>17</v>
      </c>
      <c r="S28" s="769">
        <f t="shared" ref="S28:S40" si="12">F28</f>
        <v>100</v>
      </c>
      <c r="T28" s="768" t="s">
        <v>17</v>
      </c>
      <c r="U28" s="769">
        <f t="shared" ref="U28:U40" si="13">H28</f>
        <v>100</v>
      </c>
      <c r="V28" s="768" t="s">
        <v>17</v>
      </c>
      <c r="W28" s="769">
        <f t="shared" ref="W28:W40" si="14">J28</f>
        <v>100</v>
      </c>
      <c r="X28" s="1810"/>
      <c r="Y28" s="3157"/>
      <c r="Z28" s="1811">
        <f t="shared" ref="Z28:Z40" si="15">Q28</f>
        <v>111</v>
      </c>
      <c r="AA28" s="1808">
        <f t="shared" si="3"/>
        <v>1</v>
      </c>
      <c r="AB28" s="1808">
        <f t="shared" si="4"/>
        <v>1</v>
      </c>
      <c r="AC28" s="1808">
        <f t="shared" si="5"/>
        <v>1</v>
      </c>
    </row>
    <row r="29" spans="1:29" ht="15">
      <c r="A29" s="462" t="s">
        <v>2548</v>
      </c>
      <c r="B29" s="69" t="s">
        <v>2678</v>
      </c>
      <c r="C29" s="2675"/>
      <c r="D29" s="463">
        <v>100</v>
      </c>
      <c r="E29" s="2675"/>
      <c r="F29" s="457">
        <f>SUMIF(88:88,E29,89:89)-SUMIF(88:88,C29,89:89)+100</f>
        <v>100</v>
      </c>
      <c r="G29" s="2675"/>
      <c r="H29" s="431">
        <f>SUMIF(88:88,G29,89:89)-SUMIF(88:88,C29,89:89)+100</f>
        <v>100</v>
      </c>
      <c r="I29" s="2675"/>
      <c r="J29" s="463">
        <f>SUMIF(88:88,I29,89:89)-SUMIF(88:88,C29,89:89)+100</f>
        <v>100</v>
      </c>
      <c r="K29" s="608"/>
      <c r="L29" s="1137"/>
      <c r="M29" s="1128"/>
      <c r="N29" s="1128"/>
      <c r="O29" s="1136"/>
      <c r="P29" s="3212" t="s">
        <v>2550</v>
      </c>
      <c r="Q29" s="1807" t="str">
        <f t="shared" si="11"/>
        <v>建筑类型</v>
      </c>
      <c r="R29" s="768" t="s">
        <v>17</v>
      </c>
      <c r="S29" s="769">
        <f t="shared" si="12"/>
        <v>100</v>
      </c>
      <c r="T29" s="768" t="s">
        <v>17</v>
      </c>
      <c r="U29" s="769">
        <f t="shared" si="13"/>
        <v>100</v>
      </c>
      <c r="V29" s="768" t="s">
        <v>17</v>
      </c>
      <c r="W29" s="769">
        <f t="shared" si="14"/>
        <v>100</v>
      </c>
      <c r="X29" s="1810"/>
      <c r="Y29" s="3161" t="s">
        <v>2550</v>
      </c>
      <c r="Z29" s="1811" t="str">
        <f t="shared" si="15"/>
        <v>建筑类型</v>
      </c>
      <c r="AA29" s="1808">
        <f t="shared" si="3"/>
        <v>1</v>
      </c>
      <c r="AB29" s="1808">
        <f t="shared" si="4"/>
        <v>1</v>
      </c>
      <c r="AC29" s="1808">
        <f t="shared" si="5"/>
        <v>1</v>
      </c>
    </row>
    <row r="30" spans="1:29" s="467" customFormat="1" ht="15">
      <c r="A30" s="464"/>
      <c r="B30" s="418" t="s">
        <v>2551</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5"/>
      <c r="M30" s="1138"/>
      <c r="N30" s="1138"/>
      <c r="O30" s="1139"/>
      <c r="P30" s="3161"/>
      <c r="Q30" s="770" t="str">
        <f t="shared" si="11"/>
        <v>项目建筑规模</v>
      </c>
      <c r="R30" s="771" t="s">
        <v>17</v>
      </c>
      <c r="S30" s="772" t="e">
        <f t="shared" si="12"/>
        <v>#N/A</v>
      </c>
      <c r="T30" s="771" t="s">
        <v>17</v>
      </c>
      <c r="U30" s="772" t="e">
        <f t="shared" si="13"/>
        <v>#N/A</v>
      </c>
      <c r="V30" s="771" t="s">
        <v>17</v>
      </c>
      <c r="W30" s="772" t="e">
        <f t="shared" si="14"/>
        <v>#N/A</v>
      </c>
      <c r="X30" s="773"/>
      <c r="Y30" s="3161"/>
      <c r="Z30" s="774" t="str">
        <f t="shared" si="15"/>
        <v>项目建筑规模</v>
      </c>
      <c r="AA30" s="1808" t="e">
        <f t="shared" si="3"/>
        <v>#N/A</v>
      </c>
      <c r="AB30" s="1808" t="e">
        <f t="shared" si="4"/>
        <v>#N/A</v>
      </c>
      <c r="AC30" s="1808" t="e">
        <f t="shared" si="5"/>
        <v>#N/A</v>
      </c>
    </row>
    <row r="31" spans="1:29" ht="15">
      <c r="A31" s="468"/>
      <c r="B31" s="418" t="s">
        <v>2552</v>
      </c>
      <c r="C31" s="456"/>
      <c r="D31" s="431">
        <v>100</v>
      </c>
      <c r="E31" s="456"/>
      <c r="F31" s="457">
        <f>SUMIF(93:93,E31,94:94)-SUMIF(93:93,C31,94:94)+100</f>
        <v>100</v>
      </c>
      <c r="G31" s="456"/>
      <c r="H31" s="431">
        <f>SUMIF(93:93,G31,94:94)-SUMIF(93:93,C31,94:94)+100</f>
        <v>100</v>
      </c>
      <c r="I31" s="456"/>
      <c r="J31" s="431">
        <f>SUMIF(93:93,I31,94:94)-SUMIF(93:93,C31,94:94)+100</f>
        <v>100</v>
      </c>
      <c r="K31" s="608"/>
      <c r="L31" s="1137"/>
      <c r="M31" s="1128"/>
      <c r="N31" s="1128"/>
      <c r="O31" s="1136"/>
      <c r="P31" s="3161"/>
      <c r="Q31" s="1807" t="str">
        <f t="shared" si="11"/>
        <v>建筑结构</v>
      </c>
      <c r="R31" s="768" t="s">
        <v>17</v>
      </c>
      <c r="S31" s="769">
        <f t="shared" si="12"/>
        <v>100</v>
      </c>
      <c r="T31" s="768" t="s">
        <v>17</v>
      </c>
      <c r="U31" s="769">
        <f t="shared" si="13"/>
        <v>100</v>
      </c>
      <c r="V31" s="768" t="s">
        <v>17</v>
      </c>
      <c r="W31" s="769">
        <f t="shared" si="14"/>
        <v>100</v>
      </c>
      <c r="X31" s="1810"/>
      <c r="Y31" s="3161"/>
      <c r="Z31" s="1811" t="str">
        <f t="shared" si="15"/>
        <v>建筑结构</v>
      </c>
      <c r="AA31" s="1808">
        <f t="shared" si="3"/>
        <v>1</v>
      </c>
      <c r="AB31" s="1808">
        <f t="shared" si="4"/>
        <v>1</v>
      </c>
      <c r="AC31" s="1808">
        <f t="shared" si="5"/>
        <v>1</v>
      </c>
    </row>
    <row r="32" spans="1:29" ht="15">
      <c r="A32" s="468"/>
      <c r="B32" s="418" t="s">
        <v>2646</v>
      </c>
      <c r="C32" s="456"/>
      <c r="D32" s="431">
        <v>100</v>
      </c>
      <c r="E32" s="456"/>
      <c r="F32" s="457">
        <f>SUMIF(95:95,E32,96:96)-SUMIF(95:95,C32,96:96)+100</f>
        <v>100</v>
      </c>
      <c r="G32" s="456"/>
      <c r="H32" s="431">
        <f>SUMIF(95:95,G32,96:96)-SUMIF(95:95,C32,96:96)+100</f>
        <v>100</v>
      </c>
      <c r="I32" s="456"/>
      <c r="J32" s="431">
        <f>SUMIF(95:95,I32,96:96)-SUMIF(95:95,C32,96:96)+100</f>
        <v>100</v>
      </c>
      <c r="K32" s="608"/>
      <c r="L32" s="1137"/>
      <c r="M32" s="1128"/>
      <c r="N32" s="1128"/>
      <c r="O32" s="1136"/>
      <c r="P32" s="3161"/>
      <c r="Q32" s="1807" t="str">
        <f t="shared" si="11"/>
        <v>公共部分装修</v>
      </c>
      <c r="R32" s="768" t="s">
        <v>17</v>
      </c>
      <c r="S32" s="769">
        <f t="shared" si="12"/>
        <v>100</v>
      </c>
      <c r="T32" s="768" t="s">
        <v>17</v>
      </c>
      <c r="U32" s="769">
        <f t="shared" si="13"/>
        <v>100</v>
      </c>
      <c r="V32" s="768" t="s">
        <v>17</v>
      </c>
      <c r="W32" s="769">
        <f t="shared" si="14"/>
        <v>100</v>
      </c>
      <c r="X32" s="1810"/>
      <c r="Y32" s="3161"/>
      <c r="Z32" s="1811" t="str">
        <f t="shared" si="15"/>
        <v>公共部分装修</v>
      </c>
      <c r="AA32" s="1808">
        <f t="shared" si="3"/>
        <v>1</v>
      </c>
      <c r="AB32" s="1808">
        <f t="shared" si="4"/>
        <v>1</v>
      </c>
      <c r="AC32" s="1808">
        <f t="shared" si="5"/>
        <v>1</v>
      </c>
    </row>
    <row r="33" spans="1:29" ht="15">
      <c r="A33" s="468"/>
      <c r="B33" s="418" t="s">
        <v>2647</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7"/>
      <c r="M33" s="1128"/>
      <c r="N33" s="1128"/>
      <c r="O33" s="1136"/>
      <c r="P33" s="3161"/>
      <c r="Q33" s="1807" t="str">
        <f t="shared" si="11"/>
        <v>成新度</v>
      </c>
      <c r="R33" s="768" t="s">
        <v>17</v>
      </c>
      <c r="S33" s="769" t="e">
        <f t="shared" si="12"/>
        <v>#N/A</v>
      </c>
      <c r="T33" s="768" t="s">
        <v>17</v>
      </c>
      <c r="U33" s="769" t="e">
        <f t="shared" si="13"/>
        <v>#N/A</v>
      </c>
      <c r="V33" s="768" t="s">
        <v>17</v>
      </c>
      <c r="W33" s="769" t="e">
        <f t="shared" si="14"/>
        <v>#N/A</v>
      </c>
      <c r="X33" s="1810"/>
      <c r="Y33" s="3161"/>
      <c r="Z33" s="1811" t="str">
        <f t="shared" si="15"/>
        <v>成新度</v>
      </c>
      <c r="AA33" s="1808" t="e">
        <f t="shared" si="3"/>
        <v>#N/A</v>
      </c>
      <c r="AB33" s="1808" t="e">
        <f t="shared" si="4"/>
        <v>#N/A</v>
      </c>
      <c r="AC33" s="1808" t="e">
        <f t="shared" si="5"/>
        <v>#N/A</v>
      </c>
    </row>
    <row r="34" spans="1:29" s="114" customFormat="1" ht="15">
      <c r="A34" s="469"/>
      <c r="B34" s="418" t="s">
        <v>2680</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9"/>
      <c r="M34" s="1130"/>
      <c r="N34" s="1130"/>
      <c r="O34" s="1131"/>
      <c r="P34" s="3161"/>
      <c r="Q34" s="1792" t="str">
        <f t="shared" si="11"/>
        <v>物业管理</v>
      </c>
      <c r="R34" s="764" t="s">
        <v>17</v>
      </c>
      <c r="S34" s="765">
        <f t="shared" si="12"/>
        <v>100</v>
      </c>
      <c r="T34" s="764" t="s">
        <v>17</v>
      </c>
      <c r="U34" s="765">
        <f t="shared" si="13"/>
        <v>100</v>
      </c>
      <c r="V34" s="764" t="s">
        <v>17</v>
      </c>
      <c r="W34" s="765">
        <f t="shared" si="14"/>
        <v>100</v>
      </c>
      <c r="X34" s="766"/>
      <c r="Y34" s="3161"/>
      <c r="Z34" s="55" t="str">
        <f t="shared" si="15"/>
        <v>物业管理</v>
      </c>
      <c r="AA34" s="767">
        <f t="shared" si="3"/>
        <v>1</v>
      </c>
      <c r="AB34" s="767">
        <f t="shared" si="4"/>
        <v>1</v>
      </c>
      <c r="AC34" s="767">
        <f t="shared" si="5"/>
        <v>1</v>
      </c>
    </row>
    <row r="35" spans="1:29" ht="15">
      <c r="A35" s="468"/>
      <c r="B35" s="418" t="s">
        <v>2648</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7"/>
      <c r="M35" s="1128"/>
      <c r="N35" s="1128"/>
      <c r="O35" s="1136"/>
      <c r="P35" s="3161" t="s">
        <v>2550</v>
      </c>
      <c r="Q35" s="1807" t="str">
        <f t="shared" si="11"/>
        <v>市政基础设施</v>
      </c>
      <c r="R35" s="768" t="s">
        <v>17</v>
      </c>
      <c r="S35" s="769">
        <f t="shared" si="12"/>
        <v>100</v>
      </c>
      <c r="T35" s="768" t="s">
        <v>17</v>
      </c>
      <c r="U35" s="769">
        <f t="shared" si="13"/>
        <v>100</v>
      </c>
      <c r="V35" s="768" t="s">
        <v>17</v>
      </c>
      <c r="W35" s="769">
        <f t="shared" si="14"/>
        <v>100</v>
      </c>
      <c r="X35" s="1810"/>
      <c r="Y35" s="3161" t="s">
        <v>2550</v>
      </c>
      <c r="Z35" s="1811" t="str">
        <f t="shared" si="15"/>
        <v>市政基础设施</v>
      </c>
      <c r="AA35" s="1808">
        <f t="shared" si="3"/>
        <v>1</v>
      </c>
      <c r="AB35" s="1808">
        <f t="shared" si="4"/>
        <v>1</v>
      </c>
      <c r="AC35" s="1808">
        <f t="shared" si="5"/>
        <v>1</v>
      </c>
    </row>
    <row r="36" spans="1:29" ht="15">
      <c r="A36" s="468"/>
      <c r="B36" s="418" t="s">
        <v>2653</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7"/>
      <c r="M36" s="1128"/>
      <c r="N36" s="1128"/>
      <c r="O36" s="1136"/>
      <c r="P36" s="3161"/>
      <c r="Q36" s="1807" t="str">
        <f t="shared" si="11"/>
        <v>内部装修</v>
      </c>
      <c r="R36" s="768" t="s">
        <v>17</v>
      </c>
      <c r="S36" s="769">
        <f t="shared" si="12"/>
        <v>100</v>
      </c>
      <c r="T36" s="768" t="s">
        <v>17</v>
      </c>
      <c r="U36" s="769">
        <f t="shared" si="13"/>
        <v>100</v>
      </c>
      <c r="V36" s="768" t="s">
        <v>17</v>
      </c>
      <c r="W36" s="769">
        <f t="shared" si="14"/>
        <v>100</v>
      </c>
      <c r="X36" s="1810"/>
      <c r="Y36" s="3161"/>
      <c r="Z36" s="1811" t="str">
        <f t="shared" si="15"/>
        <v>内部装修</v>
      </c>
      <c r="AA36" s="1808">
        <f t="shared" si="3"/>
        <v>1</v>
      </c>
      <c r="AB36" s="1808">
        <f t="shared" si="4"/>
        <v>1</v>
      </c>
      <c r="AC36" s="1808">
        <f t="shared" si="5"/>
        <v>1</v>
      </c>
    </row>
    <row r="37" spans="1:29" ht="15">
      <c r="A37" s="468"/>
      <c r="B37" s="418" t="s">
        <v>2689</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7"/>
      <c r="M37" s="1128"/>
      <c r="N37" s="1128"/>
      <c r="O37" s="1136"/>
      <c r="P37" s="3161"/>
      <c r="Q37" s="1807" t="str">
        <f t="shared" si="11"/>
        <v>内部装修状况</v>
      </c>
      <c r="R37" s="768" t="s">
        <v>17</v>
      </c>
      <c r="S37" s="769">
        <f t="shared" si="12"/>
        <v>100</v>
      </c>
      <c r="T37" s="768" t="s">
        <v>17</v>
      </c>
      <c r="U37" s="769">
        <f t="shared" si="13"/>
        <v>100</v>
      </c>
      <c r="V37" s="768" t="s">
        <v>17</v>
      </c>
      <c r="W37" s="769">
        <f t="shared" si="14"/>
        <v>100</v>
      </c>
      <c r="X37" s="1810"/>
      <c r="Y37" s="3161"/>
      <c r="Z37" s="1811" t="str">
        <f t="shared" si="15"/>
        <v>内部装修状况</v>
      </c>
      <c r="AA37" s="1808">
        <f t="shared" si="3"/>
        <v>1</v>
      </c>
      <c r="AB37" s="1808">
        <f t="shared" si="4"/>
        <v>1</v>
      </c>
      <c r="AC37" s="1808">
        <f t="shared" si="5"/>
        <v>1</v>
      </c>
    </row>
    <row r="38" spans="1:29" s="467" customFormat="1" ht="15">
      <c r="A38" s="464"/>
      <c r="B38" s="1383">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5"/>
      <c r="M38" s="1138"/>
      <c r="N38" s="1138"/>
      <c r="O38" s="1139"/>
      <c r="P38" s="3161"/>
      <c r="Q38" s="770">
        <f t="shared" si="11"/>
        <v>111</v>
      </c>
      <c r="R38" s="771" t="s">
        <v>17</v>
      </c>
      <c r="S38" s="772">
        <f t="shared" si="12"/>
        <v>100</v>
      </c>
      <c r="T38" s="771" t="s">
        <v>17</v>
      </c>
      <c r="U38" s="772">
        <f t="shared" si="13"/>
        <v>100</v>
      </c>
      <c r="V38" s="771" t="s">
        <v>17</v>
      </c>
      <c r="W38" s="772">
        <f t="shared" si="14"/>
        <v>100</v>
      </c>
      <c r="X38" s="773"/>
      <c r="Y38" s="3161"/>
      <c r="Z38" s="774">
        <f t="shared" si="15"/>
        <v>111</v>
      </c>
      <c r="AA38" s="1808">
        <f t="shared" si="3"/>
        <v>1</v>
      </c>
      <c r="AB38" s="1808">
        <f t="shared" si="4"/>
        <v>1</v>
      </c>
      <c r="AC38" s="1808">
        <f t="shared" si="5"/>
        <v>1</v>
      </c>
    </row>
    <row r="39" spans="1:29" ht="15">
      <c r="A39" s="468"/>
      <c r="B39" s="1383">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7"/>
      <c r="M39" s="1128"/>
      <c r="N39" s="1128"/>
      <c r="O39" s="1136"/>
      <c r="P39" s="3161"/>
      <c r="Q39" s="1807">
        <f t="shared" si="11"/>
        <v>111</v>
      </c>
      <c r="R39" s="768" t="s">
        <v>17</v>
      </c>
      <c r="S39" s="769">
        <f t="shared" si="12"/>
        <v>100</v>
      </c>
      <c r="T39" s="768" t="s">
        <v>17</v>
      </c>
      <c r="U39" s="769">
        <f t="shared" si="13"/>
        <v>100</v>
      </c>
      <c r="V39" s="768" t="s">
        <v>17</v>
      </c>
      <c r="W39" s="769">
        <f t="shared" si="14"/>
        <v>100</v>
      </c>
      <c r="X39" s="1810"/>
      <c r="Y39" s="3161"/>
      <c r="Z39" s="1811">
        <f t="shared" si="15"/>
        <v>111</v>
      </c>
      <c r="AA39" s="1808">
        <f t="shared" si="3"/>
        <v>1</v>
      </c>
      <c r="AB39" s="1808">
        <f t="shared" si="4"/>
        <v>1</v>
      </c>
      <c r="AC39" s="1808">
        <f t="shared" si="5"/>
        <v>1</v>
      </c>
    </row>
    <row r="40" spans="1:29" ht="15.75" thickBot="1">
      <c r="A40" s="474"/>
      <c r="B40" s="2598">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7"/>
      <c r="M40" s="1128"/>
      <c r="N40" s="1128"/>
      <c r="O40" s="1136"/>
      <c r="P40" s="3162"/>
      <c r="Q40" s="1807">
        <f t="shared" si="11"/>
        <v>111</v>
      </c>
      <c r="R40" s="768" t="s">
        <v>17</v>
      </c>
      <c r="S40" s="769">
        <f t="shared" si="12"/>
        <v>100</v>
      </c>
      <c r="T40" s="768" t="s">
        <v>17</v>
      </c>
      <c r="U40" s="769">
        <f t="shared" si="13"/>
        <v>100</v>
      </c>
      <c r="V40" s="768" t="s">
        <v>17</v>
      </c>
      <c r="W40" s="769">
        <f t="shared" si="14"/>
        <v>100</v>
      </c>
      <c r="X40" s="1810"/>
      <c r="Y40" s="3162"/>
      <c r="Z40" s="1811">
        <f t="shared" si="15"/>
        <v>111</v>
      </c>
      <c r="AA40" s="1808">
        <f t="shared" si="3"/>
        <v>1</v>
      </c>
      <c r="AB40" s="1808">
        <f t="shared" si="4"/>
        <v>1</v>
      </c>
      <c r="AC40" s="1808">
        <f t="shared" si="5"/>
        <v>1</v>
      </c>
    </row>
    <row r="41" spans="1:29" ht="15">
      <c r="A41" s="475" t="s">
        <v>2562</v>
      </c>
      <c r="B41" s="476"/>
      <c r="C41" s="1404" t="s">
        <v>1</v>
      </c>
      <c r="D41" s="1405"/>
      <c r="E41" s="1406"/>
      <c r="F41" s="1407"/>
      <c r="G41" s="1408"/>
      <c r="H41" s="1409"/>
      <c r="I41" s="1406"/>
      <c r="J41" s="1409"/>
      <c r="K41" s="777"/>
      <c r="L41" s="1140"/>
      <c r="M41" s="1141"/>
      <c r="N41" s="1128"/>
      <c r="O41" s="1141"/>
      <c r="P41" s="3154" t="str">
        <f>A41</f>
        <v>成交单价（元/平方米）</v>
      </c>
      <c r="Q41" s="3154"/>
      <c r="R41" s="3155">
        <f>E41</f>
        <v>0</v>
      </c>
      <c r="S41" s="3155"/>
      <c r="T41" s="3155">
        <f>G41</f>
        <v>0</v>
      </c>
      <c r="U41" s="3155"/>
      <c r="V41" s="3155">
        <f>I41</f>
        <v>0</v>
      </c>
      <c r="W41" s="3155"/>
      <c r="X41" s="753"/>
      <c r="Y41" s="775"/>
      <c r="Z41" s="753"/>
      <c r="AA41" s="753"/>
      <c r="AB41" s="753"/>
      <c r="AC41" s="753"/>
    </row>
    <row r="42" spans="1:29" ht="15.75" thickBot="1">
      <c r="A42" s="482" t="s">
        <v>2654</v>
      </c>
      <c r="B42" s="483"/>
      <c r="C42" s="1410" t="e">
        <f>R43</f>
        <v>#DIV/0!</v>
      </c>
      <c r="D42" s="1411"/>
      <c r="E42" s="1412" t="e">
        <f>R42</f>
        <v>#DIV/0!</v>
      </c>
      <c r="F42" s="1412"/>
      <c r="G42" s="1410" t="e">
        <f>T42</f>
        <v>#DIV/0!</v>
      </c>
      <c r="H42" s="1411"/>
      <c r="I42" s="1412" t="e">
        <f>V42</f>
        <v>#DIV/0!</v>
      </c>
      <c r="J42" s="1411"/>
      <c r="K42" s="778"/>
      <c r="L42" s="1140"/>
      <c r="M42" s="1141"/>
      <c r="N42" s="1128"/>
      <c r="O42" s="1141"/>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3"/>
      <c r="Y42" s="753"/>
      <c r="Z42" s="753"/>
      <c r="AA42" s="753"/>
      <c r="AB42" s="753"/>
      <c r="AC42" s="753"/>
    </row>
    <row r="43" spans="1:29" ht="15.75" thickBot="1">
      <c r="A43" s="488" t="s">
        <v>2655</v>
      </c>
      <c r="B43" s="489"/>
      <c r="C43" s="1414" t="e">
        <f>R43</f>
        <v>#DIV/0!</v>
      </c>
      <c r="D43" s="1414"/>
      <c r="E43" s="1414"/>
      <c r="F43" s="1414"/>
      <c r="G43" s="1414"/>
      <c r="H43" s="1414"/>
      <c r="I43" s="1414"/>
      <c r="J43" s="1414"/>
      <c r="K43" s="779"/>
      <c r="L43" s="1140"/>
      <c r="M43" s="1141"/>
      <c r="N43" s="1141"/>
      <c r="O43" s="1141"/>
      <c r="P43" s="3151" t="str">
        <f>A43</f>
        <v>估价对象XX用房的比较价值（楼面单价，元/平方米）</v>
      </c>
      <c r="Q43" s="3152"/>
      <c r="R43" s="3153" t="e">
        <f>IF(F1="售价",ROUND(AVERAGE(R42:V42),0),ROUND(AVERAGE(R42:V42),1))</f>
        <v>#DIV/0!</v>
      </c>
      <c r="S43" s="3153"/>
      <c r="T43" s="3153"/>
      <c r="U43" s="3153"/>
      <c r="V43" s="3153"/>
      <c r="W43" s="3153"/>
      <c r="X43" s="753"/>
      <c r="Y43" s="753"/>
      <c r="Z43" s="753"/>
      <c r="AA43" s="753"/>
      <c r="AB43" s="753"/>
      <c r="AC43" s="753"/>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41"/>
      <c r="N46" s="1141"/>
      <c r="O46" s="1141"/>
    </row>
    <row r="47" spans="1:29" ht="13.5" customHeight="1">
      <c r="A47" s="1141"/>
      <c r="B47" s="1141"/>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1"/>
      <c r="N47" s="1141"/>
      <c r="O47" s="1141"/>
    </row>
    <row r="48" spans="1:29" s="498" customFormat="1" ht="13.5" customHeight="1">
      <c r="A48" s="1142"/>
      <c r="B48" s="1142"/>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5"/>
      <c r="L48" s="1146"/>
      <c r="M48" s="1142"/>
      <c r="N48" s="1142"/>
      <c r="O48" s="1142"/>
    </row>
    <row r="49" spans="1:17" s="498"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7" t="s">
        <v>2659</v>
      </c>
      <c r="B51" s="753"/>
      <c r="C51" s="758"/>
      <c r="D51" s="758"/>
      <c r="E51" s="758"/>
      <c r="F51" s="759"/>
      <c r="G51" s="759"/>
      <c r="H51" s="758"/>
      <c r="I51" s="758"/>
      <c r="J51" s="758"/>
      <c r="K51" s="1157"/>
      <c r="L51" s="1158"/>
      <c r="M51" s="1156"/>
      <c r="N51" s="1156"/>
      <c r="O51" s="1156"/>
      <c r="P51" s="499"/>
      <c r="Q51" s="500"/>
    </row>
    <row r="52" spans="1:17" s="504" customFormat="1" ht="15">
      <c r="A52" s="501" t="s">
        <v>2533</v>
      </c>
      <c r="B52" s="502"/>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3"/>
    </row>
    <row r="53" spans="1:17" s="114" customFormat="1" ht="15">
      <c r="A53" s="505"/>
      <c r="B53" s="506"/>
      <c r="C53" s="1570">
        <v>100</v>
      </c>
      <c r="D53" s="508"/>
      <c r="E53" s="508"/>
      <c r="F53" s="508"/>
      <c r="G53" s="508"/>
      <c r="H53" s="508"/>
      <c r="I53" s="508"/>
      <c r="J53" s="508"/>
      <c r="K53" s="508"/>
      <c r="L53" s="508"/>
      <c r="M53" s="509"/>
      <c r="N53" s="508"/>
      <c r="O53" s="510"/>
      <c r="P53" s="500"/>
    </row>
    <row r="54" spans="1:17" s="114" customFormat="1" ht="15.75" thickBot="1">
      <c r="A54" s="511" t="s">
        <v>2570</v>
      </c>
      <c r="B54" s="512"/>
      <c r="C54" s="513"/>
      <c r="D54" s="514"/>
      <c r="E54" s="514"/>
      <c r="F54" s="514"/>
      <c r="G54" s="514"/>
      <c r="H54" s="514"/>
      <c r="I54" s="514"/>
      <c r="J54" s="514"/>
      <c r="K54" s="514"/>
      <c r="L54" s="514"/>
      <c r="M54" s="515"/>
      <c r="N54" s="514"/>
      <c r="O54" s="516"/>
      <c r="P54" s="500"/>
      <c r="Q54" s="500"/>
    </row>
    <row r="55" spans="1:17" s="114" customFormat="1" ht="15">
      <c r="A55" s="517" t="s">
        <v>2535</v>
      </c>
      <c r="B55" s="506"/>
      <c r="C55" s="518" t="s">
        <v>2637</v>
      </c>
      <c r="D55" s="519"/>
      <c r="E55" s="519"/>
      <c r="F55" s="519"/>
      <c r="G55" s="519"/>
      <c r="H55" s="519"/>
      <c r="I55" s="519"/>
      <c r="J55" s="519"/>
      <c r="K55" s="519"/>
      <c r="L55" s="520"/>
      <c r="M55" s="521"/>
      <c r="N55" s="1148"/>
      <c r="O55" s="1148"/>
      <c r="P55" s="522"/>
      <c r="Q55" s="500"/>
    </row>
    <row r="56" spans="1:17" s="114" customFormat="1" ht="15.75" thickBot="1">
      <c r="A56" s="517"/>
      <c r="B56" s="506"/>
      <c r="C56" s="635">
        <v>100</v>
      </c>
      <c r="D56" s="508"/>
      <c r="E56" s="508"/>
      <c r="F56" s="508"/>
      <c r="G56" s="508"/>
      <c r="H56" s="508"/>
      <c r="I56" s="508"/>
      <c r="J56" s="508"/>
      <c r="K56" s="508"/>
      <c r="L56" s="508"/>
      <c r="M56" s="510"/>
      <c r="N56" s="1148"/>
      <c r="O56" s="1148"/>
      <c r="P56" s="500"/>
      <c r="Q56" s="500"/>
    </row>
    <row r="57" spans="1:17">
      <c r="A57" s="523" t="s">
        <v>2573</v>
      </c>
      <c r="B57" s="524" t="s">
        <v>2539</v>
      </c>
      <c r="C57" s="525">
        <f>C9</f>
        <v>0</v>
      </c>
      <c r="D57" s="526"/>
      <c r="E57" s="526"/>
      <c r="F57" s="526"/>
      <c r="G57" s="526"/>
      <c r="H57" s="526"/>
      <c r="I57" s="526"/>
      <c r="J57" s="526"/>
      <c r="K57" s="527"/>
      <c r="L57" s="528"/>
      <c r="M57" s="529"/>
      <c r="N57" s="1149"/>
      <c r="O57" s="1149"/>
      <c r="P57" s="45"/>
      <c r="Q57" s="500"/>
    </row>
    <row r="58" spans="1:17" ht="15.75" thickBot="1">
      <c r="A58" s="530"/>
      <c r="B58" s="531"/>
      <c r="C58" s="532">
        <v>100</v>
      </c>
      <c r="D58" s="532"/>
      <c r="E58" s="532"/>
      <c r="F58" s="532"/>
      <c r="G58" s="532"/>
      <c r="H58" s="532"/>
      <c r="I58" s="532"/>
      <c r="J58" s="532"/>
      <c r="K58" s="532"/>
      <c r="L58" s="532"/>
      <c r="M58" s="533"/>
      <c r="N58" s="1150"/>
      <c r="O58" s="1150"/>
      <c r="P58" s="45"/>
      <c r="Q58" s="500"/>
    </row>
    <row r="59" spans="1:17" ht="27.75" thickTop="1">
      <c r="A59" s="530"/>
      <c r="B59" s="534" t="s">
        <v>2542</v>
      </c>
      <c r="C59" s="535" t="s">
        <v>2574</v>
      </c>
      <c r="D59" s="535" t="s">
        <v>2575</v>
      </c>
      <c r="E59" s="535" t="s">
        <v>2576</v>
      </c>
      <c r="F59" s="535" t="s">
        <v>2577</v>
      </c>
      <c r="G59" s="535" t="s">
        <v>2578</v>
      </c>
      <c r="H59" s="535" t="s">
        <v>2579</v>
      </c>
      <c r="I59" s="535" t="s">
        <v>2580</v>
      </c>
      <c r="J59" s="535"/>
      <c r="K59" s="536"/>
      <c r="L59" s="537"/>
      <c r="M59" s="538"/>
      <c r="N59" s="1149"/>
      <c r="O59" s="1149"/>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0"/>
      <c r="O60" s="1150"/>
      <c r="P60" s="45"/>
      <c r="Q60" s="500"/>
    </row>
    <row r="61" spans="1:17" ht="15.75" thickTop="1">
      <c r="A61" s="530"/>
      <c r="B61" s="542" t="s">
        <v>2543</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0"/>
      <c r="O61" s="1150"/>
      <c r="P61" s="45"/>
      <c r="Q61" s="500"/>
    </row>
    <row r="62" spans="1:17" ht="15">
      <c r="A62" s="530"/>
      <c r="B62" s="544"/>
      <c r="C62" s="545"/>
      <c r="D62" s="545"/>
      <c r="E62" s="545"/>
      <c r="F62" s="545"/>
      <c r="G62" s="545"/>
      <c r="H62" s="545"/>
      <c r="I62" s="545"/>
      <c r="J62" s="545"/>
      <c r="K62" s="546"/>
      <c r="L62" s="547"/>
      <c r="M62" s="548"/>
      <c r="N62" s="1149"/>
      <c r="O62" s="1149"/>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0"/>
      <c r="O63" s="1150"/>
      <c r="P63" s="45"/>
      <c r="Q63" s="500"/>
    </row>
    <row r="64" spans="1:17" s="467" customFormat="1" ht="15.75" thickTop="1">
      <c r="A64" s="549"/>
      <c r="B64" s="534">
        <f>B12</f>
        <v>111</v>
      </c>
      <c r="C64" s="550"/>
      <c r="D64" s="550"/>
      <c r="E64" s="550"/>
      <c r="F64" s="550"/>
      <c r="G64" s="550"/>
      <c r="H64" s="551"/>
      <c r="I64" s="551"/>
      <c r="J64" s="551"/>
      <c r="K64" s="551"/>
      <c r="L64" s="552"/>
      <c r="M64" s="553"/>
      <c r="N64" s="1151"/>
      <c r="O64" s="1151"/>
      <c r="P64" s="554"/>
      <c r="Q64" s="555"/>
    </row>
    <row r="65" spans="1:17" s="467" customFormat="1" ht="15.75" thickBot="1">
      <c r="A65" s="549"/>
      <c r="B65" s="539"/>
      <c r="C65" s="556"/>
      <c r="D65" s="532"/>
      <c r="E65" s="532"/>
      <c r="F65" s="532"/>
      <c r="G65" s="532"/>
      <c r="H65" s="532"/>
      <c r="I65" s="532"/>
      <c r="J65" s="532"/>
      <c r="K65" s="532"/>
      <c r="L65" s="532"/>
      <c r="M65" s="533"/>
      <c r="N65" s="1150"/>
      <c r="O65" s="1150"/>
      <c r="P65" s="554"/>
      <c r="Q65" s="555"/>
    </row>
    <row r="66" spans="1:17" s="467" customFormat="1" ht="15.75" thickTop="1">
      <c r="A66" s="549"/>
      <c r="B66" s="534">
        <f>B13</f>
        <v>111</v>
      </c>
      <c r="C66" s="550"/>
      <c r="D66" s="550"/>
      <c r="E66" s="550"/>
      <c r="F66" s="550"/>
      <c r="G66" s="550"/>
      <c r="H66" s="551"/>
      <c r="I66" s="551"/>
      <c r="J66" s="551"/>
      <c r="K66" s="551"/>
      <c r="L66" s="552"/>
      <c r="M66" s="553"/>
      <c r="N66" s="1151"/>
      <c r="O66" s="1151"/>
      <c r="P66" s="466"/>
      <c r="Q66" s="557"/>
    </row>
    <row r="67" spans="1:17" s="467" customFormat="1" ht="15.75" thickBot="1">
      <c r="A67" s="549"/>
      <c r="B67" s="539"/>
      <c r="C67" s="556"/>
      <c r="D67" s="532"/>
      <c r="E67" s="532"/>
      <c r="F67" s="532"/>
      <c r="G67" s="556"/>
      <c r="H67" s="558"/>
      <c r="I67" s="558"/>
      <c r="J67" s="558"/>
      <c r="K67" s="558"/>
      <c r="L67" s="558"/>
      <c r="M67" s="559"/>
      <c r="N67" s="1151"/>
      <c r="O67" s="1151"/>
      <c r="P67" s="554"/>
      <c r="Q67" s="555"/>
    </row>
    <row r="68" spans="1:17" s="467" customFormat="1" ht="15.75" thickTop="1">
      <c r="A68" s="549"/>
      <c r="B68" s="542">
        <f>B14</f>
        <v>111</v>
      </c>
      <c r="C68" s="519"/>
      <c r="D68" s="519"/>
      <c r="E68" s="519"/>
      <c r="F68" s="519"/>
      <c r="G68" s="519"/>
      <c r="H68" s="560"/>
      <c r="I68" s="560"/>
      <c r="J68" s="560"/>
      <c r="K68" s="560"/>
      <c r="L68" s="561"/>
      <c r="M68" s="562"/>
      <c r="N68" s="1151"/>
      <c r="O68" s="1151"/>
      <c r="P68" s="563"/>
      <c r="Q68" s="555"/>
    </row>
    <row r="69" spans="1:17" s="467" customFormat="1" ht="15.75" thickBot="1">
      <c r="A69" s="564"/>
      <c r="B69" s="565"/>
      <c r="C69" s="566"/>
      <c r="D69" s="566"/>
      <c r="E69" s="566"/>
      <c r="F69" s="566"/>
      <c r="G69" s="566"/>
      <c r="H69" s="567"/>
      <c r="I69" s="567"/>
      <c r="J69" s="567"/>
      <c r="K69" s="567"/>
      <c r="L69" s="567"/>
      <c r="M69" s="568"/>
      <c r="N69" s="1151"/>
      <c r="O69" s="1151"/>
      <c r="P69" s="554"/>
      <c r="Q69" s="555"/>
    </row>
    <row r="70" spans="1:17">
      <c r="A70" s="523" t="s">
        <v>2544</v>
      </c>
      <c r="B70" s="524" t="s">
        <v>2690</v>
      </c>
      <c r="C70" s="569" t="s">
        <v>2582</v>
      </c>
      <c r="D70" s="569" t="s">
        <v>2583</v>
      </c>
      <c r="E70" s="569" t="s">
        <v>2584</v>
      </c>
      <c r="F70" s="569" t="s">
        <v>2585</v>
      </c>
      <c r="G70" s="569" t="s">
        <v>2586</v>
      </c>
      <c r="H70" s="525"/>
      <c r="I70" s="525"/>
      <c r="J70" s="525"/>
      <c r="K70" s="570"/>
      <c r="L70" s="571"/>
      <c r="M70" s="572"/>
      <c r="N70" s="1149"/>
      <c r="O70" s="1149"/>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0"/>
      <c r="O71" s="1150"/>
      <c r="P71" s="45"/>
      <c r="Q71" s="500"/>
    </row>
    <row r="72" spans="1:17" ht="15.75" thickTop="1">
      <c r="A72" s="530"/>
      <c r="B72" s="534" t="s">
        <v>2587</v>
      </c>
      <c r="C72" s="574" t="s">
        <v>2582</v>
      </c>
      <c r="D72" s="574" t="s">
        <v>2583</v>
      </c>
      <c r="E72" s="574" t="s">
        <v>2584</v>
      </c>
      <c r="F72" s="574" t="s">
        <v>2585</v>
      </c>
      <c r="G72" s="574" t="s">
        <v>2586</v>
      </c>
      <c r="H72" s="535"/>
      <c r="I72" s="535"/>
      <c r="J72" s="535"/>
      <c r="K72" s="536"/>
      <c r="L72" s="537"/>
      <c r="M72" s="538"/>
      <c r="N72" s="1149"/>
      <c r="O72" s="1149"/>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0"/>
      <c r="O73" s="1150"/>
      <c r="P73" s="45"/>
      <c r="Q73" s="500"/>
    </row>
    <row r="74" spans="1:17" ht="15.75" thickTop="1">
      <c r="A74" s="530"/>
      <c r="B74" s="534" t="s">
        <v>2588</v>
      </c>
      <c r="C74" s="574" t="s">
        <v>2582</v>
      </c>
      <c r="D74" s="574" t="s">
        <v>2583</v>
      </c>
      <c r="E74" s="574" t="s">
        <v>2584</v>
      </c>
      <c r="F74" s="574" t="s">
        <v>2585</v>
      </c>
      <c r="G74" s="574" t="s">
        <v>2586</v>
      </c>
      <c r="H74" s="535"/>
      <c r="I74" s="535"/>
      <c r="J74" s="535"/>
      <c r="K74" s="536"/>
      <c r="L74" s="537"/>
      <c r="M74" s="538"/>
      <c r="N74" s="1149"/>
      <c r="O74" s="1149"/>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0"/>
      <c r="O75" s="1150"/>
      <c r="P75" s="45"/>
      <c r="Q75" s="500"/>
    </row>
    <row r="76" spans="1:17" ht="15.75" thickTop="1">
      <c r="A76" s="530"/>
      <c r="B76" s="542" t="s">
        <v>2674</v>
      </c>
      <c r="C76" s="656" t="s">
        <v>2660</v>
      </c>
      <c r="D76" s="656" t="s">
        <v>2661</v>
      </c>
      <c r="E76" s="656" t="s">
        <v>2662</v>
      </c>
      <c r="F76" s="656" t="s">
        <v>2663</v>
      </c>
      <c r="G76" s="656" t="s">
        <v>2664</v>
      </c>
      <c r="H76" s="535"/>
      <c r="I76" s="535"/>
      <c r="J76" s="535"/>
      <c r="K76" s="535"/>
      <c r="L76" s="535"/>
      <c r="M76" s="1379"/>
      <c r="N76" s="1150"/>
      <c r="O76" s="1150"/>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0"/>
      <c r="O77" s="1150"/>
      <c r="P77" s="45"/>
      <c r="Q77" s="500"/>
    </row>
    <row r="78" spans="1:17" ht="15.75" thickTop="1">
      <c r="A78" s="530"/>
      <c r="B78" s="534" t="s">
        <v>2683</v>
      </c>
      <c r="C78" s="574" t="s">
        <v>2582</v>
      </c>
      <c r="D78" s="574" t="s">
        <v>2583</v>
      </c>
      <c r="E78" s="574" t="s">
        <v>2584</v>
      </c>
      <c r="F78" s="574" t="s">
        <v>2585</v>
      </c>
      <c r="G78" s="574" t="s">
        <v>2586</v>
      </c>
      <c r="H78" s="535"/>
      <c r="I78" s="535"/>
      <c r="J78" s="535"/>
      <c r="K78" s="536"/>
      <c r="L78" s="537"/>
      <c r="M78" s="538"/>
      <c r="N78" s="1149"/>
      <c r="O78" s="1149"/>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0"/>
      <c r="O79" s="1150"/>
      <c r="P79" s="45"/>
      <c r="Q79" s="500"/>
    </row>
    <row r="80" spans="1:17" s="114" customFormat="1" ht="15.75" thickTop="1">
      <c r="A80" s="575"/>
      <c r="B80" s="534">
        <f>B25</f>
        <v>111</v>
      </c>
      <c r="C80" s="550"/>
      <c r="D80" s="550"/>
      <c r="E80" s="550"/>
      <c r="F80" s="550"/>
      <c r="G80" s="550"/>
      <c r="H80" s="550"/>
      <c r="I80" s="550"/>
      <c r="J80" s="550"/>
      <c r="K80" s="550"/>
      <c r="L80" s="576"/>
      <c r="M80" s="577"/>
      <c r="N80" s="1148"/>
      <c r="O80" s="1148"/>
      <c r="P80" s="45"/>
      <c r="Q80" s="500"/>
    </row>
    <row r="81" spans="1:17" s="114" customFormat="1" ht="15.75" thickBot="1">
      <c r="A81" s="575"/>
      <c r="B81" s="539"/>
      <c r="C81" s="556"/>
      <c r="D81" s="532"/>
      <c r="E81" s="532"/>
      <c r="F81" s="532"/>
      <c r="G81" s="532"/>
      <c r="H81" s="532"/>
      <c r="I81" s="532"/>
      <c r="J81" s="532"/>
      <c r="K81" s="532"/>
      <c r="L81" s="532"/>
      <c r="M81" s="533"/>
      <c r="N81" s="1150"/>
      <c r="O81" s="1150"/>
      <c r="P81" s="45"/>
      <c r="Q81" s="500"/>
    </row>
    <row r="82" spans="1:17" s="114" customFormat="1" ht="15.75" thickTop="1">
      <c r="A82" s="575"/>
      <c r="B82" s="534">
        <f>B26</f>
        <v>111</v>
      </c>
      <c r="C82" s="550"/>
      <c r="D82" s="550"/>
      <c r="E82" s="550"/>
      <c r="F82" s="550"/>
      <c r="G82" s="550"/>
      <c r="H82" s="550"/>
      <c r="I82" s="550"/>
      <c r="J82" s="550"/>
      <c r="K82" s="550"/>
      <c r="L82" s="576"/>
      <c r="M82" s="577"/>
      <c r="N82" s="1148"/>
      <c r="O82" s="1148"/>
      <c r="P82" s="45"/>
      <c r="Q82" s="500"/>
    </row>
    <row r="83" spans="1:17" s="114" customFormat="1" ht="15.75" thickBot="1">
      <c r="A83" s="575"/>
      <c r="B83" s="539"/>
      <c r="C83" s="556"/>
      <c r="D83" s="532"/>
      <c r="E83" s="532"/>
      <c r="F83" s="532"/>
      <c r="G83" s="532"/>
      <c r="H83" s="532"/>
      <c r="I83" s="532"/>
      <c r="J83" s="532"/>
      <c r="K83" s="532"/>
      <c r="L83" s="532"/>
      <c r="M83" s="533"/>
      <c r="N83" s="1150"/>
      <c r="O83" s="1150"/>
      <c r="P83" s="45"/>
      <c r="Q83" s="500"/>
    </row>
    <row r="84" spans="1:17" s="467" customFormat="1" ht="15.75" thickTop="1">
      <c r="A84" s="549"/>
      <c r="B84" s="534">
        <f>B27</f>
        <v>111</v>
      </c>
      <c r="C84" s="550"/>
      <c r="D84" s="550"/>
      <c r="E84" s="550"/>
      <c r="F84" s="550"/>
      <c r="G84" s="550"/>
      <c r="H84" s="550"/>
      <c r="I84" s="550"/>
      <c r="J84" s="550"/>
      <c r="K84" s="550"/>
      <c r="L84" s="576"/>
      <c r="M84" s="577"/>
      <c r="N84" s="1151"/>
      <c r="O84" s="1151"/>
      <c r="P84" s="554"/>
      <c r="Q84" s="555"/>
    </row>
    <row r="85" spans="1:17" s="467" customFormat="1" ht="15.75" thickBot="1">
      <c r="A85" s="549"/>
      <c r="B85" s="539"/>
      <c r="C85" s="556"/>
      <c r="D85" s="532"/>
      <c r="E85" s="532"/>
      <c r="F85" s="532"/>
      <c r="G85" s="532"/>
      <c r="H85" s="532"/>
      <c r="I85" s="532"/>
      <c r="J85" s="532"/>
      <c r="K85" s="532"/>
      <c r="L85" s="532"/>
      <c r="M85" s="533"/>
      <c r="N85" s="1151"/>
      <c r="O85" s="1151"/>
      <c r="P85" s="554"/>
      <c r="Q85" s="555"/>
    </row>
    <row r="86" spans="1:17" ht="15.75" thickTop="1">
      <c r="A86" s="530"/>
      <c r="B86" s="542">
        <f>B28</f>
        <v>111</v>
      </c>
      <c r="C86" s="519"/>
      <c r="D86" s="519"/>
      <c r="E86" s="519"/>
      <c r="F86" s="519"/>
      <c r="G86" s="583"/>
      <c r="H86" s="583"/>
      <c r="I86" s="583"/>
      <c r="J86" s="583"/>
      <c r="K86" s="584"/>
      <c r="L86" s="585"/>
      <c r="M86" s="586"/>
      <c r="N86" s="1149"/>
      <c r="O86" s="1149"/>
      <c r="P86" s="45"/>
      <c r="Q86" s="500"/>
    </row>
    <row r="87" spans="1:17" ht="15.75" thickBot="1">
      <c r="A87" s="2632"/>
      <c r="B87" s="565"/>
      <c r="C87" s="566"/>
      <c r="D87" s="566"/>
      <c r="E87" s="566"/>
      <c r="F87" s="566"/>
      <c r="G87" s="587"/>
      <c r="H87" s="587"/>
      <c r="I87" s="587"/>
      <c r="J87" s="587"/>
      <c r="K87" s="587"/>
      <c r="L87" s="587"/>
      <c r="M87" s="588"/>
      <c r="N87" s="1150"/>
      <c r="O87" s="1150"/>
      <c r="P87" s="45"/>
      <c r="Q87" s="500"/>
    </row>
    <row r="88" spans="1:17">
      <c r="A88" s="523" t="s">
        <v>2548</v>
      </c>
      <c r="B88" s="524" t="s">
        <v>2597</v>
      </c>
      <c r="C88" s="526"/>
      <c r="D88" s="526"/>
      <c r="E88" s="526"/>
      <c r="F88" s="526"/>
      <c r="G88" s="526"/>
      <c r="H88" s="526"/>
      <c r="I88" s="526"/>
      <c r="J88" s="526"/>
      <c r="K88" s="527"/>
      <c r="L88" s="528"/>
      <c r="M88" s="529"/>
      <c r="N88" s="1149"/>
      <c r="O88" s="1149"/>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0"/>
      <c r="O89" s="1150"/>
      <c r="P89" s="45"/>
      <c r="Q89" s="500"/>
    </row>
    <row r="90" spans="1:17" ht="15.75" thickTop="1">
      <c r="A90" s="530"/>
      <c r="B90" s="534" t="s">
        <v>2598</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8"/>
      <c r="O90" s="1148"/>
      <c r="P90" s="45"/>
      <c r="Q90" s="500"/>
    </row>
    <row r="91" spans="1:17" s="467" customFormat="1">
      <c r="A91" s="589"/>
      <c r="B91" s="590"/>
      <c r="C91" s="591"/>
      <c r="D91" s="591"/>
      <c r="E91" s="591"/>
      <c r="F91" s="591"/>
      <c r="G91" s="591"/>
      <c r="H91" s="591"/>
      <c r="I91" s="591"/>
      <c r="J91" s="592"/>
      <c r="K91" s="592"/>
      <c r="L91" s="593"/>
      <c r="M91" s="594"/>
      <c r="N91" s="1151"/>
      <c r="O91" s="1151"/>
      <c r="P91" s="554"/>
      <c r="Q91" s="555"/>
    </row>
    <row r="92" spans="1:17" s="467" customFormat="1" ht="15.75" thickBot="1">
      <c r="A92" s="549"/>
      <c r="B92" s="539"/>
      <c r="C92" s="556"/>
      <c r="D92" s="532"/>
      <c r="E92" s="532"/>
      <c r="F92" s="532"/>
      <c r="G92" s="532"/>
      <c r="H92" s="532"/>
      <c r="I92" s="532"/>
      <c r="J92" s="532"/>
      <c r="K92" s="532"/>
      <c r="L92" s="532"/>
      <c r="M92" s="533"/>
      <c r="N92" s="1150"/>
      <c r="O92" s="1150"/>
      <c r="P92" s="554"/>
      <c r="Q92" s="555"/>
    </row>
    <row r="93" spans="1:17" ht="15" thickTop="1">
      <c r="A93" s="595"/>
      <c r="B93" s="534" t="s">
        <v>2599</v>
      </c>
      <c r="C93" s="550"/>
      <c r="D93" s="550"/>
      <c r="E93" s="579"/>
      <c r="F93" s="579"/>
      <c r="G93" s="579"/>
      <c r="H93" s="579"/>
      <c r="I93" s="579"/>
      <c r="J93" s="579"/>
      <c r="K93" s="580"/>
      <c r="L93" s="581"/>
      <c r="M93" s="582"/>
      <c r="N93" s="1149"/>
      <c r="O93" s="1149"/>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0"/>
      <c r="O94" s="1150"/>
      <c r="P94" s="45"/>
      <c r="Q94" s="500"/>
    </row>
    <row r="95" spans="1:17" ht="15" thickTop="1">
      <c r="A95" s="595"/>
      <c r="B95" s="534" t="s">
        <v>2601</v>
      </c>
      <c r="C95" s="550"/>
      <c r="D95" s="550"/>
      <c r="E95" s="550"/>
      <c r="F95" s="579"/>
      <c r="G95" s="579"/>
      <c r="H95" s="579"/>
      <c r="I95" s="579"/>
      <c r="J95" s="579"/>
      <c r="K95" s="580"/>
      <c r="L95" s="581"/>
      <c r="M95" s="582"/>
      <c r="N95" s="1149"/>
      <c r="O95" s="1149"/>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0"/>
      <c r="O96" s="1150"/>
      <c r="P96" s="45"/>
      <c r="Q96" s="500"/>
    </row>
    <row r="97" spans="1:17" ht="15" thickTop="1">
      <c r="A97" s="595"/>
      <c r="B97" s="534" t="s">
        <v>1991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9"/>
      <c r="O97" s="1149"/>
      <c r="P97" s="45"/>
      <c r="Q97" s="500"/>
    </row>
    <row r="98" spans="1:17">
      <c r="A98" s="595"/>
      <c r="B98" s="542"/>
      <c r="C98" s="599">
        <v>0.5</v>
      </c>
      <c r="D98" s="599">
        <v>0.6</v>
      </c>
      <c r="E98" s="599">
        <v>0.7</v>
      </c>
      <c r="F98" s="599">
        <v>0.8</v>
      </c>
      <c r="G98" s="599">
        <v>0.9</v>
      </c>
      <c r="H98" s="599">
        <v>1.0001</v>
      </c>
      <c r="I98" s="619"/>
      <c r="J98" s="619"/>
      <c r="K98" s="620"/>
      <c r="L98" s="621"/>
      <c r="M98" s="622"/>
      <c r="N98" s="1149"/>
      <c r="O98" s="1149"/>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0"/>
      <c r="O99" s="1150"/>
      <c r="P99" s="45"/>
      <c r="Q99" s="500"/>
    </row>
    <row r="100" spans="1:17" s="467" customFormat="1" ht="15" thickTop="1">
      <c r="A100" s="589"/>
      <c r="B100" s="534" t="s">
        <v>2602</v>
      </c>
      <c r="C100" s="550"/>
      <c r="D100" s="550"/>
      <c r="E100" s="550"/>
      <c r="F100" s="550"/>
      <c r="G100" s="550"/>
      <c r="H100" s="579"/>
      <c r="I100" s="579"/>
      <c r="J100" s="579"/>
      <c r="K100" s="580"/>
      <c r="L100" s="581"/>
      <c r="M100" s="582"/>
      <c r="N100" s="1151"/>
      <c r="O100" s="1151"/>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1"/>
      <c r="O101" s="1151"/>
      <c r="P101" s="554"/>
      <c r="Q101" s="555"/>
    </row>
    <row r="102" spans="1:17" ht="15" thickTop="1">
      <c r="A102" s="595"/>
      <c r="B102" s="534" t="s">
        <v>2603</v>
      </c>
      <c r="C102" s="550"/>
      <c r="D102" s="550"/>
      <c r="E102" s="550"/>
      <c r="F102" s="550"/>
      <c r="G102" s="550"/>
      <c r="H102" s="579"/>
      <c r="I102" s="579"/>
      <c r="J102" s="579"/>
      <c r="K102" s="580"/>
      <c r="L102" s="581"/>
      <c r="M102" s="582"/>
      <c r="N102" s="1149"/>
      <c r="O102" s="1149"/>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0"/>
      <c r="O103" s="1150"/>
      <c r="P103" s="45"/>
      <c r="Q103" s="500"/>
    </row>
    <row r="104" spans="1:17" ht="15" thickTop="1">
      <c r="A104" s="595"/>
      <c r="B104" s="534" t="s">
        <v>2605</v>
      </c>
      <c r="C104" s="550"/>
      <c r="D104" s="550"/>
      <c r="E104" s="550"/>
      <c r="F104" s="550"/>
      <c r="G104" s="550"/>
      <c r="H104" s="579"/>
      <c r="I104" s="579"/>
      <c r="J104" s="579"/>
      <c r="K104" s="580"/>
      <c r="L104" s="581"/>
      <c r="M104" s="582"/>
      <c r="N104" s="1149"/>
      <c r="O104" s="1149"/>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0"/>
      <c r="O105" s="1150"/>
      <c r="P105" s="45"/>
      <c r="Q105" s="500"/>
    </row>
    <row r="106" spans="1:17" ht="15" thickTop="1">
      <c r="A106" s="595"/>
      <c r="B106" s="632" t="s">
        <v>2691</v>
      </c>
      <c r="C106" s="574" t="s">
        <v>2582</v>
      </c>
      <c r="D106" s="574" t="s">
        <v>2583</v>
      </c>
      <c r="E106" s="574" t="s">
        <v>2584</v>
      </c>
      <c r="F106" s="574" t="s">
        <v>2585</v>
      </c>
      <c r="G106" s="574" t="s">
        <v>2586</v>
      </c>
      <c r="H106" s="535"/>
      <c r="I106" s="535"/>
      <c r="J106" s="535"/>
      <c r="K106" s="536"/>
      <c r="L106" s="537"/>
      <c r="M106" s="538"/>
      <c r="N106" s="1150"/>
      <c r="O106" s="1150"/>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0"/>
      <c r="O107" s="1150"/>
      <c r="P107" s="45"/>
      <c r="Q107" s="500"/>
    </row>
    <row r="108" spans="1:17" s="467" customFormat="1" ht="15" thickTop="1">
      <c r="A108" s="589"/>
      <c r="B108" s="534">
        <f>B38</f>
        <v>111</v>
      </c>
      <c r="C108" s="550"/>
      <c r="D108" s="550"/>
      <c r="E108" s="550"/>
      <c r="F108" s="550"/>
      <c r="G108" s="550"/>
      <c r="H108" s="551"/>
      <c r="I108" s="551"/>
      <c r="J108" s="551"/>
      <c r="K108" s="551"/>
      <c r="L108" s="552"/>
      <c r="M108" s="553"/>
      <c r="N108" s="1151"/>
      <c r="O108" s="1151"/>
      <c r="P108" s="554"/>
      <c r="Q108" s="555"/>
    </row>
    <row r="109" spans="1:17" s="467" customFormat="1" ht="15.75" thickBot="1">
      <c r="A109" s="549"/>
      <c r="B109" s="531"/>
      <c r="C109" s="556"/>
      <c r="D109" s="532"/>
      <c r="E109" s="532"/>
      <c r="F109" s="532"/>
      <c r="G109" s="556"/>
      <c r="H109" s="558"/>
      <c r="I109" s="558"/>
      <c r="J109" s="558"/>
      <c r="K109" s="558"/>
      <c r="L109" s="558"/>
      <c r="M109" s="559"/>
      <c r="N109" s="1151"/>
      <c r="O109" s="1151"/>
      <c r="P109" s="554"/>
      <c r="Q109" s="555"/>
    </row>
    <row r="110" spans="1:17" ht="15" thickTop="1">
      <c r="A110" s="595"/>
      <c r="B110" s="534">
        <f>B39</f>
        <v>111</v>
      </c>
      <c r="C110" s="550"/>
      <c r="D110" s="550"/>
      <c r="E110" s="550"/>
      <c r="F110" s="550"/>
      <c r="G110" s="550"/>
      <c r="H110" s="551"/>
      <c r="I110" s="551"/>
      <c r="J110" s="551"/>
      <c r="K110" s="551"/>
      <c r="L110" s="552"/>
      <c r="M110" s="553"/>
      <c r="N110" s="1149"/>
      <c r="O110" s="1149"/>
      <c r="P110" s="45"/>
      <c r="Q110" s="500"/>
    </row>
    <row r="111" spans="1:17" ht="15.75" thickBot="1">
      <c r="A111" s="530"/>
      <c r="B111" s="539"/>
      <c r="C111" s="556"/>
      <c r="D111" s="532"/>
      <c r="E111" s="532"/>
      <c r="F111" s="532"/>
      <c r="G111" s="556"/>
      <c r="H111" s="558"/>
      <c r="I111" s="558"/>
      <c r="J111" s="558"/>
      <c r="K111" s="558"/>
      <c r="L111" s="558"/>
      <c r="M111" s="559"/>
      <c r="N111" s="1150"/>
      <c r="O111" s="1150"/>
      <c r="P111" s="45"/>
      <c r="Q111" s="500"/>
    </row>
    <row r="112" spans="1:17" ht="15" thickTop="1">
      <c r="A112" s="595"/>
      <c r="B112" s="542">
        <f>B40</f>
        <v>111</v>
      </c>
      <c r="C112" s="519"/>
      <c r="D112" s="519"/>
      <c r="E112" s="519"/>
      <c r="F112" s="519"/>
      <c r="G112" s="583"/>
      <c r="H112" s="583"/>
      <c r="I112" s="583"/>
      <c r="J112" s="583"/>
      <c r="K112" s="519"/>
      <c r="L112" s="520"/>
      <c r="M112" s="586"/>
      <c r="N112" s="1149"/>
      <c r="O112" s="1149"/>
      <c r="P112" s="45"/>
      <c r="Q112" s="500"/>
    </row>
    <row r="113" spans="1:17" ht="15.75" thickBot="1">
      <c r="A113" s="2632"/>
      <c r="B113" s="565"/>
      <c r="C113" s="566"/>
      <c r="D113" s="566"/>
      <c r="E113" s="566"/>
      <c r="F113" s="566"/>
      <c r="G113" s="587"/>
      <c r="H113" s="587"/>
      <c r="I113" s="587"/>
      <c r="J113" s="587"/>
      <c r="K113" s="587"/>
      <c r="L113" s="587"/>
      <c r="M113" s="588"/>
      <c r="N113" s="1150"/>
      <c r="O113" s="1150"/>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0"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2692</v>
      </c>
      <c r="B1" s="1616"/>
      <c r="C1" s="1617" t="s">
        <v>2515</v>
      </c>
      <c r="D1" s="1618"/>
      <c r="E1" s="1619"/>
      <c r="F1" s="2580"/>
      <c r="G1" s="1620" t="s">
        <v>2628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4" customFormat="1" ht="28.5" customHeight="1" thickTop="1">
      <c r="A2" s="1614" t="s">
        <v>2314</v>
      </c>
      <c r="B2" s="1415" t="e">
        <f ca="1">IF(C2="——",IF(B37="元/平方米",ROUND(C39*D3/10000,0),ROUND(F3*C39/10000,0)),IF(B37="元/平方米",ROUND(C39*D3/10000,0),ROUND(F3*C39/10000,0))-D2)</f>
        <v>#DIV/0!</v>
      </c>
      <c r="C2" s="2582"/>
      <c r="D2" s="1121" t="e">
        <f ca="1">SUMIF(INDIRECT("'"&amp;F2&amp;"'"&amp;"!A:A"),"承租人权益价值",INDIRECT("'"&amp;F2&amp;"'"&amp;"!c:c"))</f>
        <v>#REF!</v>
      </c>
      <c r="E2" s="2583" t="s">
        <v>2315</v>
      </c>
      <c r="F2" s="2584"/>
      <c r="G2" s="1122"/>
      <c r="H2" s="1122"/>
      <c r="I2" s="1122"/>
      <c r="J2" s="1122"/>
      <c r="K2" s="1124"/>
      <c r="L2" s="1125"/>
      <c r="M2" s="1126"/>
      <c r="N2" s="1126"/>
      <c r="O2" s="1126"/>
      <c r="P2" s="1416"/>
      <c r="Q2" s="762"/>
      <c r="R2" s="762"/>
      <c r="S2" s="762"/>
      <c r="T2" s="762"/>
      <c r="U2" s="762"/>
      <c r="V2" s="762"/>
      <c r="W2" s="762"/>
      <c r="X2" s="762"/>
      <c r="Y2" s="762"/>
      <c r="Z2" s="762"/>
      <c r="AA2" s="762"/>
      <c r="AB2" s="762"/>
      <c r="AC2" s="763"/>
    </row>
    <row r="3" spans="1:29" s="394" customFormat="1" ht="28.5" customHeight="1" thickBot="1">
      <c r="A3" s="243" t="s">
        <v>2316</v>
      </c>
      <c r="B3" s="605" t="e">
        <f ca="1">IF(AND(C2="——",B37="元/平方米"),C39,ROUND(B2*10000/D3,0))</f>
        <v>#DIV/0!</v>
      </c>
      <c r="C3" s="396" t="s">
        <v>2629</v>
      </c>
      <c r="D3" s="395">
        <f>SUMIF('数据-汇总表'!$C19:$C33,D1,'数据-汇总表'!$E19:$E33)</f>
        <v>0</v>
      </c>
      <c r="E3" s="396" t="s">
        <v>2693</v>
      </c>
      <c r="F3" s="395">
        <f>SUMIF('数据-取费表'!A5:A15,D1,'数据-取费表'!AH5:AH15)</f>
        <v>0</v>
      </c>
      <c r="G3" s="1122"/>
      <c r="H3" s="1122"/>
      <c r="I3" s="1122"/>
      <c r="J3" s="1122"/>
      <c r="K3" s="1124"/>
      <c r="L3" s="1125"/>
      <c r="M3" s="1126"/>
      <c r="N3" s="1126"/>
      <c r="O3" s="1126"/>
      <c r="P3" s="1416"/>
      <c r="Q3" s="762"/>
      <c r="R3" s="762"/>
      <c r="S3" s="762"/>
      <c r="T3" s="762"/>
      <c r="U3" s="762"/>
      <c r="V3" s="762"/>
      <c r="W3" s="762"/>
      <c r="X3" s="762"/>
      <c r="Y3" s="762"/>
      <c r="Z3" s="762"/>
      <c r="AA3" s="762"/>
      <c r="AB3" s="780"/>
      <c r="AC3" s="776"/>
    </row>
    <row r="4" spans="1:29" ht="15">
      <c r="A4" s="397" t="s">
        <v>2630</v>
      </c>
      <c r="B4" s="398"/>
      <c r="C4" s="3169" t="s">
        <v>2631</v>
      </c>
      <c r="D4" s="3170"/>
      <c r="E4" s="3171" t="s">
        <v>2632</v>
      </c>
      <c r="F4" s="3172"/>
      <c r="G4" s="3169" t="s">
        <v>2633</v>
      </c>
      <c r="H4" s="3170"/>
      <c r="I4" s="3169" t="s">
        <v>2634</v>
      </c>
      <c r="J4" s="3170"/>
      <c r="K4" s="606" t="s">
        <v>2635</v>
      </c>
      <c r="L4" s="1127"/>
      <c r="M4" s="1128"/>
      <c r="N4" s="1128"/>
      <c r="O4" s="1128"/>
      <c r="P4" s="3173" t="s">
        <v>2636</v>
      </c>
      <c r="Q4" s="3174"/>
      <c r="R4" s="3179" t="s">
        <v>2632</v>
      </c>
      <c r="S4" s="3180"/>
      <c r="T4" s="3179" t="s">
        <v>2633</v>
      </c>
      <c r="U4" s="3180"/>
      <c r="V4" s="3185" t="s">
        <v>2634</v>
      </c>
      <c r="W4" s="3185"/>
      <c r="X4" s="1810"/>
      <c r="Y4" s="3179" t="s">
        <v>2636</v>
      </c>
      <c r="Z4" s="3180"/>
      <c r="AA4" s="3166" t="s">
        <v>2632</v>
      </c>
      <c r="AB4" s="3167" t="s">
        <v>2633</v>
      </c>
      <c r="AC4" s="3166" t="s">
        <v>2634</v>
      </c>
    </row>
    <row r="5" spans="1:29" ht="15">
      <c r="A5" s="400"/>
      <c r="B5" s="401"/>
      <c r="C5" s="3188" t="s">
        <v>2527</v>
      </c>
      <c r="D5" s="3189"/>
      <c r="E5" s="3195" t="s">
        <v>2528</v>
      </c>
      <c r="F5" s="3196"/>
      <c r="G5" s="3188" t="s">
        <v>2529</v>
      </c>
      <c r="H5" s="3189"/>
      <c r="I5" s="3188" t="s">
        <v>2530</v>
      </c>
      <c r="J5" s="3189"/>
      <c r="K5" s="606"/>
      <c r="L5" s="1127"/>
      <c r="M5" s="1128"/>
      <c r="N5" s="1128"/>
      <c r="O5" s="1128"/>
      <c r="P5" s="3175"/>
      <c r="Q5" s="3176"/>
      <c r="R5" s="3181"/>
      <c r="S5" s="3182"/>
      <c r="T5" s="3181"/>
      <c r="U5" s="3182"/>
      <c r="V5" s="3185"/>
      <c r="W5" s="3185"/>
      <c r="X5" s="1810"/>
      <c r="Y5" s="3181"/>
      <c r="Z5" s="3182"/>
      <c r="AA5" s="3167"/>
      <c r="AB5" s="3167"/>
      <c r="AC5" s="3167"/>
    </row>
    <row r="6" spans="1:29" ht="15.75" thickBot="1">
      <c r="A6" s="402"/>
      <c r="B6" s="403"/>
      <c r="C6" s="3186" t="s">
        <v>2531</v>
      </c>
      <c r="D6" s="3187"/>
      <c r="E6" s="3193" t="s">
        <v>2531</v>
      </c>
      <c r="F6" s="3194"/>
      <c r="G6" s="3186" t="s">
        <v>2531</v>
      </c>
      <c r="H6" s="3187"/>
      <c r="I6" s="3186" t="s">
        <v>2531</v>
      </c>
      <c r="J6" s="3187"/>
      <c r="K6" s="606" t="s">
        <v>2532</v>
      </c>
      <c r="L6" s="1127"/>
      <c r="M6" s="1128"/>
      <c r="N6" s="1128"/>
      <c r="O6" s="1128"/>
      <c r="P6" s="3177"/>
      <c r="Q6" s="3178"/>
      <c r="R6" s="3181"/>
      <c r="S6" s="3182"/>
      <c r="T6" s="3183"/>
      <c r="U6" s="3184"/>
      <c r="V6" s="3185"/>
      <c r="W6" s="3185"/>
      <c r="X6" s="1810"/>
      <c r="Y6" s="3183"/>
      <c r="Z6" s="3184"/>
      <c r="AA6" s="3168"/>
      <c r="AB6" s="3168"/>
      <c r="AC6" s="3168"/>
    </row>
    <row r="7" spans="1:29" s="114" customFormat="1" ht="15.75" thickBot="1">
      <c r="A7" s="404" t="s">
        <v>2533</v>
      </c>
      <c r="B7" s="405"/>
      <c r="C7" s="406">
        <f>'数据-取费表'!B2</f>
        <v>43237</v>
      </c>
      <c r="D7" s="407">
        <v>100</v>
      </c>
      <c r="E7" s="408"/>
      <c r="F7" s="409">
        <f>SUMIF(48:48,YEAR(E7)&amp;"-"&amp;MONTH(E7),49:49)</f>
        <v>0</v>
      </c>
      <c r="G7" s="408"/>
      <c r="H7" s="407">
        <f>SUMIF(48:48,YEAR(G7)&amp;"-"&amp;MONTH(G7),49:49)</f>
        <v>0</v>
      </c>
      <c r="I7" s="408"/>
      <c r="J7" s="407">
        <f>SUMIF(48:48,YEAR(I7)&amp;"-"&amp;MONTH(I7),49:49)</f>
        <v>0</v>
      </c>
      <c r="K7" s="607"/>
      <c r="L7" s="1129"/>
      <c r="M7" s="1130"/>
      <c r="N7" s="1130"/>
      <c r="O7" s="1130"/>
      <c r="P7" s="3190" t="s">
        <v>2534</v>
      </c>
      <c r="Q7" s="3192"/>
      <c r="R7" s="764" t="s">
        <v>17</v>
      </c>
      <c r="S7" s="765">
        <f t="shared" ref="S7:S14" si="0">F7</f>
        <v>0</v>
      </c>
      <c r="T7" s="764" t="s">
        <v>17</v>
      </c>
      <c r="U7" s="765">
        <f t="shared" ref="U7:U14" si="1">H7</f>
        <v>0</v>
      </c>
      <c r="V7" s="764" t="s">
        <v>17</v>
      </c>
      <c r="W7" s="765">
        <f t="shared" ref="W7:W14" si="2">J7</f>
        <v>0</v>
      </c>
      <c r="X7" s="766"/>
      <c r="Y7" s="3190" t="s">
        <v>2534</v>
      </c>
      <c r="Z7" s="3191"/>
      <c r="AA7" s="767" t="e">
        <f>D7/F7</f>
        <v>#DIV/0!</v>
      </c>
      <c r="AB7" s="767" t="e">
        <f>D7/H7</f>
        <v>#DIV/0!</v>
      </c>
      <c r="AC7" s="767" t="e">
        <f>D7/J7</f>
        <v>#DIV/0!</v>
      </c>
    </row>
    <row r="8" spans="1:29" s="114" customFormat="1" ht="15.75" thickBot="1">
      <c r="A8" s="404" t="s">
        <v>2535</v>
      </c>
      <c r="B8" s="405"/>
      <c r="C8" s="410" t="s">
        <v>2637</v>
      </c>
      <c r="D8" s="407">
        <v>100</v>
      </c>
      <c r="E8" s="410"/>
      <c r="F8" s="409">
        <f>SUMIF(51:51,E8,52:52)-SUMIF(51:51,C8,52:52)+100</f>
        <v>0</v>
      </c>
      <c r="G8" s="410"/>
      <c r="H8" s="407">
        <f>SUMIF(51:51,G8,52:52)-SUMIF(51:51,C8,52:52)+100</f>
        <v>0</v>
      </c>
      <c r="I8" s="410"/>
      <c r="J8" s="407">
        <f>SUMIF(51:51,I8,52:52)-SUMIF(51:51,C8,52:52)+100</f>
        <v>0</v>
      </c>
      <c r="K8" s="607"/>
      <c r="L8" s="1129"/>
      <c r="M8" s="1130"/>
      <c r="N8" s="1130"/>
      <c r="O8" s="1130"/>
      <c r="P8" s="3190" t="s">
        <v>2537</v>
      </c>
      <c r="Q8" s="3191"/>
      <c r="R8" s="764" t="s">
        <v>17</v>
      </c>
      <c r="S8" s="765">
        <f t="shared" si="0"/>
        <v>0</v>
      </c>
      <c r="T8" s="764" t="s">
        <v>17</v>
      </c>
      <c r="U8" s="765">
        <f t="shared" si="1"/>
        <v>0</v>
      </c>
      <c r="V8" s="764" t="s">
        <v>17</v>
      </c>
      <c r="W8" s="765">
        <f t="shared" si="2"/>
        <v>0</v>
      </c>
      <c r="X8" s="766"/>
      <c r="Y8" s="3190" t="s">
        <v>2537</v>
      </c>
      <c r="Z8" s="3191"/>
      <c r="AA8" s="767" t="e">
        <f t="shared" ref="AA8:AA36" si="3">D8/F8</f>
        <v>#DIV/0!</v>
      </c>
      <c r="AB8" s="767" t="e">
        <f t="shared" ref="AB8:AB36" si="4">D8/H8</f>
        <v>#DIV/0!</v>
      </c>
      <c r="AC8" s="767" t="e">
        <f t="shared" ref="AC8:AC36" si="5">D8/J8</f>
        <v>#DIV/0!</v>
      </c>
    </row>
    <row r="9" spans="1:29" s="114" customFormat="1">
      <c r="A9" s="66" t="s">
        <v>2538</v>
      </c>
      <c r="B9" s="636" t="s">
        <v>2539</v>
      </c>
      <c r="C9" s="412"/>
      <c r="D9" s="131">
        <v>100</v>
      </c>
      <c r="E9" s="415"/>
      <c r="F9" s="131">
        <f>SUMIF(53:53,E9,54:54)-SUMIF(53:53,C9,54:54)+100</f>
        <v>100</v>
      </c>
      <c r="G9" s="413"/>
      <c r="H9" s="131">
        <f>SUMIF(53:53,G9,54:54)-SUMIF(53:53,C9,54:54)+100</f>
        <v>100</v>
      </c>
      <c r="I9" s="413"/>
      <c r="J9" s="131">
        <f>SUMIF(53:53,I9,54:54)-SUMIF(53:53,C9,54:54)+100</f>
        <v>100</v>
      </c>
      <c r="K9" s="607"/>
      <c r="L9" s="1129"/>
      <c r="M9" s="1130"/>
      <c r="N9" s="1130"/>
      <c r="O9" s="1130"/>
      <c r="P9" s="3154" t="s">
        <v>2540</v>
      </c>
      <c r="Q9" s="1792" t="str">
        <f t="shared" ref="Q9:Q14" si="6">B9</f>
        <v>用途</v>
      </c>
      <c r="R9" s="764" t="s">
        <v>17</v>
      </c>
      <c r="S9" s="765">
        <f t="shared" si="0"/>
        <v>100</v>
      </c>
      <c r="T9" s="764" t="s">
        <v>17</v>
      </c>
      <c r="U9" s="765">
        <f t="shared" si="1"/>
        <v>100</v>
      </c>
      <c r="V9" s="764" t="s">
        <v>17</v>
      </c>
      <c r="W9" s="765">
        <f t="shared" si="2"/>
        <v>100</v>
      </c>
      <c r="X9" s="766"/>
      <c r="Y9" s="2982" t="s">
        <v>2541</v>
      </c>
      <c r="Z9" s="55" t="str">
        <f t="shared" ref="Z9:Z14" si="7">Q9</f>
        <v>用途</v>
      </c>
      <c r="AA9" s="767">
        <f t="shared" si="3"/>
        <v>1</v>
      </c>
      <c r="AB9" s="767">
        <f t="shared" si="4"/>
        <v>1</v>
      </c>
      <c r="AC9" s="767">
        <f t="shared" si="5"/>
        <v>1</v>
      </c>
    </row>
    <row r="10" spans="1:29" s="423" customFormat="1" ht="27">
      <c r="A10" s="637"/>
      <c r="B10" s="638" t="s">
        <v>2542</v>
      </c>
      <c r="C10" s="419"/>
      <c r="D10" s="132">
        <v>100</v>
      </c>
      <c r="E10" s="419"/>
      <c r="F10" s="132">
        <f>SUMIF(55:55,E10,56:56)-SUMIF(55:55,C10,56:56)+100</f>
        <v>100</v>
      </c>
      <c r="G10" s="420"/>
      <c r="H10" s="132">
        <f>SUMIF(55:55,G10,56:56)-SUMIF(55:55,C10,56:56)+100</f>
        <v>100</v>
      </c>
      <c r="I10" s="419"/>
      <c r="J10" s="132">
        <f>SUMIF(55:55,I10,56:56)-SUMIF(55:55,C10,56:56)+100</f>
        <v>100</v>
      </c>
      <c r="K10" s="608"/>
      <c r="L10" s="1132"/>
      <c r="M10" s="1133"/>
      <c r="N10" s="1133"/>
      <c r="O10" s="1133"/>
      <c r="P10" s="3154"/>
      <c r="Q10" s="1792" t="str">
        <f t="shared" si="6"/>
        <v>土地使用年限（年）</v>
      </c>
      <c r="R10" s="764" t="s">
        <v>17</v>
      </c>
      <c r="S10" s="765">
        <f t="shared" si="0"/>
        <v>100</v>
      </c>
      <c r="T10" s="764" t="s">
        <v>17</v>
      </c>
      <c r="U10" s="765">
        <f t="shared" si="1"/>
        <v>100</v>
      </c>
      <c r="V10" s="764" t="s">
        <v>17</v>
      </c>
      <c r="W10" s="765">
        <f t="shared" si="2"/>
        <v>100</v>
      </c>
      <c r="X10" s="766"/>
      <c r="Y10" s="2982"/>
      <c r="Z10" s="55" t="str">
        <f t="shared" si="7"/>
        <v>土地使用年限（年）</v>
      </c>
      <c r="AA10" s="767">
        <f t="shared" si="3"/>
        <v>1</v>
      </c>
      <c r="AB10" s="767">
        <f t="shared" si="4"/>
        <v>1</v>
      </c>
      <c r="AC10" s="767">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5"/>
      <c r="M11" s="1128"/>
      <c r="N11" s="1128"/>
      <c r="O11" s="1128"/>
      <c r="P11" s="3154"/>
      <c r="Q11" s="1792">
        <f t="shared" si="6"/>
        <v>111</v>
      </c>
      <c r="R11" s="764" t="s">
        <v>17</v>
      </c>
      <c r="S11" s="765">
        <f t="shared" si="0"/>
        <v>100</v>
      </c>
      <c r="T11" s="764" t="s">
        <v>17</v>
      </c>
      <c r="U11" s="765">
        <f t="shared" si="1"/>
        <v>100</v>
      </c>
      <c r="V11" s="764" t="s">
        <v>17</v>
      </c>
      <c r="W11" s="765">
        <f t="shared" si="2"/>
        <v>100</v>
      </c>
      <c r="X11" s="766"/>
      <c r="Y11" s="2982"/>
      <c r="Z11" s="55">
        <f t="shared" si="7"/>
        <v>111</v>
      </c>
      <c r="AA11" s="767">
        <f t="shared" si="3"/>
        <v>1</v>
      </c>
      <c r="AB11" s="767">
        <f t="shared" si="4"/>
        <v>1</v>
      </c>
      <c r="AC11" s="767">
        <f t="shared" si="5"/>
        <v>1</v>
      </c>
    </row>
    <row r="12" spans="1:29" s="114"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9"/>
      <c r="M12" s="1130"/>
      <c r="N12" s="1130"/>
      <c r="O12" s="1130"/>
      <c r="P12" s="3154"/>
      <c r="Q12" s="1792">
        <f t="shared" si="6"/>
        <v>111</v>
      </c>
      <c r="R12" s="764" t="s">
        <v>17</v>
      </c>
      <c r="S12" s="765">
        <f t="shared" si="0"/>
        <v>100</v>
      </c>
      <c r="T12" s="764" t="s">
        <v>17</v>
      </c>
      <c r="U12" s="765">
        <f t="shared" si="1"/>
        <v>100</v>
      </c>
      <c r="V12" s="764" t="s">
        <v>17</v>
      </c>
      <c r="W12" s="765">
        <f t="shared" si="2"/>
        <v>100</v>
      </c>
      <c r="X12" s="766"/>
      <c r="Y12" s="2982"/>
      <c r="Z12" s="55">
        <f t="shared" si="7"/>
        <v>111</v>
      </c>
      <c r="AA12" s="767">
        <f>D12/F12</f>
        <v>1</v>
      </c>
      <c r="AB12" s="767">
        <f>D12/H12</f>
        <v>1</v>
      </c>
      <c r="AC12" s="767">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7"/>
      <c r="M13" s="1128"/>
      <c r="N13" s="1128"/>
      <c r="O13" s="1128"/>
      <c r="P13" s="3154"/>
      <c r="Q13" s="1792">
        <f t="shared" si="6"/>
        <v>111</v>
      </c>
      <c r="R13" s="764" t="s">
        <v>17</v>
      </c>
      <c r="S13" s="765">
        <f t="shared" si="0"/>
        <v>100</v>
      </c>
      <c r="T13" s="764" t="s">
        <v>17</v>
      </c>
      <c r="U13" s="765">
        <f t="shared" si="1"/>
        <v>100</v>
      </c>
      <c r="V13" s="764" t="s">
        <v>17</v>
      </c>
      <c r="W13" s="765">
        <f t="shared" si="2"/>
        <v>100</v>
      </c>
      <c r="X13" s="766"/>
      <c r="Y13" s="2982"/>
      <c r="Z13" s="55">
        <f t="shared" si="7"/>
        <v>111</v>
      </c>
      <c r="AA13" s="767">
        <f t="shared" si="3"/>
        <v>1</v>
      </c>
      <c r="AB13" s="767">
        <f t="shared" si="4"/>
        <v>1</v>
      </c>
      <c r="AC13" s="767">
        <f t="shared" si="5"/>
        <v>1</v>
      </c>
    </row>
    <row r="14" spans="1:29" ht="85.5">
      <c r="A14" s="397" t="s">
        <v>2544</v>
      </c>
      <c r="B14" s="625" t="s">
        <v>2694</v>
      </c>
      <c r="C14" s="2689" t="str">
        <f>IF(B1="工业",估价对象房地状况!G4,估价对象房地状况!C6)</f>
        <v>估价对象周边仅有829、兴52路公交线路，综合评价交通便捷度一般</v>
      </c>
      <c r="D14" s="437">
        <v>100</v>
      </c>
      <c r="E14" s="438"/>
      <c r="F14" s="439">
        <f>SUMIF(63:63,E15,64:64)-SUMIF(63:63,C15,64:64)+100</f>
        <v>100</v>
      </c>
      <c r="G14" s="440"/>
      <c r="H14" s="437">
        <f>SUMIF(63:63,G15,64:64)-SUMIF(63:63,C15,64:64)+100</f>
        <v>100</v>
      </c>
      <c r="I14" s="438"/>
      <c r="J14" s="437">
        <f>SUMIF(63:63,I15,64:64)-SUMIF(63:63,C15,64:64)+100</f>
        <v>100</v>
      </c>
      <c r="K14" s="610"/>
      <c r="L14" s="1137"/>
      <c r="M14" s="1128"/>
      <c r="N14" s="1128"/>
      <c r="O14" s="1128"/>
      <c r="P14" s="3156" t="s">
        <v>2545</v>
      </c>
      <c r="Q14" s="1807" t="str">
        <f t="shared" si="6"/>
        <v>交通便捷度</v>
      </c>
      <c r="R14" s="768" t="s">
        <v>17</v>
      </c>
      <c r="S14" s="769">
        <f t="shared" si="0"/>
        <v>100</v>
      </c>
      <c r="T14" s="768" t="s">
        <v>17</v>
      </c>
      <c r="U14" s="769">
        <f t="shared" si="1"/>
        <v>100</v>
      </c>
      <c r="V14" s="768" t="s">
        <v>17</v>
      </c>
      <c r="W14" s="769">
        <f t="shared" si="2"/>
        <v>100</v>
      </c>
      <c r="X14" s="1810"/>
      <c r="Y14" s="3156" t="s">
        <v>2545</v>
      </c>
      <c r="Z14" s="1811" t="str">
        <f t="shared" si="7"/>
        <v>交通便捷度</v>
      </c>
      <c r="AA14" s="1808">
        <f t="shared" si="3"/>
        <v>1</v>
      </c>
      <c r="AB14" s="1808">
        <f t="shared" si="4"/>
        <v>1</v>
      </c>
      <c r="AC14" s="1808">
        <f t="shared" si="5"/>
        <v>1</v>
      </c>
    </row>
    <row r="15" spans="1:29" ht="15">
      <c r="A15" s="400"/>
      <c r="B15" s="643"/>
      <c r="C15" s="443"/>
      <c r="D15" s="444"/>
      <c r="E15" s="443"/>
      <c r="F15" s="445"/>
      <c r="G15" s="443"/>
      <c r="H15" s="446"/>
      <c r="I15" s="443"/>
      <c r="J15" s="444"/>
      <c r="K15" s="611"/>
      <c r="L15" s="1137"/>
      <c r="M15" s="1128"/>
      <c r="N15" s="1128"/>
      <c r="O15" s="1128"/>
      <c r="P15" s="3157"/>
      <c r="Q15" s="1807"/>
      <c r="R15" s="768"/>
      <c r="S15" s="769"/>
      <c r="T15" s="768"/>
      <c r="U15" s="769"/>
      <c r="V15" s="768"/>
      <c r="W15" s="769"/>
      <c r="X15" s="1810"/>
      <c r="Y15" s="3157"/>
      <c r="Z15" s="1811"/>
      <c r="AA15" s="1808">
        <v>1</v>
      </c>
      <c r="AB15" s="1808">
        <v>1</v>
      </c>
      <c r="AC15" s="1808">
        <v>1</v>
      </c>
    </row>
    <row r="16" spans="1:29" ht="42.75">
      <c r="A16" s="400"/>
      <c r="B16" s="627" t="s">
        <v>2673</v>
      </c>
      <c r="C16" s="2603" t="str">
        <f>IF(B1="工业",估价对象房地状况!G5,估价对象房地状况!C7)</f>
        <v>估价对象所在区域公共配套设施齐备度一般</v>
      </c>
      <c r="D16" s="451">
        <v>100</v>
      </c>
      <c r="E16" s="453"/>
      <c r="F16" s="454">
        <f>SUMIF(65:65,E17,66:66)-SUMIF(65:65,C17,66:66)+100</f>
        <v>100</v>
      </c>
      <c r="G16" s="455"/>
      <c r="H16" s="451">
        <f>SUMIF(65:65,G17,66:66)-SUMIF(65:65,C17,66:66)+100</f>
        <v>100</v>
      </c>
      <c r="I16" s="453"/>
      <c r="J16" s="451">
        <f>SUMIF(65:65,I17,66:66)-SUMIF(65:65,C17,66:66)+100</f>
        <v>100</v>
      </c>
      <c r="K16" s="610"/>
      <c r="L16" s="1137"/>
      <c r="M16" s="1128"/>
      <c r="N16" s="1128"/>
      <c r="O16" s="1128"/>
      <c r="P16" s="3157"/>
      <c r="Q16" s="1807" t="str">
        <f>B16</f>
        <v>公共配套设施</v>
      </c>
      <c r="R16" s="768" t="s">
        <v>17</v>
      </c>
      <c r="S16" s="769">
        <f>F16</f>
        <v>100</v>
      </c>
      <c r="T16" s="768" t="s">
        <v>17</v>
      </c>
      <c r="U16" s="769">
        <f>H16</f>
        <v>100</v>
      </c>
      <c r="V16" s="768" t="s">
        <v>17</v>
      </c>
      <c r="W16" s="769">
        <f>J16</f>
        <v>100</v>
      </c>
      <c r="X16" s="1810"/>
      <c r="Y16" s="3157"/>
      <c r="Z16" s="1811" t="str">
        <f>Q16</f>
        <v>公共配套设施</v>
      </c>
      <c r="AA16" s="1808">
        <f t="shared" si="3"/>
        <v>1</v>
      </c>
      <c r="AB16" s="1808">
        <f t="shared" si="4"/>
        <v>1</v>
      </c>
      <c r="AC16" s="1808">
        <f t="shared" si="5"/>
        <v>1</v>
      </c>
    </row>
    <row r="17" spans="1:29" ht="15">
      <c r="A17" s="400"/>
      <c r="B17" s="628"/>
      <c r="C17" s="2604"/>
      <c r="D17" s="444"/>
      <c r="E17" s="443"/>
      <c r="F17" s="445"/>
      <c r="G17" s="443"/>
      <c r="H17" s="444"/>
      <c r="I17" s="443"/>
      <c r="J17" s="444"/>
      <c r="K17" s="611"/>
      <c r="L17" s="1137"/>
      <c r="M17" s="1128"/>
      <c r="N17" s="1128"/>
      <c r="O17" s="1128"/>
      <c r="P17" s="3157"/>
      <c r="Q17" s="1807"/>
      <c r="R17" s="768"/>
      <c r="S17" s="769"/>
      <c r="T17" s="768"/>
      <c r="U17" s="769"/>
      <c r="V17" s="768"/>
      <c r="W17" s="769"/>
      <c r="X17" s="1810"/>
      <c r="Y17" s="3157"/>
      <c r="Z17" s="1811"/>
      <c r="AA17" s="1808">
        <v>1</v>
      </c>
      <c r="AB17" s="1808">
        <v>1</v>
      </c>
      <c r="AC17" s="1808">
        <v>1</v>
      </c>
    </row>
    <row r="18" spans="1:29" ht="28.5">
      <c r="A18" s="400"/>
      <c r="B18" s="629" t="s">
        <v>2674</v>
      </c>
      <c r="C18" s="2603" t="str">
        <f>IF(B1="工业",估价对象房地状况!G6,估价对象房地状况!C8)</f>
        <v>估价对象所在区域基础设施水平达七通</v>
      </c>
      <c r="D18" s="446">
        <v>100</v>
      </c>
      <c r="E18" s="448"/>
      <c r="F18" s="454">
        <f>SUMIF(67:67,E19,68:68)-SUMIF(67:67,C19,68:68)+100</f>
        <v>100</v>
      </c>
      <c r="G18" s="450"/>
      <c r="H18" s="451">
        <f>SUMIF(67:67,G19,68:68)-SUMIF(67:67,C19,68:68)+100</f>
        <v>100</v>
      </c>
      <c r="I18" s="448"/>
      <c r="J18" s="451">
        <f>SUMIF(67:67,I19,68:68)-SUMIF(67:67,C19,68:68)+100</f>
        <v>100</v>
      </c>
      <c r="K18" s="610"/>
      <c r="L18" s="1137"/>
      <c r="M18" s="1128"/>
      <c r="N18" s="1128"/>
      <c r="O18" s="1128"/>
      <c r="P18" s="3157"/>
      <c r="Q18" s="1807" t="str">
        <f>B18</f>
        <v>基础设施水平</v>
      </c>
      <c r="R18" s="768" t="s">
        <v>17</v>
      </c>
      <c r="S18" s="769">
        <f>F18</f>
        <v>100</v>
      </c>
      <c r="T18" s="768" t="s">
        <v>17</v>
      </c>
      <c r="U18" s="769">
        <f>H18</f>
        <v>100</v>
      </c>
      <c r="V18" s="768" t="s">
        <v>17</v>
      </c>
      <c r="W18" s="769">
        <f>J18</f>
        <v>100</v>
      </c>
      <c r="X18" s="1810"/>
      <c r="Y18" s="3157"/>
      <c r="Z18" s="1811" t="str">
        <f>Q18</f>
        <v>基础设施水平</v>
      </c>
      <c r="AA18" s="1808">
        <f t="shared" ref="AA18" si="8">D18/F18</f>
        <v>1</v>
      </c>
      <c r="AB18" s="1808">
        <f t="shared" ref="AB18" si="9">D18/H18</f>
        <v>1</v>
      </c>
      <c r="AC18" s="1808">
        <f t="shared" ref="AC18" si="10">D18/J18</f>
        <v>1</v>
      </c>
    </row>
    <row r="19" spans="1:29" ht="15">
      <c r="A19" s="400"/>
      <c r="B19" s="629"/>
      <c r="C19" s="2604"/>
      <c r="D19" s="446"/>
      <c r="E19" s="2604"/>
      <c r="F19" s="449"/>
      <c r="G19" s="2604"/>
      <c r="H19" s="444"/>
      <c r="I19" s="443"/>
      <c r="J19" s="444"/>
      <c r="K19" s="1380"/>
      <c r="L19" s="1137"/>
      <c r="M19" s="1128"/>
      <c r="N19" s="1128"/>
      <c r="O19" s="1128"/>
      <c r="P19" s="3157"/>
      <c r="Q19" s="1807"/>
      <c r="R19" s="768"/>
      <c r="S19" s="769"/>
      <c r="T19" s="768"/>
      <c r="U19" s="769"/>
      <c r="V19" s="768"/>
      <c r="W19" s="769"/>
      <c r="X19" s="1810"/>
      <c r="Y19" s="3157"/>
      <c r="Z19" s="1811"/>
      <c r="AA19" s="1808">
        <v>1</v>
      </c>
      <c r="AB19" s="1808">
        <v>1</v>
      </c>
      <c r="AC19" s="1808">
        <v>1</v>
      </c>
    </row>
    <row r="20" spans="1:29" ht="57">
      <c r="A20" s="400"/>
      <c r="B20" s="627" t="s">
        <v>2695</v>
      </c>
      <c r="C20" s="2603" t="str">
        <f>IF(B1="工业",估价对象房地状况!G7,估价对象房地状况!C9)</f>
        <v>周边仅有住宅配套绿化，无大型公园及高等教育机构；综合评价环境状况较差</v>
      </c>
      <c r="D20" s="451">
        <v>100</v>
      </c>
      <c r="E20" s="453"/>
      <c r="F20" s="454">
        <f>SUMIF(69:69,E21,70:70)-SUMIF(69:69,C21,70:70)+100</f>
        <v>100</v>
      </c>
      <c r="G20" s="455"/>
      <c r="H20" s="446">
        <f>SUMIF(69:69,G21,70:70)-SUMIF(69:69,C21,70:70)+100</f>
        <v>100</v>
      </c>
      <c r="I20" s="448"/>
      <c r="J20" s="446">
        <f>SUMIF(69:69,I21,70:70)-SUMIF(69:69,C21,70:70)+100</f>
        <v>100</v>
      </c>
      <c r="K20" s="610"/>
      <c r="L20" s="1137"/>
      <c r="M20" s="1128"/>
      <c r="N20" s="1128"/>
      <c r="O20" s="1128"/>
      <c r="P20" s="3157"/>
      <c r="Q20" s="1807" t="str">
        <f>B20</f>
        <v>自然及人文环境</v>
      </c>
      <c r="R20" s="768" t="s">
        <v>17</v>
      </c>
      <c r="S20" s="769">
        <f>F20</f>
        <v>100</v>
      </c>
      <c r="T20" s="768" t="s">
        <v>17</v>
      </c>
      <c r="U20" s="769">
        <f>H20</f>
        <v>100</v>
      </c>
      <c r="V20" s="768" t="s">
        <v>17</v>
      </c>
      <c r="W20" s="769">
        <f>J20</f>
        <v>100</v>
      </c>
      <c r="X20" s="1810"/>
      <c r="Y20" s="3157"/>
      <c r="Z20" s="1811" t="str">
        <f>Q20</f>
        <v>自然及人文环境</v>
      </c>
      <c r="AA20" s="1808">
        <f t="shared" si="3"/>
        <v>1</v>
      </c>
      <c r="AB20" s="1808">
        <f t="shared" si="4"/>
        <v>1</v>
      </c>
      <c r="AC20" s="1808">
        <f t="shared" si="5"/>
        <v>1</v>
      </c>
    </row>
    <row r="21" spans="1:29" ht="15">
      <c r="A21" s="400"/>
      <c r="B21" s="628"/>
      <c r="C21" s="443"/>
      <c r="D21" s="444"/>
      <c r="E21" s="443"/>
      <c r="F21" s="445"/>
      <c r="G21" s="443"/>
      <c r="H21" s="444"/>
      <c r="I21" s="443"/>
      <c r="J21" s="444"/>
      <c r="K21" s="611"/>
      <c r="L21" s="1137"/>
      <c r="M21" s="1128"/>
      <c r="N21" s="1128"/>
      <c r="O21" s="1128"/>
      <c r="P21" s="3157"/>
      <c r="Q21" s="1807"/>
      <c r="R21" s="768"/>
      <c r="S21" s="769"/>
      <c r="T21" s="768"/>
      <c r="U21" s="769"/>
      <c r="V21" s="768"/>
      <c r="W21" s="769"/>
      <c r="X21" s="1810"/>
      <c r="Y21" s="3157"/>
      <c r="Z21" s="1811"/>
      <c r="AA21" s="1808">
        <v>1</v>
      </c>
      <c r="AB21" s="1808">
        <v>1</v>
      </c>
      <c r="AC21" s="1808">
        <v>1</v>
      </c>
    </row>
    <row r="22" spans="1:29" ht="15">
      <c r="A22" s="400"/>
      <c r="B22" s="627" t="s">
        <v>2696</v>
      </c>
      <c r="C22" s="612"/>
      <c r="D22" s="446">
        <v>100</v>
      </c>
      <c r="E22" s="612"/>
      <c r="F22" s="457">
        <f>SUMIF(71:71,E22,72:72)-SUMIF(71:71,C22,72:72)+100</f>
        <v>100</v>
      </c>
      <c r="G22" s="612"/>
      <c r="H22" s="431">
        <f>SUMIF(71:71,G22,72:72)-SUMIF(71:71,C22,72:72)+100</f>
        <v>100</v>
      </c>
      <c r="I22" s="612"/>
      <c r="J22" s="431">
        <f>SUMIF(71:71,I22,72:72)-SUMIF(71:71,C22,72:72)+100</f>
        <v>100</v>
      </c>
      <c r="K22" s="608"/>
      <c r="L22" s="1137"/>
      <c r="M22" s="1128"/>
      <c r="N22" s="1128"/>
      <c r="O22" s="1128"/>
      <c r="P22" s="3157"/>
      <c r="Q22" s="1807" t="str">
        <f>B22</f>
        <v>楼层</v>
      </c>
      <c r="R22" s="768" t="s">
        <v>17</v>
      </c>
      <c r="S22" s="769">
        <f>F22</f>
        <v>100</v>
      </c>
      <c r="T22" s="768" t="s">
        <v>17</v>
      </c>
      <c r="U22" s="769">
        <f>H22</f>
        <v>100</v>
      </c>
      <c r="V22" s="768" t="s">
        <v>17</v>
      </c>
      <c r="W22" s="769">
        <f>J22</f>
        <v>100</v>
      </c>
      <c r="X22" s="1810"/>
      <c r="Y22" s="3157"/>
      <c r="Z22" s="1811" t="str">
        <f>Q22</f>
        <v>楼层</v>
      </c>
      <c r="AA22" s="1808">
        <f t="shared" si="3"/>
        <v>1</v>
      </c>
      <c r="AB22" s="1808">
        <f t="shared" si="4"/>
        <v>1</v>
      </c>
      <c r="AC22" s="1808">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7"/>
      <c r="M23" s="1128"/>
      <c r="N23" s="1128"/>
      <c r="O23" s="1128"/>
      <c r="P23" s="3157"/>
      <c r="Q23" s="1807">
        <f>B23</f>
        <v>111</v>
      </c>
      <c r="R23" s="768" t="s">
        <v>17</v>
      </c>
      <c r="S23" s="769">
        <f>F23</f>
        <v>100</v>
      </c>
      <c r="T23" s="768" t="s">
        <v>17</v>
      </c>
      <c r="U23" s="769">
        <f>H23</f>
        <v>100</v>
      </c>
      <c r="V23" s="768" t="s">
        <v>17</v>
      </c>
      <c r="W23" s="769">
        <f>J23</f>
        <v>100</v>
      </c>
      <c r="X23" s="1810"/>
      <c r="Y23" s="3157"/>
      <c r="Z23" s="1811">
        <f>Q23</f>
        <v>111</v>
      </c>
      <c r="AA23" s="1808">
        <f t="shared" si="3"/>
        <v>1</v>
      </c>
      <c r="AB23" s="1808">
        <f t="shared" si="4"/>
        <v>1</v>
      </c>
      <c r="AC23" s="1808">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7"/>
      <c r="M24" s="1128"/>
      <c r="N24" s="1128"/>
      <c r="O24" s="1128"/>
      <c r="P24" s="3157"/>
      <c r="Q24" s="1807">
        <f t="shared" ref="Q24:Q36" si="11">B24</f>
        <v>111</v>
      </c>
      <c r="R24" s="768" t="s">
        <v>17</v>
      </c>
      <c r="S24" s="769">
        <f>F24</f>
        <v>100</v>
      </c>
      <c r="T24" s="768" t="s">
        <v>17</v>
      </c>
      <c r="U24" s="769">
        <f>H24</f>
        <v>100</v>
      </c>
      <c r="V24" s="768" t="s">
        <v>17</v>
      </c>
      <c r="W24" s="769">
        <f>J24</f>
        <v>100</v>
      </c>
      <c r="X24" s="1810"/>
      <c r="Y24" s="3157"/>
      <c r="Z24" s="1811">
        <f>Q24</f>
        <v>111</v>
      </c>
      <c r="AA24" s="1808">
        <f t="shared" si="3"/>
        <v>1</v>
      </c>
      <c r="AB24" s="1808">
        <f t="shared" si="4"/>
        <v>1</v>
      </c>
      <c r="AC24" s="1808">
        <f t="shared" si="5"/>
        <v>1</v>
      </c>
    </row>
    <row r="25" spans="1:29" s="114"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9"/>
      <c r="M25" s="1130"/>
      <c r="N25" s="1130"/>
      <c r="O25" s="1130"/>
      <c r="P25" s="3157"/>
      <c r="Q25" s="1792">
        <f t="shared" si="11"/>
        <v>111</v>
      </c>
      <c r="R25" s="764" t="s">
        <v>17</v>
      </c>
      <c r="S25" s="765">
        <f>F25</f>
        <v>100</v>
      </c>
      <c r="T25" s="764" t="s">
        <v>17</v>
      </c>
      <c r="U25" s="765">
        <f>H25</f>
        <v>100</v>
      </c>
      <c r="V25" s="764" t="s">
        <v>17</v>
      </c>
      <c r="W25" s="765">
        <f>J25</f>
        <v>100</v>
      </c>
      <c r="X25" s="766"/>
      <c r="Y25" s="3157"/>
      <c r="Z25" s="55">
        <f>Q25</f>
        <v>111</v>
      </c>
      <c r="AA25" s="1808">
        <f>D25/F25</f>
        <v>1</v>
      </c>
      <c r="AB25" s="1808">
        <f>D25/H25</f>
        <v>1</v>
      </c>
      <c r="AC25" s="1808">
        <f>D25/J25</f>
        <v>1</v>
      </c>
    </row>
    <row r="26" spans="1:29" ht="15">
      <c r="A26" s="648" t="s">
        <v>2548</v>
      </c>
      <c r="B26" s="68" t="s">
        <v>2697</v>
      </c>
      <c r="C26" s="2690">
        <f>B1</f>
        <v>0</v>
      </c>
      <c r="D26" s="444">
        <v>100</v>
      </c>
      <c r="E26" s="443"/>
      <c r="F26" s="445">
        <f>SUMIF(79:79,E26,80:80)-SUMIF(79:79,C26,80:80)+100</f>
        <v>100</v>
      </c>
      <c r="G26" s="443"/>
      <c r="H26" s="444">
        <f>SUMIF(79:79,G26,80:80)-SUMIF(79:79,C26,80:80)+100</f>
        <v>100</v>
      </c>
      <c r="I26" s="443"/>
      <c r="J26" s="444">
        <f>SUMIF(79:79,I26,80:80)-SUMIF(79:79,C26,80:80)+100</f>
        <v>100</v>
      </c>
      <c r="K26" s="608"/>
      <c r="L26" s="1137"/>
      <c r="M26" s="1128"/>
      <c r="N26" s="1128"/>
      <c r="O26" s="1128"/>
      <c r="P26" s="3212" t="s">
        <v>2550</v>
      </c>
      <c r="Q26" s="1807" t="str">
        <f t="shared" si="11"/>
        <v>配套类型</v>
      </c>
      <c r="R26" s="768" t="s">
        <v>17</v>
      </c>
      <c r="S26" s="769">
        <f t="shared" ref="S26:S36" si="12">F26</f>
        <v>100</v>
      </c>
      <c r="T26" s="768" t="s">
        <v>17</v>
      </c>
      <c r="U26" s="769">
        <f t="shared" ref="U26:U36" si="13">H26</f>
        <v>100</v>
      </c>
      <c r="V26" s="768" t="s">
        <v>17</v>
      </c>
      <c r="W26" s="769">
        <f t="shared" ref="W26:W36" si="14">J26</f>
        <v>100</v>
      </c>
      <c r="X26" s="1810"/>
      <c r="Y26" s="3161" t="s">
        <v>2550</v>
      </c>
      <c r="Z26" s="1811" t="str">
        <f t="shared" ref="Z26:Z36" si="15">Q26</f>
        <v>配套类型</v>
      </c>
      <c r="AA26" s="1808">
        <f t="shared" si="3"/>
        <v>1</v>
      </c>
      <c r="AB26" s="1808">
        <f t="shared" si="4"/>
        <v>1</v>
      </c>
      <c r="AC26" s="1808">
        <f t="shared" si="5"/>
        <v>1</v>
      </c>
    </row>
    <row r="27" spans="1:29" s="467" customFormat="1" ht="15">
      <c r="A27" s="649"/>
      <c r="B27" s="650" t="s">
        <v>2698</v>
      </c>
      <c r="C27" s="651"/>
      <c r="D27" s="132">
        <v>100</v>
      </c>
      <c r="E27" s="651"/>
      <c r="F27" s="457">
        <f>SUMIF(81:81,E27,82:82)-SUMIF(81:81,C27,82:82)+100</f>
        <v>100</v>
      </c>
      <c r="G27" s="651"/>
      <c r="H27" s="431">
        <f>SUMIF(81:81,G27,82:82)-SUMIF(81:81,C27,82:82)+100</f>
        <v>100</v>
      </c>
      <c r="I27" s="651"/>
      <c r="J27" s="431">
        <f>SUMIF(81:81,I27,82:82)-SUMIF(81:81,C27,82:82)+100</f>
        <v>100</v>
      </c>
      <c r="K27" s="609"/>
      <c r="L27" s="1135"/>
      <c r="M27" s="1138"/>
      <c r="N27" s="1138"/>
      <c r="O27" s="1138"/>
      <c r="P27" s="3161"/>
      <c r="Q27" s="770" t="str">
        <f t="shared" si="11"/>
        <v>项目停车位配比</v>
      </c>
      <c r="R27" s="771" t="s">
        <v>17</v>
      </c>
      <c r="S27" s="772">
        <f t="shared" si="12"/>
        <v>100</v>
      </c>
      <c r="T27" s="771" t="s">
        <v>17</v>
      </c>
      <c r="U27" s="772">
        <f t="shared" si="13"/>
        <v>100</v>
      </c>
      <c r="V27" s="771" t="s">
        <v>17</v>
      </c>
      <c r="W27" s="772">
        <f t="shared" si="14"/>
        <v>100</v>
      </c>
      <c r="X27" s="773"/>
      <c r="Y27" s="3161"/>
      <c r="Z27" s="774" t="str">
        <f t="shared" si="15"/>
        <v>项目停车位配比</v>
      </c>
      <c r="AA27" s="1808">
        <f t="shared" si="3"/>
        <v>1</v>
      </c>
      <c r="AB27" s="1808">
        <f t="shared" si="4"/>
        <v>1</v>
      </c>
      <c r="AC27" s="1808">
        <f t="shared" si="5"/>
        <v>1</v>
      </c>
    </row>
    <row r="28" spans="1:29" ht="15">
      <c r="A28" s="652"/>
      <c r="B28" s="650" t="s">
        <v>2699</v>
      </c>
      <c r="C28" s="456"/>
      <c r="D28" s="431">
        <v>100</v>
      </c>
      <c r="E28" s="456"/>
      <c r="F28" s="457">
        <f>SUMIF(83:83,E28,84:84)-SUMIF(83:83,C28,84:84)+100</f>
        <v>100</v>
      </c>
      <c r="G28" s="456"/>
      <c r="H28" s="431">
        <f>SUMIF(83:83,G28,84:84)-SUMIF(83:83,C28,84:84)+100</f>
        <v>100</v>
      </c>
      <c r="I28" s="456"/>
      <c r="J28" s="431">
        <f>SUMIF(83:83,I28,84:84)-SUMIF(83:83,C28,84:84)+100</f>
        <v>100</v>
      </c>
      <c r="K28" s="608"/>
      <c r="L28" s="1137"/>
      <c r="M28" s="1128"/>
      <c r="N28" s="1128"/>
      <c r="O28" s="1128"/>
      <c r="P28" s="3161"/>
      <c r="Q28" s="1807" t="str">
        <f t="shared" si="11"/>
        <v>公共部分装修</v>
      </c>
      <c r="R28" s="768" t="s">
        <v>17</v>
      </c>
      <c r="S28" s="769">
        <f t="shared" si="12"/>
        <v>100</v>
      </c>
      <c r="T28" s="768" t="s">
        <v>17</v>
      </c>
      <c r="U28" s="769">
        <f t="shared" si="13"/>
        <v>100</v>
      </c>
      <c r="V28" s="768" t="s">
        <v>17</v>
      </c>
      <c r="W28" s="769">
        <f t="shared" si="14"/>
        <v>100</v>
      </c>
      <c r="X28" s="1810"/>
      <c r="Y28" s="3161"/>
      <c r="Z28" s="1811" t="str">
        <f t="shared" si="15"/>
        <v>公共部分装修</v>
      </c>
      <c r="AA28" s="1808">
        <f t="shared" si="3"/>
        <v>1</v>
      </c>
      <c r="AB28" s="1808">
        <f t="shared" si="4"/>
        <v>1</v>
      </c>
      <c r="AC28" s="1808">
        <f t="shared" si="5"/>
        <v>1</v>
      </c>
    </row>
    <row r="29" spans="1:29" ht="15">
      <c r="A29" s="652"/>
      <c r="B29" s="650" t="s">
        <v>2700</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7"/>
      <c r="M29" s="1128"/>
      <c r="N29" s="1128"/>
      <c r="O29" s="1128"/>
      <c r="P29" s="3161"/>
      <c r="Q29" s="1807" t="str">
        <f t="shared" si="11"/>
        <v>成新率</v>
      </c>
      <c r="R29" s="768" t="s">
        <v>17</v>
      </c>
      <c r="S29" s="769" t="e">
        <f t="shared" si="12"/>
        <v>#N/A</v>
      </c>
      <c r="T29" s="768" t="s">
        <v>17</v>
      </c>
      <c r="U29" s="769" t="e">
        <f t="shared" si="13"/>
        <v>#N/A</v>
      </c>
      <c r="V29" s="768" t="s">
        <v>17</v>
      </c>
      <c r="W29" s="769" t="e">
        <f t="shared" si="14"/>
        <v>#N/A</v>
      </c>
      <c r="X29" s="1810"/>
      <c r="Y29" s="3161"/>
      <c r="Z29" s="1811" t="str">
        <f t="shared" si="15"/>
        <v>成新率</v>
      </c>
      <c r="AA29" s="1808" t="e">
        <f t="shared" si="3"/>
        <v>#N/A</v>
      </c>
      <c r="AB29" s="1808" t="e">
        <f t="shared" si="4"/>
        <v>#N/A</v>
      </c>
      <c r="AC29" s="1808" t="e">
        <f t="shared" si="5"/>
        <v>#N/A</v>
      </c>
    </row>
    <row r="30" spans="1:29" ht="15">
      <c r="A30" s="652"/>
      <c r="B30" s="650" t="s">
        <v>2701</v>
      </c>
      <c r="C30" s="653"/>
      <c r="D30" s="431">
        <v>100</v>
      </c>
      <c r="E30" s="653"/>
      <c r="F30" s="457">
        <f>SUMIF(88:88,E30,89:89)-SUMIF(88:88,C30,89:89)+100</f>
        <v>100</v>
      </c>
      <c r="G30" s="653"/>
      <c r="H30" s="431">
        <f>SUMIF(88:88,E30,89:89)-SUMIF(88:88,C30,89:89)+100</f>
        <v>100</v>
      </c>
      <c r="I30" s="653"/>
      <c r="J30" s="431">
        <f>SUMIF(88:88,E30,89:89)-SUMIF(88:88,C30,89:89)+100</f>
        <v>100</v>
      </c>
      <c r="K30" s="608"/>
      <c r="L30" s="1137"/>
      <c r="M30" s="1128"/>
      <c r="N30" s="1128"/>
      <c r="O30" s="1128"/>
      <c r="P30" s="3161"/>
      <c r="Q30" s="1807" t="str">
        <f t="shared" si="11"/>
        <v>物业等级</v>
      </c>
      <c r="R30" s="768" t="s">
        <v>17</v>
      </c>
      <c r="S30" s="769">
        <f t="shared" si="12"/>
        <v>100</v>
      </c>
      <c r="T30" s="768" t="s">
        <v>17</v>
      </c>
      <c r="U30" s="769">
        <f t="shared" si="13"/>
        <v>100</v>
      </c>
      <c r="V30" s="768" t="s">
        <v>17</v>
      </c>
      <c r="W30" s="769">
        <f t="shared" si="14"/>
        <v>100</v>
      </c>
      <c r="X30" s="1810"/>
      <c r="Y30" s="3161"/>
      <c r="Z30" s="1811" t="str">
        <f t="shared" si="15"/>
        <v>物业等级</v>
      </c>
      <c r="AA30" s="1808">
        <f t="shared" si="3"/>
        <v>1</v>
      </c>
      <c r="AB30" s="1808">
        <f t="shared" si="4"/>
        <v>1</v>
      </c>
      <c r="AC30" s="1808">
        <f t="shared" si="5"/>
        <v>1</v>
      </c>
    </row>
    <row r="31" spans="1:29" s="114" customFormat="1" ht="15">
      <c r="A31" s="654"/>
      <c r="B31" s="650" t="s">
        <v>2702</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9"/>
      <c r="M31" s="1130"/>
      <c r="N31" s="1130"/>
      <c r="O31" s="1130"/>
      <c r="P31" s="3161"/>
      <c r="Q31" s="1792" t="str">
        <f t="shared" si="11"/>
        <v>停车位面积</v>
      </c>
      <c r="R31" s="764" t="s">
        <v>17</v>
      </c>
      <c r="S31" s="765" t="e">
        <f t="shared" si="12"/>
        <v>#N/A</v>
      </c>
      <c r="T31" s="764" t="s">
        <v>17</v>
      </c>
      <c r="U31" s="765" t="e">
        <f t="shared" si="13"/>
        <v>#N/A</v>
      </c>
      <c r="V31" s="764" t="s">
        <v>17</v>
      </c>
      <c r="W31" s="765" t="e">
        <f t="shared" si="14"/>
        <v>#N/A</v>
      </c>
      <c r="X31" s="766"/>
      <c r="Y31" s="3161"/>
      <c r="Z31" s="55" t="str">
        <f t="shared" si="15"/>
        <v>停车位面积</v>
      </c>
      <c r="AA31" s="767" t="e">
        <f t="shared" si="3"/>
        <v>#N/A</v>
      </c>
      <c r="AB31" s="767" t="e">
        <f t="shared" si="4"/>
        <v>#N/A</v>
      </c>
      <c r="AC31" s="767" t="e">
        <f t="shared" si="5"/>
        <v>#N/A</v>
      </c>
    </row>
    <row r="32" spans="1:29" ht="15">
      <c r="A32" s="652"/>
      <c r="B32" s="650" t="s">
        <v>2703</v>
      </c>
      <c r="C32" s="456"/>
      <c r="D32" s="431">
        <v>100</v>
      </c>
      <c r="E32" s="456"/>
      <c r="F32" s="457">
        <f>SUMIF(93:93,E32,94:94)-SUMIF(93:93,C32,94:94)+100</f>
        <v>100</v>
      </c>
      <c r="G32" s="456"/>
      <c r="H32" s="431">
        <f>SUMIF(93:93,G32,94:94)-SUMIF(93:93,C32,94:94)+100</f>
        <v>100</v>
      </c>
      <c r="I32" s="456"/>
      <c r="J32" s="431">
        <f>SUMIF(93:93,I32,94:94)-SUMIF(93:93,C32,94:94)+100</f>
        <v>100</v>
      </c>
      <c r="K32" s="608"/>
      <c r="L32" s="1137"/>
      <c r="M32" s="1128"/>
      <c r="N32" s="1128"/>
      <c r="O32" s="1128"/>
      <c r="P32" s="3161" t="s">
        <v>2550</v>
      </c>
      <c r="Q32" s="1807" t="str">
        <f t="shared" si="11"/>
        <v>车位类型</v>
      </c>
      <c r="R32" s="768" t="s">
        <v>17</v>
      </c>
      <c r="S32" s="769">
        <f t="shared" si="12"/>
        <v>100</v>
      </c>
      <c r="T32" s="768" t="s">
        <v>17</v>
      </c>
      <c r="U32" s="769">
        <f t="shared" si="13"/>
        <v>100</v>
      </c>
      <c r="V32" s="768" t="s">
        <v>17</v>
      </c>
      <c r="W32" s="769">
        <f t="shared" si="14"/>
        <v>100</v>
      </c>
      <c r="X32" s="1810"/>
      <c r="Y32" s="3161" t="s">
        <v>2550</v>
      </c>
      <c r="Z32" s="1811" t="str">
        <f t="shared" si="15"/>
        <v>车位类型</v>
      </c>
      <c r="AA32" s="1808">
        <f t="shared" si="3"/>
        <v>1</v>
      </c>
      <c r="AB32" s="1808">
        <f t="shared" si="4"/>
        <v>1</v>
      </c>
      <c r="AC32" s="1808">
        <f t="shared" si="5"/>
        <v>1</v>
      </c>
    </row>
    <row r="33" spans="1:29" ht="15">
      <c r="A33" s="652"/>
      <c r="B33" s="650" t="s">
        <v>2704</v>
      </c>
      <c r="C33" s="456"/>
      <c r="D33" s="431">
        <v>100</v>
      </c>
      <c r="E33" s="456"/>
      <c r="F33" s="457">
        <f>SUMIF(95:95,E33,96:96)-SUMIF(95:95,C33,96:96)+100</f>
        <v>100</v>
      </c>
      <c r="G33" s="456"/>
      <c r="H33" s="431">
        <f>SUMIF(95:95,G33,96:96)-SUMIF(95:95,C33,96:96)+100</f>
        <v>100</v>
      </c>
      <c r="I33" s="456"/>
      <c r="J33" s="431">
        <f>SUMIF(95:95,I33,96:96)-SUMIF(95:95,C33,96:96)+100</f>
        <v>100</v>
      </c>
      <c r="K33" s="608"/>
      <c r="L33" s="1137"/>
      <c r="M33" s="1128"/>
      <c r="N33" s="1128"/>
      <c r="O33" s="1128"/>
      <c r="P33" s="3161"/>
      <c r="Q33" s="1807" t="str">
        <f t="shared" si="11"/>
        <v>是否直接入户</v>
      </c>
      <c r="R33" s="768" t="s">
        <v>17</v>
      </c>
      <c r="S33" s="769">
        <f t="shared" si="12"/>
        <v>100</v>
      </c>
      <c r="T33" s="768" t="s">
        <v>17</v>
      </c>
      <c r="U33" s="769">
        <f t="shared" si="13"/>
        <v>100</v>
      </c>
      <c r="V33" s="768" t="s">
        <v>17</v>
      </c>
      <c r="W33" s="769">
        <f t="shared" si="14"/>
        <v>100</v>
      </c>
      <c r="X33" s="1810"/>
      <c r="Y33" s="3161"/>
      <c r="Z33" s="1811" t="str">
        <f t="shared" si="15"/>
        <v>是否直接入户</v>
      </c>
      <c r="AA33" s="1808">
        <f t="shared" si="3"/>
        <v>1</v>
      </c>
      <c r="AB33" s="1808">
        <f t="shared" si="4"/>
        <v>1</v>
      </c>
      <c r="AC33" s="1808">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7"/>
      <c r="M34" s="1128"/>
      <c r="N34" s="1128"/>
      <c r="O34" s="1128"/>
      <c r="P34" s="3161"/>
      <c r="Q34" s="1807">
        <f t="shared" si="11"/>
        <v>111</v>
      </c>
      <c r="R34" s="768" t="s">
        <v>17</v>
      </c>
      <c r="S34" s="769">
        <f t="shared" si="12"/>
        <v>100</v>
      </c>
      <c r="T34" s="768" t="s">
        <v>17</v>
      </c>
      <c r="U34" s="769">
        <f t="shared" si="13"/>
        <v>100</v>
      </c>
      <c r="V34" s="768" t="s">
        <v>17</v>
      </c>
      <c r="W34" s="769">
        <f t="shared" si="14"/>
        <v>100</v>
      </c>
      <c r="X34" s="1810"/>
      <c r="Y34" s="3161"/>
      <c r="Z34" s="1811">
        <f t="shared" si="15"/>
        <v>111</v>
      </c>
      <c r="AA34" s="1808">
        <f t="shared" si="3"/>
        <v>1</v>
      </c>
      <c r="AB34" s="1808">
        <f t="shared" si="4"/>
        <v>1</v>
      </c>
      <c r="AC34" s="1808">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5"/>
      <c r="M35" s="1138"/>
      <c r="N35" s="1138"/>
      <c r="O35" s="1138"/>
      <c r="P35" s="3161"/>
      <c r="Q35" s="770">
        <f t="shared" si="11"/>
        <v>111</v>
      </c>
      <c r="R35" s="771" t="s">
        <v>17</v>
      </c>
      <c r="S35" s="772">
        <f t="shared" si="12"/>
        <v>100</v>
      </c>
      <c r="T35" s="771" t="s">
        <v>17</v>
      </c>
      <c r="U35" s="772">
        <f t="shared" si="13"/>
        <v>100</v>
      </c>
      <c r="V35" s="771" t="s">
        <v>17</v>
      </c>
      <c r="W35" s="772">
        <f t="shared" si="14"/>
        <v>100</v>
      </c>
      <c r="X35" s="773"/>
      <c r="Y35" s="3161"/>
      <c r="Z35" s="774">
        <f t="shared" si="15"/>
        <v>111</v>
      </c>
      <c r="AA35" s="1808">
        <f t="shared" si="3"/>
        <v>1</v>
      </c>
      <c r="AB35" s="1808">
        <f t="shared" si="4"/>
        <v>1</v>
      </c>
      <c r="AC35" s="1808">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7"/>
      <c r="M36" s="1128"/>
      <c r="N36" s="1128"/>
      <c r="O36" s="1128"/>
      <c r="P36" s="3161"/>
      <c r="Q36" s="1807">
        <f t="shared" si="11"/>
        <v>111</v>
      </c>
      <c r="R36" s="768" t="s">
        <v>17</v>
      </c>
      <c r="S36" s="769">
        <f t="shared" si="12"/>
        <v>100</v>
      </c>
      <c r="T36" s="768" t="s">
        <v>17</v>
      </c>
      <c r="U36" s="769">
        <f t="shared" si="13"/>
        <v>100</v>
      </c>
      <c r="V36" s="768" t="s">
        <v>17</v>
      </c>
      <c r="W36" s="769">
        <f t="shared" si="14"/>
        <v>100</v>
      </c>
      <c r="X36" s="1810"/>
      <c r="Y36" s="3161"/>
      <c r="Z36" s="1811">
        <f t="shared" si="15"/>
        <v>111</v>
      </c>
      <c r="AA36" s="1808">
        <f t="shared" si="3"/>
        <v>1</v>
      </c>
      <c r="AB36" s="1808">
        <f t="shared" si="4"/>
        <v>1</v>
      </c>
      <c r="AC36" s="1808">
        <f t="shared" si="5"/>
        <v>1</v>
      </c>
    </row>
    <row r="37" spans="1:29" ht="15">
      <c r="A37" s="475" t="s">
        <v>2705</v>
      </c>
      <c r="B37" s="2691" t="s">
        <v>2706</v>
      </c>
      <c r="C37" s="1404" t="s">
        <v>1</v>
      </c>
      <c r="D37" s="1405"/>
      <c r="E37" s="1406"/>
      <c r="F37" s="1407"/>
      <c r="G37" s="1408"/>
      <c r="H37" s="1409"/>
      <c r="I37" s="1406"/>
      <c r="J37" s="1409"/>
      <c r="K37" s="615"/>
      <c r="L37" s="1140"/>
      <c r="M37" s="1141"/>
      <c r="N37" s="1128"/>
      <c r="O37" s="1141"/>
      <c r="P37" s="3154" t="str">
        <f>A37</f>
        <v>成交单价</v>
      </c>
      <c r="Q37" s="3154"/>
      <c r="R37" s="3155">
        <f>E37</f>
        <v>0</v>
      </c>
      <c r="S37" s="3155"/>
      <c r="T37" s="3155">
        <f>G37</f>
        <v>0</v>
      </c>
      <c r="U37" s="3155"/>
      <c r="V37" s="3155">
        <f>I37</f>
        <v>0</v>
      </c>
      <c r="W37" s="3155"/>
      <c r="X37" s="753"/>
      <c r="Y37" s="775"/>
      <c r="Z37" s="753"/>
      <c r="AA37" s="753"/>
      <c r="AB37" s="753"/>
      <c r="AC37" s="753"/>
    </row>
    <row r="38" spans="1:29" ht="15.75" thickBot="1">
      <c r="A38" s="482" t="s">
        <v>2707</v>
      </c>
      <c r="B38" s="483" t="str">
        <f>B37</f>
        <v>元/车位</v>
      </c>
      <c r="C38" s="1410" t="e">
        <f>R39</f>
        <v>#DIV/0!</v>
      </c>
      <c r="D38" s="1411"/>
      <c r="E38" s="1412" t="e">
        <f>R38</f>
        <v>#DIV/0!</v>
      </c>
      <c r="F38" s="1412"/>
      <c r="G38" s="1410" t="e">
        <f>T38</f>
        <v>#DIV/0!</v>
      </c>
      <c r="H38" s="1411"/>
      <c r="I38" s="1412" t="e">
        <f>V38</f>
        <v>#DIV/0!</v>
      </c>
      <c r="J38" s="1411"/>
      <c r="K38" s="616"/>
      <c r="L38" s="1140"/>
      <c r="M38" s="1141"/>
      <c r="N38" s="1141"/>
      <c r="O38" s="1141"/>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3"/>
      <c r="Y38" s="753"/>
      <c r="Z38" s="753"/>
      <c r="AA38" s="753"/>
      <c r="AB38" s="753"/>
      <c r="AC38" s="753"/>
    </row>
    <row r="39" spans="1:29" ht="15.75" thickBot="1">
      <c r="A39" s="488" t="s">
        <v>2708</v>
      </c>
      <c r="B39" s="489"/>
      <c r="C39" s="1414" t="e">
        <f>R39</f>
        <v>#DIV/0!</v>
      </c>
      <c r="D39" s="1414"/>
      <c r="E39" s="1414"/>
      <c r="F39" s="1414"/>
      <c r="G39" s="1414"/>
      <c r="H39" s="1414"/>
      <c r="I39" s="1414"/>
      <c r="J39" s="1414"/>
      <c r="K39" s="617"/>
      <c r="L39" s="1140"/>
      <c r="M39" s="1141"/>
      <c r="N39" s="1141"/>
      <c r="O39" s="1141"/>
      <c r="P39" s="3151" t="str">
        <f>A39</f>
        <v>估价对象XX用房的比较价值（楼面单价，元/平方米）</v>
      </c>
      <c r="Q39" s="3152"/>
      <c r="R39" s="3153" t="e">
        <f>IF(F1="售价",ROUND(AVERAGE(R38:V38),0),ROUND(AVERAGE(R38:V38),1))</f>
        <v>#DIV/0!</v>
      </c>
      <c r="S39" s="3153"/>
      <c r="T39" s="3153"/>
      <c r="U39" s="3153"/>
      <c r="V39" s="3153"/>
      <c r="W39" s="3153"/>
      <c r="X39" s="753"/>
      <c r="Y39" s="753"/>
      <c r="Z39" s="753"/>
      <c r="AA39" s="753"/>
      <c r="AB39" s="753"/>
      <c r="AC39" s="753"/>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3" t="s">
        <v>2709</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3" t="s">
        <v>2710</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8" customFormat="1" ht="13.5" customHeight="1">
      <c r="A44" s="1142"/>
      <c r="B44" s="1142"/>
      <c r="C44" s="493" t="s">
        <v>2711</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8"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4" customFormat="1" ht="15">
      <c r="A48" s="501" t="s">
        <v>2713</v>
      </c>
      <c r="B48" s="502"/>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4" customFormat="1" ht="15">
      <c r="A49" s="505"/>
      <c r="B49" s="506"/>
      <c r="C49" s="1563">
        <v>100</v>
      </c>
      <c r="D49" s="508"/>
      <c r="E49" s="508"/>
      <c r="F49" s="508"/>
      <c r="G49" s="508"/>
      <c r="H49" s="508"/>
      <c r="I49" s="508"/>
      <c r="J49" s="508"/>
      <c r="K49" s="508"/>
      <c r="L49" s="508"/>
      <c r="M49" s="509"/>
      <c r="N49" s="508"/>
      <c r="O49" s="509"/>
      <c r="P49" s="1425"/>
      <c r="Q49" s="1424"/>
      <c r="R49" s="1424"/>
      <c r="S49" s="1424"/>
      <c r="T49" s="1424"/>
      <c r="U49" s="1424"/>
      <c r="V49" s="1424"/>
      <c r="W49" s="1424"/>
      <c r="X49" s="1424"/>
      <c r="Y49" s="1424"/>
      <c r="Z49" s="1424"/>
      <c r="AA49" s="1424"/>
      <c r="AB49" s="1424"/>
      <c r="AC49" s="1424"/>
    </row>
    <row r="50" spans="1:29" s="114" customFormat="1" ht="15.75" thickBot="1">
      <c r="A50" s="511" t="s">
        <v>2570</v>
      </c>
      <c r="B50" s="512"/>
      <c r="C50" s="513"/>
      <c r="D50" s="514"/>
      <c r="E50" s="514"/>
      <c r="F50" s="514"/>
      <c r="G50" s="514"/>
      <c r="H50" s="514"/>
      <c r="I50" s="514"/>
      <c r="J50" s="514"/>
      <c r="K50" s="514"/>
      <c r="L50" s="514"/>
      <c r="M50" s="515"/>
      <c r="N50" s="514"/>
      <c r="O50" s="515"/>
      <c r="P50" s="1425"/>
      <c r="Q50" s="1420"/>
      <c r="R50" s="1424"/>
      <c r="S50" s="1424"/>
      <c r="T50" s="1424"/>
      <c r="U50" s="1424"/>
      <c r="V50" s="1424"/>
      <c r="W50" s="1424"/>
      <c r="X50" s="1424"/>
      <c r="Y50" s="1424"/>
      <c r="Z50" s="1424"/>
      <c r="AA50" s="1424"/>
      <c r="AB50" s="1424"/>
      <c r="AC50" s="1424"/>
    </row>
    <row r="51" spans="1:29" s="114" customFormat="1" ht="15">
      <c r="A51" s="517" t="s">
        <v>2535</v>
      </c>
      <c r="B51" s="506"/>
      <c r="C51" s="518" t="s">
        <v>2637</v>
      </c>
      <c r="D51" s="519"/>
      <c r="E51" s="519"/>
      <c r="F51" s="519"/>
      <c r="G51" s="519"/>
      <c r="H51" s="519"/>
      <c r="I51" s="519"/>
      <c r="J51" s="519"/>
      <c r="K51" s="519"/>
      <c r="L51" s="520"/>
      <c r="M51" s="521"/>
      <c r="N51" s="1148"/>
      <c r="O51" s="1148"/>
      <c r="P51" s="1423"/>
      <c r="Q51" s="1420"/>
      <c r="R51" s="1424"/>
      <c r="S51" s="1424"/>
      <c r="T51" s="1424"/>
      <c r="U51" s="1424"/>
      <c r="V51" s="1424"/>
      <c r="W51" s="1424"/>
      <c r="X51" s="1424"/>
      <c r="Y51" s="1424"/>
      <c r="Z51" s="1424"/>
      <c r="AA51" s="1424"/>
      <c r="AB51" s="1424"/>
      <c r="AC51" s="1424"/>
    </row>
    <row r="52" spans="1:29" s="114" customFormat="1" ht="15.75" thickBot="1">
      <c r="A52" s="517"/>
      <c r="B52" s="506"/>
      <c r="C52" s="635">
        <v>100</v>
      </c>
      <c r="D52" s="508"/>
      <c r="E52" s="508"/>
      <c r="F52" s="508"/>
      <c r="G52" s="508"/>
      <c r="H52" s="508"/>
      <c r="I52" s="508"/>
      <c r="J52" s="508"/>
      <c r="K52" s="508"/>
      <c r="L52" s="508"/>
      <c r="M52" s="510"/>
      <c r="N52" s="1148"/>
      <c r="O52" s="1148"/>
      <c r="P52" s="1425"/>
      <c r="Q52" s="1420"/>
      <c r="R52" s="1424"/>
      <c r="S52" s="1424"/>
      <c r="T52" s="1424"/>
      <c r="U52" s="1424"/>
      <c r="V52" s="1424"/>
      <c r="W52" s="1424"/>
      <c r="X52" s="1424"/>
      <c r="Y52" s="1424"/>
      <c r="Z52" s="1424"/>
      <c r="AA52" s="1424"/>
      <c r="AB52" s="1424"/>
      <c r="AC52" s="1424"/>
    </row>
    <row r="53" spans="1:29">
      <c r="A53" s="523" t="s">
        <v>2573</v>
      </c>
      <c r="B53" s="524" t="s">
        <v>2539</v>
      </c>
      <c r="C53" s="525">
        <f>C9</f>
        <v>0</v>
      </c>
      <c r="D53" s="526"/>
      <c r="E53" s="526"/>
      <c r="F53" s="526"/>
      <c r="G53" s="526"/>
      <c r="H53" s="526"/>
      <c r="I53" s="526"/>
      <c r="J53" s="526"/>
      <c r="K53" s="527"/>
      <c r="L53" s="528"/>
      <c r="M53" s="529"/>
      <c r="N53" s="1149"/>
      <c r="O53" s="1149"/>
      <c r="P53" s="1426"/>
      <c r="Q53" s="1420"/>
      <c r="R53" s="1141"/>
      <c r="S53" s="1141"/>
      <c r="T53" s="1141"/>
      <c r="U53" s="1141"/>
      <c r="V53" s="1141"/>
      <c r="W53" s="1141"/>
      <c r="X53" s="1141"/>
      <c r="Y53" s="1141"/>
      <c r="Z53" s="1141"/>
      <c r="AA53" s="1141"/>
      <c r="AB53" s="1141"/>
      <c r="AC53" s="1141"/>
    </row>
    <row r="54" spans="1:29" ht="15.75" thickBot="1">
      <c r="A54" s="530"/>
      <c r="B54" s="531"/>
      <c r="C54" s="532">
        <v>100</v>
      </c>
      <c r="D54" s="532"/>
      <c r="E54" s="532"/>
      <c r="F54" s="532"/>
      <c r="G54" s="532"/>
      <c r="H54" s="532"/>
      <c r="I54" s="532"/>
      <c r="J54" s="532"/>
      <c r="K54" s="532"/>
      <c r="L54" s="532"/>
      <c r="M54" s="533"/>
      <c r="N54" s="1150"/>
      <c r="O54" s="1150"/>
      <c r="P54" s="1426"/>
      <c r="Q54" s="1420"/>
      <c r="R54" s="1141"/>
      <c r="S54" s="1141"/>
      <c r="T54" s="1141"/>
      <c r="U54" s="1141"/>
      <c r="V54" s="1141"/>
      <c r="W54" s="1141"/>
      <c r="X54" s="1141"/>
      <c r="Y54" s="1141"/>
      <c r="Z54" s="1141"/>
      <c r="AA54" s="1141"/>
      <c r="AB54" s="1141"/>
      <c r="AC54" s="1141"/>
    </row>
    <row r="55" spans="1:29" ht="27.75" thickTop="1">
      <c r="A55" s="530"/>
      <c r="B55" s="534" t="s">
        <v>2542</v>
      </c>
      <c r="C55" s="535" t="s">
        <v>2574</v>
      </c>
      <c r="D55" s="535" t="s">
        <v>2575</v>
      </c>
      <c r="E55" s="535" t="s">
        <v>2576</v>
      </c>
      <c r="F55" s="535" t="s">
        <v>2577</v>
      </c>
      <c r="G55" s="535" t="s">
        <v>2578</v>
      </c>
      <c r="H55" s="535" t="s">
        <v>2579</v>
      </c>
      <c r="I55" s="535" t="s">
        <v>2580</v>
      </c>
      <c r="J55" s="535"/>
      <c r="K55" s="536"/>
      <c r="L55" s="537"/>
      <c r="M55" s="538"/>
      <c r="N55" s="1149"/>
      <c r="O55" s="1149"/>
      <c r="P55" s="1426"/>
      <c r="Q55" s="1420"/>
      <c r="R55" s="1141"/>
      <c r="S55" s="1141"/>
      <c r="T55" s="1141"/>
      <c r="U55" s="1141"/>
      <c r="V55" s="1141"/>
      <c r="W55" s="1141"/>
      <c r="X55" s="1141"/>
      <c r="Y55" s="1141"/>
      <c r="Z55" s="1141"/>
      <c r="AA55" s="1141"/>
      <c r="AB55" s="1141"/>
      <c r="AC55" s="1141"/>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0"/>
      <c r="O56" s="1150"/>
      <c r="P56" s="1426"/>
      <c r="Q56" s="1420"/>
      <c r="R56" s="1141"/>
      <c r="S56" s="1141"/>
      <c r="T56" s="1141"/>
      <c r="U56" s="1141"/>
      <c r="V56" s="1141"/>
      <c r="W56" s="1141"/>
      <c r="X56" s="1141"/>
      <c r="Y56" s="1141"/>
      <c r="Z56" s="1141"/>
      <c r="AA56" s="1141"/>
      <c r="AB56" s="1141"/>
      <c r="AC56" s="1141"/>
    </row>
    <row r="57" spans="1:29" ht="15.75" thickTop="1">
      <c r="A57" s="530"/>
      <c r="B57" s="656">
        <f>B11</f>
        <v>111</v>
      </c>
      <c r="C57" s="545"/>
      <c r="D57" s="545"/>
      <c r="E57" s="545"/>
      <c r="F57" s="545"/>
      <c r="G57" s="545"/>
      <c r="H57" s="545"/>
      <c r="I57" s="545"/>
      <c r="J57" s="545"/>
      <c r="K57" s="546"/>
      <c r="L57" s="547"/>
      <c r="M57" s="548"/>
      <c r="N57" s="1149"/>
      <c r="O57" s="1149"/>
      <c r="P57" s="1426"/>
      <c r="Q57" s="1420"/>
      <c r="R57" s="1141"/>
      <c r="S57" s="1141"/>
      <c r="T57" s="1141"/>
      <c r="U57" s="1141"/>
      <c r="V57" s="1141"/>
      <c r="W57" s="1141"/>
      <c r="X57" s="1141"/>
      <c r="Y57" s="1141"/>
      <c r="Z57" s="1141"/>
      <c r="AA57" s="1141"/>
      <c r="AB57" s="1141"/>
      <c r="AC57" s="1141"/>
    </row>
    <row r="58" spans="1:29" ht="15.75" thickBot="1">
      <c r="A58" s="530"/>
      <c r="B58" s="531"/>
      <c r="C58" s="556"/>
      <c r="D58" s="532"/>
      <c r="E58" s="532"/>
      <c r="F58" s="532"/>
      <c r="G58" s="532"/>
      <c r="H58" s="532"/>
      <c r="I58" s="532"/>
      <c r="J58" s="532"/>
      <c r="K58" s="532"/>
      <c r="L58" s="532"/>
      <c r="M58" s="533"/>
      <c r="N58" s="1150"/>
      <c r="O58" s="1150"/>
      <c r="P58" s="1426"/>
      <c r="Q58" s="1420"/>
      <c r="R58" s="1141"/>
      <c r="S58" s="1141"/>
      <c r="T58" s="1141"/>
      <c r="U58" s="1141"/>
      <c r="V58" s="1141"/>
      <c r="W58" s="1141"/>
      <c r="X58" s="1141"/>
      <c r="Y58" s="1141"/>
      <c r="Z58" s="1141"/>
      <c r="AA58" s="1141"/>
      <c r="AB58" s="1141"/>
      <c r="AC58" s="1141"/>
    </row>
    <row r="59" spans="1:29" s="467" customFormat="1" ht="15.75" thickTop="1">
      <c r="A59" s="549"/>
      <c r="B59" s="534">
        <f>B12</f>
        <v>111</v>
      </c>
      <c r="C59" s="545"/>
      <c r="D59" s="545"/>
      <c r="E59" s="545"/>
      <c r="F59" s="545"/>
      <c r="G59" s="550"/>
      <c r="H59" s="551"/>
      <c r="I59" s="551"/>
      <c r="J59" s="551"/>
      <c r="K59" s="551"/>
      <c r="L59" s="552"/>
      <c r="M59" s="553"/>
      <c r="N59" s="1151"/>
      <c r="O59" s="1151"/>
      <c r="P59" s="1427"/>
      <c r="Q59" s="1428"/>
      <c r="R59" s="1429"/>
      <c r="S59" s="1429"/>
      <c r="T59" s="1429"/>
      <c r="U59" s="1429"/>
      <c r="V59" s="1429"/>
      <c r="W59" s="1429"/>
      <c r="X59" s="1429"/>
      <c r="Y59" s="1429"/>
      <c r="Z59" s="1429"/>
      <c r="AA59" s="1429"/>
      <c r="AB59" s="1429"/>
      <c r="AC59" s="1429"/>
    </row>
    <row r="60" spans="1:29" s="467" customFormat="1" ht="15.75" thickBot="1">
      <c r="A60" s="549"/>
      <c r="B60" s="539"/>
      <c r="C60" s="556"/>
      <c r="D60" s="532"/>
      <c r="E60" s="532"/>
      <c r="F60" s="532"/>
      <c r="G60" s="532"/>
      <c r="H60" s="532"/>
      <c r="I60" s="532"/>
      <c r="J60" s="532"/>
      <c r="K60" s="532"/>
      <c r="L60" s="532"/>
      <c r="M60" s="533"/>
      <c r="N60" s="1150"/>
      <c r="O60" s="1150"/>
      <c r="P60" s="1427"/>
      <c r="Q60" s="1428"/>
      <c r="R60" s="1429"/>
      <c r="S60" s="1429"/>
      <c r="T60" s="1429"/>
      <c r="U60" s="1429"/>
      <c r="V60" s="1429"/>
      <c r="W60" s="1429"/>
      <c r="X60" s="1429"/>
      <c r="Y60" s="1429"/>
      <c r="Z60" s="1429"/>
      <c r="AA60" s="1429"/>
      <c r="AB60" s="1429"/>
      <c r="AC60" s="1429"/>
    </row>
    <row r="61" spans="1:29" s="467" customFormat="1" ht="15.75" thickTop="1">
      <c r="A61" s="549"/>
      <c r="B61" s="534">
        <f>B13</f>
        <v>111</v>
      </c>
      <c r="C61" s="550"/>
      <c r="D61" s="550"/>
      <c r="E61" s="550"/>
      <c r="F61" s="550"/>
      <c r="G61" s="550"/>
      <c r="H61" s="551"/>
      <c r="I61" s="551"/>
      <c r="J61" s="551"/>
      <c r="K61" s="551"/>
      <c r="L61" s="552"/>
      <c r="M61" s="553"/>
      <c r="N61" s="1151"/>
      <c r="O61" s="1151"/>
      <c r="P61" s="1430"/>
      <c r="Q61" s="1431"/>
      <c r="R61" s="1429"/>
      <c r="S61" s="1429"/>
      <c r="T61" s="1429"/>
      <c r="U61" s="1429"/>
      <c r="V61" s="1429"/>
      <c r="W61" s="1429"/>
      <c r="X61" s="1429"/>
      <c r="Y61" s="1429"/>
      <c r="Z61" s="1429"/>
      <c r="AA61" s="1429"/>
      <c r="AB61" s="1429"/>
      <c r="AC61" s="1429"/>
    </row>
    <row r="62" spans="1:29" s="467" customFormat="1" ht="15.75" thickBot="1">
      <c r="A62" s="549"/>
      <c r="B62" s="539"/>
      <c r="C62" s="556"/>
      <c r="D62" s="556"/>
      <c r="E62" s="556"/>
      <c r="F62" s="556"/>
      <c r="G62" s="556"/>
      <c r="H62" s="558"/>
      <c r="I62" s="558"/>
      <c r="J62" s="558"/>
      <c r="K62" s="558"/>
      <c r="L62" s="558"/>
      <c r="M62" s="559"/>
      <c r="N62" s="1151"/>
      <c r="O62" s="1151"/>
      <c r="P62" s="1427"/>
      <c r="Q62" s="1428"/>
      <c r="R62" s="1429"/>
      <c r="S62" s="1429"/>
      <c r="T62" s="1429"/>
      <c r="U62" s="1429"/>
      <c r="V62" s="1429"/>
      <c r="W62" s="1429"/>
      <c r="X62" s="1429"/>
      <c r="Y62" s="1429"/>
      <c r="Z62" s="1429"/>
      <c r="AA62" s="1429"/>
      <c r="AB62" s="1429"/>
      <c r="AC62" s="1429"/>
    </row>
    <row r="63" spans="1:29" ht="15" thickTop="1">
      <c r="A63" s="523" t="s">
        <v>2544</v>
      </c>
      <c r="B63" s="524" t="s">
        <v>2587</v>
      </c>
      <c r="C63" s="569" t="s">
        <v>2582</v>
      </c>
      <c r="D63" s="569" t="s">
        <v>2583</v>
      </c>
      <c r="E63" s="569" t="s">
        <v>2584</v>
      </c>
      <c r="F63" s="569" t="s">
        <v>2585</v>
      </c>
      <c r="G63" s="569" t="s">
        <v>2586</v>
      </c>
      <c r="H63" s="525"/>
      <c r="I63" s="525"/>
      <c r="J63" s="525"/>
      <c r="K63" s="570"/>
      <c r="L63" s="571"/>
      <c r="M63" s="572"/>
      <c r="N63" s="1149"/>
      <c r="O63" s="1149"/>
      <c r="P63" s="1432"/>
      <c r="Q63" s="1420"/>
      <c r="R63" s="1141"/>
      <c r="S63" s="1141"/>
      <c r="T63" s="1141"/>
      <c r="U63" s="1141"/>
      <c r="V63" s="1141"/>
      <c r="W63" s="1141"/>
      <c r="X63" s="1141"/>
      <c r="Y63" s="1141"/>
      <c r="Z63" s="1141"/>
      <c r="AA63" s="1141"/>
      <c r="AB63" s="1141"/>
      <c r="AC63" s="1141"/>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0"/>
      <c r="O64" s="1150"/>
      <c r="P64" s="1426"/>
      <c r="Q64" s="1420"/>
      <c r="R64" s="1141"/>
      <c r="S64" s="1141"/>
      <c r="T64" s="1141"/>
      <c r="U64" s="1141"/>
      <c r="V64" s="1141"/>
      <c r="W64" s="1141"/>
      <c r="X64" s="1141"/>
      <c r="Y64" s="1141"/>
      <c r="Z64" s="1141"/>
      <c r="AA64" s="1141"/>
      <c r="AB64" s="1141"/>
      <c r="AC64" s="1141"/>
    </row>
    <row r="65" spans="1:29" ht="15.75" thickTop="1">
      <c r="A65" s="530"/>
      <c r="B65" s="534" t="s">
        <v>2588</v>
      </c>
      <c r="C65" s="574" t="s">
        <v>2582</v>
      </c>
      <c r="D65" s="574" t="s">
        <v>2583</v>
      </c>
      <c r="E65" s="574" t="s">
        <v>2584</v>
      </c>
      <c r="F65" s="574" t="s">
        <v>2585</v>
      </c>
      <c r="G65" s="574" t="s">
        <v>2586</v>
      </c>
      <c r="H65" s="535"/>
      <c r="I65" s="535"/>
      <c r="J65" s="535"/>
      <c r="K65" s="536"/>
      <c r="L65" s="537"/>
      <c r="M65" s="538"/>
      <c r="N65" s="1149"/>
      <c r="O65" s="1149"/>
      <c r="P65" s="1426"/>
      <c r="Q65" s="1420"/>
      <c r="R65" s="1141"/>
      <c r="S65" s="1141"/>
      <c r="T65" s="1141"/>
      <c r="U65" s="1141"/>
      <c r="V65" s="1141"/>
      <c r="W65" s="1141"/>
      <c r="X65" s="1141"/>
      <c r="Y65" s="1141"/>
      <c r="Z65" s="1141"/>
      <c r="AA65" s="1141"/>
      <c r="AB65" s="1141"/>
      <c r="AC65" s="1141"/>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0"/>
      <c r="O66" s="1150"/>
      <c r="P66" s="1426"/>
      <c r="Q66" s="1420"/>
      <c r="R66" s="1141"/>
      <c r="S66" s="1141"/>
      <c r="T66" s="1141"/>
      <c r="U66" s="1141"/>
      <c r="V66" s="1141"/>
      <c r="W66" s="1141"/>
      <c r="X66" s="1141"/>
      <c r="Y66" s="1141"/>
      <c r="Z66" s="1141"/>
      <c r="AA66" s="1141"/>
      <c r="AB66" s="1141"/>
      <c r="AC66" s="1141"/>
    </row>
    <row r="67" spans="1:29" ht="15.75" thickTop="1">
      <c r="A67" s="530"/>
      <c r="B67" s="542" t="s">
        <v>2674</v>
      </c>
      <c r="C67" s="656" t="s">
        <v>2660</v>
      </c>
      <c r="D67" s="656" t="s">
        <v>2661</v>
      </c>
      <c r="E67" s="656" t="s">
        <v>2662</v>
      </c>
      <c r="F67" s="656" t="s">
        <v>2663</v>
      </c>
      <c r="G67" s="656" t="s">
        <v>2664</v>
      </c>
      <c r="H67" s="535"/>
      <c r="I67" s="535"/>
      <c r="J67" s="535"/>
      <c r="K67" s="535"/>
      <c r="L67" s="535"/>
      <c r="M67" s="1379"/>
      <c r="N67" s="1150"/>
      <c r="O67" s="1150"/>
      <c r="P67" s="1426"/>
      <c r="Q67" s="1420"/>
      <c r="R67" s="1141"/>
      <c r="S67" s="1141"/>
      <c r="T67" s="1141"/>
      <c r="U67" s="1141"/>
      <c r="V67" s="1141"/>
      <c r="W67" s="1141"/>
      <c r="X67" s="1141"/>
      <c r="Y67" s="1141"/>
      <c r="Z67" s="1141"/>
      <c r="AA67" s="1141"/>
      <c r="AB67" s="1141"/>
      <c r="AC67" s="1141"/>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0"/>
      <c r="O68" s="1150"/>
      <c r="P68" s="1426"/>
      <c r="Q68" s="1420"/>
      <c r="R68" s="1141"/>
      <c r="S68" s="1141"/>
      <c r="T68" s="1141"/>
      <c r="U68" s="1141"/>
      <c r="V68" s="1141"/>
      <c r="W68" s="1141"/>
      <c r="X68" s="1141"/>
      <c r="Y68" s="1141"/>
      <c r="Z68" s="1141"/>
      <c r="AA68" s="1141"/>
      <c r="AB68" s="1141"/>
      <c r="AC68" s="1141"/>
    </row>
    <row r="69" spans="1:29" ht="15.75" thickTop="1">
      <c r="A69" s="530"/>
      <c r="B69" s="534" t="s">
        <v>2594</v>
      </c>
      <c r="C69" s="574" t="s">
        <v>2582</v>
      </c>
      <c r="D69" s="574" t="s">
        <v>2583</v>
      </c>
      <c r="E69" s="574" t="s">
        <v>2584</v>
      </c>
      <c r="F69" s="574" t="s">
        <v>2585</v>
      </c>
      <c r="G69" s="574" t="s">
        <v>2586</v>
      </c>
      <c r="H69" s="535"/>
      <c r="I69" s="535"/>
      <c r="J69" s="535"/>
      <c r="K69" s="536"/>
      <c r="L69" s="537"/>
      <c r="M69" s="538"/>
      <c r="N69" s="1149"/>
      <c r="O69" s="1149"/>
      <c r="P69" s="1426"/>
      <c r="Q69" s="1420"/>
      <c r="R69" s="1141"/>
      <c r="S69" s="1141"/>
      <c r="T69" s="1141"/>
      <c r="U69" s="1141"/>
      <c r="V69" s="1141"/>
      <c r="W69" s="1141"/>
      <c r="X69" s="1141"/>
      <c r="Y69" s="1141"/>
      <c r="Z69" s="1141"/>
      <c r="AA69" s="1141"/>
      <c r="AB69" s="1141"/>
      <c r="AC69" s="1141"/>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0"/>
      <c r="O70" s="1150"/>
      <c r="P70" s="1426"/>
      <c r="Q70" s="1420"/>
      <c r="R70" s="1141"/>
      <c r="S70" s="1141"/>
      <c r="T70" s="1141"/>
      <c r="U70" s="1141"/>
      <c r="V70" s="1141"/>
      <c r="W70" s="1141"/>
      <c r="X70" s="1141"/>
      <c r="Y70" s="1141"/>
      <c r="Z70" s="1141"/>
      <c r="AA70" s="1141"/>
      <c r="AB70" s="1141"/>
      <c r="AC70" s="1141"/>
    </row>
    <row r="71" spans="1:29" ht="15.75" thickTop="1">
      <c r="A71" s="530"/>
      <c r="B71" s="534" t="s">
        <v>2714</v>
      </c>
      <c r="C71" s="550"/>
      <c r="D71" s="550"/>
      <c r="E71" s="550"/>
      <c r="F71" s="550"/>
      <c r="G71" s="550"/>
      <c r="H71" s="579"/>
      <c r="I71" s="579"/>
      <c r="J71" s="579"/>
      <c r="K71" s="580"/>
      <c r="L71" s="581"/>
      <c r="M71" s="582"/>
      <c r="N71" s="1149"/>
      <c r="O71" s="1149"/>
      <c r="P71" s="1426"/>
      <c r="Q71" s="1420"/>
      <c r="R71" s="1141"/>
      <c r="S71" s="1141"/>
      <c r="T71" s="1141"/>
      <c r="U71" s="1141"/>
      <c r="V71" s="1141"/>
      <c r="W71" s="1141"/>
      <c r="X71" s="1141"/>
      <c r="Y71" s="1141"/>
      <c r="Z71" s="1141"/>
      <c r="AA71" s="1141"/>
      <c r="AB71" s="1141"/>
      <c r="AC71" s="1141"/>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0"/>
      <c r="O72" s="1150"/>
      <c r="P72" s="1426"/>
      <c r="Q72" s="1420"/>
      <c r="R72" s="1141"/>
      <c r="S72" s="1141"/>
      <c r="T72" s="1141"/>
      <c r="U72" s="1141"/>
      <c r="V72" s="1141"/>
      <c r="W72" s="1141"/>
      <c r="X72" s="1141"/>
      <c r="Y72" s="1141"/>
      <c r="Z72" s="1141"/>
      <c r="AA72" s="1141"/>
      <c r="AB72" s="1141"/>
      <c r="AC72" s="1141"/>
    </row>
    <row r="73" spans="1:29" s="114" customFormat="1" ht="15.75" thickTop="1">
      <c r="A73" s="575"/>
      <c r="B73" s="534">
        <f>B23</f>
        <v>111</v>
      </c>
      <c r="C73" s="545"/>
      <c r="D73" s="545"/>
      <c r="E73" s="545"/>
      <c r="F73" s="545"/>
      <c r="G73" s="550"/>
      <c r="H73" s="550"/>
      <c r="I73" s="550"/>
      <c r="J73" s="550"/>
      <c r="K73" s="550"/>
      <c r="L73" s="576"/>
      <c r="M73" s="577"/>
      <c r="N73" s="1148"/>
      <c r="O73" s="1148"/>
      <c r="P73" s="1426"/>
      <c r="Q73" s="1420"/>
      <c r="R73" s="1424"/>
      <c r="S73" s="1424"/>
      <c r="T73" s="1424"/>
      <c r="U73" s="1424"/>
      <c r="V73" s="1424"/>
      <c r="W73" s="1424"/>
      <c r="X73" s="1424"/>
      <c r="Y73" s="1424"/>
      <c r="Z73" s="1424"/>
      <c r="AA73" s="1424"/>
      <c r="AB73" s="1424"/>
      <c r="AC73" s="1424"/>
    </row>
    <row r="74" spans="1:29" s="114" customFormat="1" ht="15.75" thickBot="1">
      <c r="A74" s="575"/>
      <c r="B74" s="539"/>
      <c r="C74" s="556"/>
      <c r="D74" s="532"/>
      <c r="E74" s="532"/>
      <c r="F74" s="532"/>
      <c r="G74" s="532"/>
      <c r="H74" s="532"/>
      <c r="I74" s="532"/>
      <c r="J74" s="532"/>
      <c r="K74" s="532"/>
      <c r="L74" s="532"/>
      <c r="M74" s="533"/>
      <c r="N74" s="1150"/>
      <c r="O74" s="1150"/>
      <c r="P74" s="1426"/>
      <c r="Q74" s="1420"/>
      <c r="R74" s="1424"/>
      <c r="S74" s="1424"/>
      <c r="T74" s="1424"/>
      <c r="U74" s="1424"/>
      <c r="V74" s="1424"/>
      <c r="W74" s="1424"/>
      <c r="X74" s="1424"/>
      <c r="Y74" s="1424"/>
      <c r="Z74" s="1424"/>
      <c r="AA74" s="1424"/>
      <c r="AB74" s="1424"/>
      <c r="AC74" s="1424"/>
    </row>
    <row r="75" spans="1:29" s="114" customFormat="1" ht="15.75" thickTop="1">
      <c r="A75" s="575"/>
      <c r="B75" s="534">
        <f>B24</f>
        <v>111</v>
      </c>
      <c r="C75" s="545"/>
      <c r="D75" s="545"/>
      <c r="E75" s="545"/>
      <c r="F75" s="545"/>
      <c r="G75" s="550"/>
      <c r="H75" s="550"/>
      <c r="I75" s="550"/>
      <c r="J75" s="550"/>
      <c r="K75" s="550"/>
      <c r="L75" s="550"/>
      <c r="M75" s="577"/>
      <c r="N75" s="1148"/>
      <c r="O75" s="1148"/>
      <c r="P75" s="1426"/>
      <c r="Q75" s="1420"/>
      <c r="R75" s="1424"/>
      <c r="S75" s="1424"/>
      <c r="T75" s="1424"/>
      <c r="U75" s="1424"/>
      <c r="V75" s="1424"/>
      <c r="W75" s="1424"/>
      <c r="X75" s="1424"/>
      <c r="Y75" s="1424"/>
      <c r="Z75" s="1424"/>
      <c r="AA75" s="1424"/>
      <c r="AB75" s="1424"/>
      <c r="AC75" s="1424"/>
    </row>
    <row r="76" spans="1:29" s="114" customFormat="1" ht="15.75" thickBot="1">
      <c r="A76" s="575"/>
      <c r="B76" s="539"/>
      <c r="C76" s="556"/>
      <c r="D76" s="532"/>
      <c r="E76" s="532"/>
      <c r="F76" s="532"/>
      <c r="G76" s="532"/>
      <c r="H76" s="532"/>
      <c r="I76" s="532"/>
      <c r="J76" s="532"/>
      <c r="K76" s="532"/>
      <c r="L76" s="532"/>
      <c r="M76" s="533"/>
      <c r="N76" s="1150"/>
      <c r="O76" s="1150"/>
      <c r="P76" s="1426"/>
      <c r="Q76" s="1420"/>
      <c r="R76" s="1424"/>
      <c r="S76" s="1424"/>
      <c r="T76" s="1424"/>
      <c r="U76" s="1424"/>
      <c r="V76" s="1424"/>
      <c r="W76" s="1424"/>
      <c r="X76" s="1424"/>
      <c r="Y76" s="1424"/>
      <c r="Z76" s="1424"/>
      <c r="AA76" s="1424"/>
      <c r="AB76" s="1424"/>
      <c r="AC76" s="1424"/>
    </row>
    <row r="77" spans="1:29" s="467" customFormat="1" ht="15.75" thickTop="1">
      <c r="A77" s="549"/>
      <c r="B77" s="534">
        <f>B25</f>
        <v>111</v>
      </c>
      <c r="C77" s="550"/>
      <c r="D77" s="550"/>
      <c r="E77" s="550"/>
      <c r="F77" s="550"/>
      <c r="G77" s="550"/>
      <c r="H77" s="551"/>
      <c r="I77" s="551"/>
      <c r="J77" s="551"/>
      <c r="K77" s="551"/>
      <c r="L77" s="552"/>
      <c r="M77" s="553"/>
      <c r="N77" s="1151"/>
      <c r="O77" s="1151"/>
      <c r="P77" s="1427"/>
      <c r="Q77" s="1428"/>
      <c r="R77" s="1429"/>
      <c r="S77" s="1429"/>
      <c r="T77" s="1429"/>
      <c r="U77" s="1429"/>
      <c r="V77" s="1429"/>
      <c r="W77" s="1429"/>
      <c r="X77" s="1429"/>
      <c r="Y77" s="1429"/>
      <c r="Z77" s="1429"/>
      <c r="AA77" s="1429"/>
      <c r="AB77" s="1429"/>
      <c r="AC77" s="1429"/>
    </row>
    <row r="78" spans="1:29" s="467" customFormat="1" ht="15.75" thickBot="1">
      <c r="A78" s="549"/>
      <c r="B78" s="539"/>
      <c r="C78" s="556"/>
      <c r="D78" s="556"/>
      <c r="E78" s="556"/>
      <c r="F78" s="556"/>
      <c r="G78" s="532"/>
      <c r="H78" s="532"/>
      <c r="I78" s="532"/>
      <c r="J78" s="532"/>
      <c r="K78" s="532"/>
      <c r="L78" s="532"/>
      <c r="M78" s="533"/>
      <c r="N78" s="1151"/>
      <c r="O78" s="1151"/>
      <c r="P78" s="1427"/>
      <c r="Q78" s="1428"/>
      <c r="R78" s="1429"/>
      <c r="S78" s="1429"/>
      <c r="T78" s="1429"/>
      <c r="U78" s="1429"/>
      <c r="V78" s="1429"/>
      <c r="W78" s="1429"/>
      <c r="X78" s="1429"/>
      <c r="Y78" s="1429"/>
      <c r="Z78" s="1429"/>
      <c r="AA78" s="1429"/>
      <c r="AB78" s="1429"/>
      <c r="AC78" s="1429"/>
    </row>
    <row r="79" spans="1:29" ht="27.75" thickTop="1">
      <c r="A79" s="523" t="s">
        <v>2548</v>
      </c>
      <c r="B79" s="524" t="s">
        <v>2715</v>
      </c>
      <c r="C79" s="525">
        <f>C26</f>
        <v>0</v>
      </c>
      <c r="D79" s="526"/>
      <c r="E79" s="526"/>
      <c r="F79" s="526"/>
      <c r="G79" s="526"/>
      <c r="H79" s="526"/>
      <c r="I79" s="526"/>
      <c r="J79" s="526"/>
      <c r="K79" s="527"/>
      <c r="L79" s="528"/>
      <c r="M79" s="529"/>
      <c r="N79" s="1149"/>
      <c r="O79" s="1149"/>
      <c r="P79" s="1426"/>
      <c r="Q79" s="1420"/>
      <c r="R79" s="1141"/>
      <c r="S79" s="1141"/>
      <c r="T79" s="1141"/>
      <c r="U79" s="1141"/>
      <c r="V79" s="1141"/>
      <c r="W79" s="1141"/>
      <c r="X79" s="1141"/>
      <c r="Y79" s="1141"/>
      <c r="Z79" s="1141"/>
      <c r="AA79" s="1141"/>
      <c r="AB79" s="1141"/>
      <c r="AC79" s="1141"/>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0"/>
      <c r="B81" s="534" t="s">
        <v>2716</v>
      </c>
      <c r="C81" s="657"/>
      <c r="D81" s="657"/>
      <c r="E81" s="657"/>
      <c r="F81" s="657"/>
      <c r="G81" s="657"/>
      <c r="H81" s="657"/>
      <c r="I81" s="657"/>
      <c r="J81" s="657"/>
      <c r="K81" s="658"/>
      <c r="L81" s="659"/>
      <c r="M81" s="660"/>
      <c r="N81" s="1148"/>
      <c r="O81" s="1148"/>
      <c r="P81" s="1426"/>
      <c r="Q81" s="1420"/>
      <c r="R81" s="1141"/>
      <c r="S81" s="1141"/>
      <c r="T81" s="1141"/>
      <c r="U81" s="1141"/>
      <c r="V81" s="1141"/>
      <c r="W81" s="1141"/>
      <c r="X81" s="1141"/>
      <c r="Y81" s="1141"/>
      <c r="Z81" s="1141"/>
      <c r="AA81" s="1141"/>
      <c r="AB81" s="1141"/>
      <c r="AC81" s="1141"/>
    </row>
    <row r="82" spans="1:29" s="467" customFormat="1" ht="15.75" thickBot="1">
      <c r="A82" s="549"/>
      <c r="B82" s="539"/>
      <c r="C82" s="556"/>
      <c r="D82" s="532"/>
      <c r="E82" s="532"/>
      <c r="F82" s="532"/>
      <c r="G82" s="532"/>
      <c r="H82" s="532"/>
      <c r="I82" s="532"/>
      <c r="J82" s="532"/>
      <c r="K82" s="532"/>
      <c r="L82" s="532"/>
      <c r="M82" s="533"/>
      <c r="N82" s="1150"/>
      <c r="O82" s="1150"/>
      <c r="P82" s="1427"/>
      <c r="Q82" s="1428"/>
      <c r="R82" s="1429"/>
      <c r="S82" s="1429"/>
      <c r="T82" s="1429"/>
      <c r="U82" s="1429"/>
      <c r="V82" s="1429"/>
      <c r="W82" s="1429"/>
      <c r="X82" s="1429"/>
      <c r="Y82" s="1429"/>
      <c r="Z82" s="1429"/>
      <c r="AA82" s="1429"/>
      <c r="AB82" s="1429"/>
      <c r="AC82" s="1429"/>
    </row>
    <row r="83" spans="1:29" ht="15" thickTop="1">
      <c r="A83" s="595"/>
      <c r="B83" s="534" t="s">
        <v>2601</v>
      </c>
      <c r="C83" s="550"/>
      <c r="D83" s="550"/>
      <c r="E83" s="579"/>
      <c r="F83" s="579"/>
      <c r="G83" s="579"/>
      <c r="H83" s="579"/>
      <c r="I83" s="579"/>
      <c r="J83" s="579"/>
      <c r="K83" s="580"/>
      <c r="L83" s="581"/>
      <c r="M83" s="582"/>
      <c r="N83" s="1149"/>
      <c r="O83" s="1149"/>
      <c r="P83" s="1426"/>
      <c r="Q83" s="1420"/>
      <c r="R83" s="1141"/>
      <c r="S83" s="1141"/>
      <c r="T83" s="1141"/>
      <c r="U83" s="1141"/>
      <c r="V83" s="1141"/>
      <c r="W83" s="1141"/>
      <c r="X83" s="1141"/>
      <c r="Y83" s="1141"/>
      <c r="Z83" s="1141"/>
      <c r="AA83" s="1141"/>
      <c r="AB83" s="1141"/>
      <c r="AC83" s="1141"/>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5"/>
      <c r="B85" s="534" t="s">
        <v>2717</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9"/>
      <c r="O85" s="1149"/>
      <c r="P85" s="1426"/>
      <c r="Q85" s="1420"/>
      <c r="R85" s="1141"/>
      <c r="S85" s="1141"/>
      <c r="T85" s="1141"/>
      <c r="U85" s="1141"/>
      <c r="V85" s="1141"/>
      <c r="W85" s="1141"/>
      <c r="X85" s="1141"/>
      <c r="Y85" s="1141"/>
      <c r="Z85" s="1141"/>
      <c r="AA85" s="1141"/>
      <c r="AB85" s="1141"/>
      <c r="AC85" s="1141"/>
    </row>
    <row r="86" spans="1:29">
      <c r="A86" s="595"/>
      <c r="B86" s="542"/>
      <c r="C86" s="599">
        <v>0.5</v>
      </c>
      <c r="D86" s="599">
        <v>0.6</v>
      </c>
      <c r="E86" s="599">
        <v>0.7</v>
      </c>
      <c r="F86" s="599">
        <v>0.8</v>
      </c>
      <c r="G86" s="599">
        <v>0.9</v>
      </c>
      <c r="H86" s="599">
        <v>1.0001</v>
      </c>
      <c r="I86" s="619"/>
      <c r="J86" s="619"/>
      <c r="K86" s="620"/>
      <c r="L86" s="621"/>
      <c r="M86" s="622"/>
      <c r="N86" s="1149"/>
      <c r="O86" s="1149"/>
      <c r="P86" s="1426"/>
      <c r="Q86" s="1420"/>
      <c r="R86" s="1141"/>
      <c r="S86" s="1141"/>
      <c r="T86" s="1141"/>
      <c r="U86" s="1141"/>
      <c r="V86" s="1141"/>
      <c r="W86" s="1141"/>
      <c r="X86" s="1141"/>
      <c r="Y86" s="1141"/>
      <c r="Z86" s="1141"/>
      <c r="AA86" s="1141"/>
      <c r="AB86" s="1141"/>
      <c r="AC86" s="1141"/>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5"/>
      <c r="B88" s="542" t="s">
        <v>2718</v>
      </c>
      <c r="C88" s="526"/>
      <c r="D88" s="526"/>
      <c r="E88" s="526"/>
      <c r="F88" s="526"/>
      <c r="G88" s="526"/>
      <c r="H88" s="526"/>
      <c r="I88" s="526"/>
      <c r="J88" s="526"/>
      <c r="K88" s="527"/>
      <c r="L88" s="528"/>
      <c r="M88" s="529"/>
      <c r="N88" s="1149"/>
      <c r="O88" s="1149"/>
      <c r="P88" s="1426"/>
      <c r="Q88" s="1420"/>
      <c r="R88" s="1141"/>
      <c r="S88" s="1141"/>
      <c r="T88" s="1141"/>
      <c r="U88" s="1141"/>
      <c r="V88" s="1141"/>
      <c r="W88" s="1141"/>
      <c r="X88" s="1141"/>
      <c r="Y88" s="1141"/>
      <c r="Z88" s="1141"/>
      <c r="AA88" s="1141"/>
      <c r="AB88" s="1141"/>
      <c r="AC88" s="1141"/>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0"/>
      <c r="O89" s="1150"/>
      <c r="P89" s="1426"/>
      <c r="Q89" s="1420"/>
      <c r="R89" s="1141"/>
      <c r="S89" s="1141"/>
      <c r="T89" s="1141"/>
      <c r="U89" s="1141"/>
      <c r="V89" s="1141"/>
      <c r="W89" s="1141"/>
      <c r="X89" s="1141"/>
      <c r="Y89" s="1141"/>
      <c r="Z89" s="1141"/>
      <c r="AA89" s="1141"/>
      <c r="AB89" s="1141"/>
      <c r="AC89" s="1141"/>
    </row>
    <row r="90" spans="1:29" s="467" customFormat="1" ht="15" thickTop="1">
      <c r="A90" s="589"/>
      <c r="B90" s="534" t="s">
        <v>2719</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1"/>
      <c r="O90" s="1151"/>
      <c r="P90" s="1427"/>
      <c r="Q90" s="1428"/>
      <c r="R90" s="1429"/>
      <c r="S90" s="1429"/>
      <c r="T90" s="1429"/>
      <c r="U90" s="1429"/>
      <c r="V90" s="1429"/>
      <c r="W90" s="1429"/>
      <c r="X90" s="1429"/>
      <c r="Y90" s="1429"/>
      <c r="Z90" s="1429"/>
      <c r="AA90" s="1429"/>
      <c r="AB90" s="1429"/>
      <c r="AC90" s="1429"/>
    </row>
    <row r="91" spans="1:29" s="467" customFormat="1">
      <c r="A91" s="589"/>
      <c r="B91" s="542"/>
      <c r="C91" s="591"/>
      <c r="D91" s="591"/>
      <c r="E91" s="591"/>
      <c r="F91" s="591"/>
      <c r="G91" s="591"/>
      <c r="H91" s="591"/>
      <c r="I91" s="591"/>
      <c r="J91" s="592"/>
      <c r="K91" s="592"/>
      <c r="L91" s="593"/>
      <c r="M91" s="594"/>
      <c r="N91" s="1151"/>
      <c r="O91" s="1151"/>
      <c r="P91" s="1427"/>
      <c r="Q91" s="1428"/>
      <c r="R91" s="1429"/>
      <c r="S91" s="1429"/>
      <c r="T91" s="1429"/>
      <c r="U91" s="1429"/>
      <c r="V91" s="1429"/>
      <c r="W91" s="1429"/>
      <c r="X91" s="1429"/>
      <c r="Y91" s="1429"/>
      <c r="Z91" s="1429"/>
      <c r="AA91" s="1429"/>
      <c r="AB91" s="1429"/>
      <c r="AC91" s="1429"/>
    </row>
    <row r="92" spans="1:29" s="467" customFormat="1" ht="15.75" thickBot="1">
      <c r="A92" s="549"/>
      <c r="B92" s="539"/>
      <c r="C92" s="556"/>
      <c r="D92" s="532"/>
      <c r="E92" s="532"/>
      <c r="F92" s="532"/>
      <c r="G92" s="532"/>
      <c r="H92" s="532"/>
      <c r="I92" s="532"/>
      <c r="J92" s="532"/>
      <c r="K92" s="532"/>
      <c r="L92" s="532"/>
      <c r="M92" s="533"/>
      <c r="N92" s="1151"/>
      <c r="O92" s="1151"/>
      <c r="P92" s="1427"/>
      <c r="Q92" s="1428"/>
      <c r="R92" s="1429"/>
      <c r="S92" s="1429"/>
      <c r="T92" s="1429"/>
      <c r="U92" s="1429"/>
      <c r="V92" s="1429"/>
      <c r="W92" s="1429"/>
      <c r="X92" s="1429"/>
      <c r="Y92" s="1429"/>
      <c r="Z92" s="1429"/>
      <c r="AA92" s="1429"/>
      <c r="AB92" s="1429"/>
      <c r="AC92" s="1429"/>
    </row>
    <row r="93" spans="1:29" ht="15" thickTop="1">
      <c r="A93" s="595"/>
      <c r="B93" s="534" t="s">
        <v>2720</v>
      </c>
      <c r="C93" s="550"/>
      <c r="D93" s="550"/>
      <c r="E93" s="579"/>
      <c r="F93" s="579"/>
      <c r="G93" s="579"/>
      <c r="H93" s="579"/>
      <c r="I93" s="579"/>
      <c r="J93" s="579"/>
      <c r="K93" s="580"/>
      <c r="L93" s="581"/>
      <c r="M93" s="582"/>
      <c r="N93" s="1149"/>
      <c r="O93" s="1149"/>
      <c r="P93" s="1426"/>
      <c r="Q93" s="1420"/>
      <c r="R93" s="1141"/>
      <c r="S93" s="1141"/>
      <c r="T93" s="1141"/>
      <c r="U93" s="1141"/>
      <c r="V93" s="1141"/>
      <c r="W93" s="1141"/>
      <c r="X93" s="1141"/>
      <c r="Y93" s="1141"/>
      <c r="Z93" s="1141"/>
      <c r="AA93" s="1141"/>
      <c r="AB93" s="1141"/>
      <c r="AC93" s="1141"/>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5"/>
      <c r="B95" s="534" t="s">
        <v>2721</v>
      </c>
      <c r="C95" s="526"/>
      <c r="D95" s="526"/>
      <c r="E95" s="526"/>
      <c r="F95" s="526"/>
      <c r="G95" s="526"/>
      <c r="H95" s="526"/>
      <c r="I95" s="526"/>
      <c r="J95" s="526"/>
      <c r="K95" s="527"/>
      <c r="L95" s="528"/>
      <c r="M95" s="529"/>
      <c r="N95" s="1149"/>
      <c r="O95" s="1149"/>
      <c r="P95" s="1426"/>
      <c r="Q95" s="1420"/>
      <c r="R95" s="1141"/>
      <c r="S95" s="1141"/>
      <c r="T95" s="1141"/>
      <c r="U95" s="1141"/>
      <c r="V95" s="1141"/>
      <c r="W95" s="1141"/>
      <c r="X95" s="1141"/>
      <c r="Y95" s="1141"/>
      <c r="Z95" s="1141"/>
      <c r="AA95" s="1141"/>
      <c r="AB95" s="1141"/>
      <c r="AC95" s="1141"/>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0"/>
      <c r="O96" s="1150"/>
      <c r="P96" s="1426"/>
      <c r="Q96" s="1420"/>
      <c r="R96" s="1141"/>
      <c r="S96" s="1141"/>
      <c r="T96" s="1141"/>
      <c r="U96" s="1141"/>
      <c r="V96" s="1141"/>
      <c r="W96" s="1141"/>
      <c r="X96" s="1141"/>
      <c r="Y96" s="1141"/>
      <c r="Z96" s="1141"/>
      <c r="AA96" s="1141"/>
      <c r="AB96" s="1141"/>
      <c r="AC96" s="1141"/>
    </row>
    <row r="97" spans="1:29" ht="15" thickTop="1">
      <c r="A97" s="595"/>
      <c r="B97" s="632">
        <f>B34</f>
        <v>111</v>
      </c>
      <c r="C97" s="545"/>
      <c r="D97" s="545"/>
      <c r="E97" s="545"/>
      <c r="F97" s="545"/>
      <c r="G97" s="550"/>
      <c r="H97" s="551"/>
      <c r="I97" s="551"/>
      <c r="J97" s="551"/>
      <c r="K97" s="551"/>
      <c r="L97" s="552"/>
      <c r="M97" s="553"/>
      <c r="N97" s="1150"/>
      <c r="O97" s="1150"/>
      <c r="P97" s="1433"/>
      <c r="Q97" s="1434"/>
      <c r="R97" s="1141"/>
      <c r="S97" s="1141"/>
      <c r="T97" s="1141"/>
      <c r="U97" s="1141"/>
      <c r="V97" s="1141"/>
      <c r="W97" s="1141"/>
      <c r="X97" s="1141"/>
      <c r="Y97" s="1141"/>
      <c r="Z97" s="1141"/>
      <c r="AA97" s="1141"/>
      <c r="AB97" s="1141"/>
      <c r="AC97" s="1141"/>
    </row>
    <row r="98" spans="1:29" ht="15.75" thickBot="1">
      <c r="A98" s="530"/>
      <c r="B98" s="539"/>
      <c r="C98" s="556"/>
      <c r="D98" s="532"/>
      <c r="E98" s="532"/>
      <c r="F98" s="532"/>
      <c r="G98" s="556"/>
      <c r="H98" s="558"/>
      <c r="I98" s="558"/>
      <c r="J98" s="558"/>
      <c r="K98" s="558"/>
      <c r="L98" s="558"/>
      <c r="M98" s="559"/>
      <c r="N98" s="1150"/>
      <c r="O98" s="1150"/>
      <c r="P98" s="1426"/>
      <c r="Q98" s="1420"/>
      <c r="R98" s="1141"/>
      <c r="S98" s="1141"/>
      <c r="T98" s="1141"/>
      <c r="U98" s="1141"/>
      <c r="V98" s="1141"/>
      <c r="W98" s="1141"/>
      <c r="X98" s="1141"/>
      <c r="Y98" s="1141"/>
      <c r="Z98" s="1141"/>
      <c r="AA98" s="1141"/>
      <c r="AB98" s="1141"/>
      <c r="AC98" s="1141"/>
    </row>
    <row r="99" spans="1:29" s="467" customFormat="1" ht="15" thickTop="1">
      <c r="A99" s="589"/>
      <c r="B99" s="534">
        <f>B35</f>
        <v>111</v>
      </c>
      <c r="C99" s="545"/>
      <c r="D99" s="545"/>
      <c r="E99" s="545"/>
      <c r="F99" s="545"/>
      <c r="G99" s="550"/>
      <c r="H99" s="551"/>
      <c r="I99" s="551"/>
      <c r="J99" s="551"/>
      <c r="K99" s="551"/>
      <c r="L99" s="552"/>
      <c r="M99" s="553"/>
      <c r="N99" s="1151"/>
      <c r="O99" s="1151"/>
      <c r="P99" s="1427"/>
      <c r="Q99" s="1428"/>
      <c r="R99" s="1429"/>
      <c r="S99" s="1429"/>
      <c r="T99" s="1429"/>
      <c r="U99" s="1429"/>
      <c r="V99" s="1429"/>
      <c r="W99" s="1429"/>
      <c r="X99" s="1429"/>
      <c r="Y99" s="1429"/>
      <c r="Z99" s="1429"/>
      <c r="AA99" s="1429"/>
      <c r="AB99" s="1429"/>
      <c r="AC99" s="1429"/>
    </row>
    <row r="100" spans="1:29" s="467" customFormat="1" ht="15.75" thickBot="1">
      <c r="A100" s="549"/>
      <c r="B100" s="531"/>
      <c r="C100" s="556"/>
      <c r="D100" s="532"/>
      <c r="E100" s="532"/>
      <c r="F100" s="532"/>
      <c r="G100" s="556"/>
      <c r="H100" s="558"/>
      <c r="I100" s="558"/>
      <c r="J100" s="558"/>
      <c r="K100" s="558"/>
      <c r="L100" s="558"/>
      <c r="M100" s="559"/>
      <c r="N100" s="1151"/>
      <c r="O100" s="1151"/>
      <c r="P100" s="1427"/>
      <c r="Q100" s="1428"/>
      <c r="R100" s="1429"/>
      <c r="S100" s="1429"/>
      <c r="T100" s="1429"/>
      <c r="U100" s="1429"/>
      <c r="V100" s="1429"/>
      <c r="W100" s="1429"/>
      <c r="X100" s="1429"/>
      <c r="Y100" s="1429"/>
      <c r="Z100" s="1429"/>
      <c r="AA100" s="1429"/>
      <c r="AB100" s="1429"/>
      <c r="AC100" s="1429"/>
    </row>
    <row r="101" spans="1:29" ht="15" thickTop="1">
      <c r="A101" s="595"/>
      <c r="B101" s="534">
        <f>B36</f>
        <v>111</v>
      </c>
      <c r="C101" s="550"/>
      <c r="D101" s="550"/>
      <c r="E101" s="550"/>
      <c r="F101" s="550"/>
      <c r="G101" s="550"/>
      <c r="H101" s="551"/>
      <c r="I101" s="551"/>
      <c r="J101" s="551"/>
      <c r="K101" s="551"/>
      <c r="L101" s="552"/>
      <c r="M101" s="553"/>
      <c r="N101" s="1149"/>
      <c r="O101" s="1149"/>
      <c r="P101" s="1426"/>
      <c r="Q101" s="1420"/>
      <c r="R101" s="1141"/>
      <c r="S101" s="1141"/>
      <c r="T101" s="1141"/>
      <c r="U101" s="1141"/>
      <c r="V101" s="1141"/>
      <c r="W101" s="1141"/>
      <c r="X101" s="1141"/>
      <c r="Y101" s="1141"/>
      <c r="Z101" s="1141"/>
      <c r="AA101" s="1141"/>
      <c r="AB101" s="1141"/>
      <c r="AC101" s="1141"/>
    </row>
    <row r="102" spans="1:29" ht="15.75" thickBot="1">
      <c r="A102" s="530"/>
      <c r="B102" s="539"/>
      <c r="C102" s="556"/>
      <c r="D102" s="556"/>
      <c r="E102" s="556"/>
      <c r="F102" s="556"/>
      <c r="G102" s="556"/>
      <c r="H102" s="558"/>
      <c r="I102" s="558"/>
      <c r="J102" s="558"/>
      <c r="K102" s="558"/>
      <c r="L102" s="558"/>
      <c r="M102" s="559"/>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2692</v>
      </c>
      <c r="B1" s="1616"/>
      <c r="C1" s="1617" t="s">
        <v>2515</v>
      </c>
      <c r="D1" s="1618"/>
      <c r="E1" s="1627"/>
      <c r="F1" s="2580"/>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2314</v>
      </c>
      <c r="B2" s="1415" t="e">
        <f ca="1">IF(C2="——",ROUND(C37*D3/10000,0),ROUND(C37*D3/10000,0)-D2)</f>
        <v>#DIV/0!</v>
      </c>
      <c r="C2" s="2582"/>
      <c r="D2" s="1121" t="e">
        <f ca="1">SUMIF(INDIRECT("'"&amp;F2&amp;"'"&amp;"!A:A"),"承租人权益价值",INDIRECT("'"&amp;F2&amp;"'"&amp;"!c:c"))</f>
        <v>#REF!</v>
      </c>
      <c r="E2" s="2583" t="s">
        <v>2315</v>
      </c>
      <c r="F2" s="2584"/>
      <c r="G2" s="1122"/>
      <c r="H2" s="1122"/>
      <c r="I2" s="1122"/>
      <c r="J2" s="1122"/>
      <c r="K2" s="1124"/>
      <c r="L2" s="1125"/>
      <c r="M2" s="1126"/>
      <c r="N2" s="1126"/>
      <c r="O2" s="1126"/>
      <c r="P2" s="762"/>
      <c r="Q2" s="762"/>
      <c r="R2" s="762"/>
      <c r="S2" s="762"/>
      <c r="T2" s="762"/>
      <c r="U2" s="762"/>
      <c r="V2" s="762"/>
      <c r="W2" s="762"/>
      <c r="X2" s="762"/>
      <c r="Y2" s="762"/>
      <c r="Z2" s="762"/>
      <c r="AA2" s="762"/>
      <c r="AB2" s="762"/>
      <c r="AC2" s="763"/>
    </row>
    <row r="3" spans="1:29" s="394" customFormat="1" ht="28.5" customHeight="1" thickBot="1">
      <c r="A3" s="243" t="s">
        <v>2316</v>
      </c>
      <c r="B3" s="605" t="e">
        <f ca="1">IF(C2="——",C37,ROUND(B2*10000/D3,0))</f>
        <v>#DIV/0!</v>
      </c>
      <c r="C3" s="396" t="s">
        <v>2629</v>
      </c>
      <c r="D3" s="395">
        <f>SUMIF('数据-汇总表'!$C19:$C33,D1,'数据-汇总表'!$E19:$E33)</f>
        <v>0</v>
      </c>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397" t="s">
        <v>2630</v>
      </c>
      <c r="B4" s="398"/>
      <c r="C4" s="3169" t="s">
        <v>2631</v>
      </c>
      <c r="D4" s="3170"/>
      <c r="E4" s="3171" t="s">
        <v>2632</v>
      </c>
      <c r="F4" s="3172"/>
      <c r="G4" s="3169" t="s">
        <v>2633</v>
      </c>
      <c r="H4" s="3170"/>
      <c r="I4" s="3169" t="s">
        <v>2634</v>
      </c>
      <c r="J4" s="3170"/>
      <c r="K4" s="606" t="s">
        <v>2635</v>
      </c>
      <c r="L4" s="1127"/>
      <c r="M4" s="1128"/>
      <c r="N4" s="1128"/>
      <c r="O4" s="1128"/>
      <c r="P4" s="3173" t="s">
        <v>2636</v>
      </c>
      <c r="Q4" s="3174"/>
      <c r="R4" s="3179" t="s">
        <v>2632</v>
      </c>
      <c r="S4" s="3180"/>
      <c r="T4" s="3179" t="s">
        <v>2633</v>
      </c>
      <c r="U4" s="3180"/>
      <c r="V4" s="3185" t="s">
        <v>2634</v>
      </c>
      <c r="W4" s="3185"/>
      <c r="X4" s="1810"/>
      <c r="Y4" s="3179" t="s">
        <v>2636</v>
      </c>
      <c r="Z4" s="3180"/>
      <c r="AA4" s="3166" t="s">
        <v>2632</v>
      </c>
      <c r="AB4" s="3167" t="s">
        <v>2633</v>
      </c>
      <c r="AC4" s="3166" t="s">
        <v>2634</v>
      </c>
    </row>
    <row r="5" spans="1:29" ht="15">
      <c r="A5" s="400"/>
      <c r="B5" s="401"/>
      <c r="C5" s="3188" t="s">
        <v>2527</v>
      </c>
      <c r="D5" s="3189"/>
      <c r="E5" s="3195" t="s">
        <v>2528</v>
      </c>
      <c r="F5" s="3196"/>
      <c r="G5" s="3188" t="s">
        <v>2529</v>
      </c>
      <c r="H5" s="3189"/>
      <c r="I5" s="3188" t="s">
        <v>2530</v>
      </c>
      <c r="J5" s="3189"/>
      <c r="K5" s="606"/>
      <c r="L5" s="1127"/>
      <c r="M5" s="1128"/>
      <c r="N5" s="1128"/>
      <c r="O5" s="1128"/>
      <c r="P5" s="3175"/>
      <c r="Q5" s="3176"/>
      <c r="R5" s="3181"/>
      <c r="S5" s="3182"/>
      <c r="T5" s="3181"/>
      <c r="U5" s="3182"/>
      <c r="V5" s="3185"/>
      <c r="W5" s="3185"/>
      <c r="X5" s="1810"/>
      <c r="Y5" s="3181"/>
      <c r="Z5" s="3182"/>
      <c r="AA5" s="3167"/>
      <c r="AB5" s="3167"/>
      <c r="AC5" s="3167"/>
    </row>
    <row r="6" spans="1:29" ht="15.75" thickBot="1">
      <c r="A6" s="402"/>
      <c r="B6" s="403"/>
      <c r="C6" s="3186" t="s">
        <v>2531</v>
      </c>
      <c r="D6" s="3187"/>
      <c r="E6" s="3193" t="s">
        <v>2531</v>
      </c>
      <c r="F6" s="3194"/>
      <c r="G6" s="3186" t="s">
        <v>2531</v>
      </c>
      <c r="H6" s="3187"/>
      <c r="I6" s="3186" t="s">
        <v>2531</v>
      </c>
      <c r="J6" s="3187"/>
      <c r="K6" s="606" t="s">
        <v>2532</v>
      </c>
      <c r="L6" s="1127"/>
      <c r="M6" s="1128"/>
      <c r="N6" s="1128"/>
      <c r="O6" s="1128"/>
      <c r="P6" s="3177"/>
      <c r="Q6" s="3178"/>
      <c r="R6" s="3181"/>
      <c r="S6" s="3182"/>
      <c r="T6" s="3183"/>
      <c r="U6" s="3184"/>
      <c r="V6" s="3185"/>
      <c r="W6" s="3185"/>
      <c r="X6" s="1810"/>
      <c r="Y6" s="3183"/>
      <c r="Z6" s="3184"/>
      <c r="AA6" s="3168"/>
      <c r="AB6" s="3168"/>
      <c r="AC6" s="3168"/>
    </row>
    <row r="7" spans="1:29" s="114" customFormat="1" ht="15.75" thickBot="1">
      <c r="A7" s="404" t="s">
        <v>2533</v>
      </c>
      <c r="B7" s="405"/>
      <c r="C7" s="406">
        <f>'数据-取费表'!B2</f>
        <v>43237</v>
      </c>
      <c r="D7" s="407">
        <v>100</v>
      </c>
      <c r="E7" s="408"/>
      <c r="F7" s="409">
        <f>SUMIF(46:46,YEAR(E7)&amp;"-"&amp;MONTH(E7),47:47)</f>
        <v>0</v>
      </c>
      <c r="G7" s="2692"/>
      <c r="H7" s="407">
        <f>SUMIF(46:46,YEAR(G7)&amp;"-"&amp;MONTH(G7),47:47)</f>
        <v>0</v>
      </c>
      <c r="I7" s="408"/>
      <c r="J7" s="407">
        <f>SUMIF(46:46,YEAR(I7)&amp;"-"&amp;MONTH(I7),47:47)</f>
        <v>0</v>
      </c>
      <c r="K7" s="607"/>
      <c r="L7" s="1129"/>
      <c r="M7" s="1130"/>
      <c r="N7" s="1130"/>
      <c r="O7" s="1130"/>
      <c r="P7" s="3190" t="s">
        <v>2534</v>
      </c>
      <c r="Q7" s="3192"/>
      <c r="R7" s="764" t="s">
        <v>17</v>
      </c>
      <c r="S7" s="765">
        <f t="shared" ref="S7:S14" si="0">F7</f>
        <v>0</v>
      </c>
      <c r="T7" s="764" t="s">
        <v>17</v>
      </c>
      <c r="U7" s="765">
        <f t="shared" ref="U7:U14" si="1">H7</f>
        <v>0</v>
      </c>
      <c r="V7" s="764" t="s">
        <v>17</v>
      </c>
      <c r="W7" s="765">
        <f t="shared" ref="W7:W14" si="2">J7</f>
        <v>0</v>
      </c>
      <c r="X7" s="766"/>
      <c r="Y7" s="3190" t="s">
        <v>2534</v>
      </c>
      <c r="Z7" s="3191"/>
      <c r="AA7" s="767" t="e">
        <f>D7/F7</f>
        <v>#DIV/0!</v>
      </c>
      <c r="AB7" s="767" t="e">
        <f>D7/H7</f>
        <v>#DIV/0!</v>
      </c>
      <c r="AC7" s="767" t="e">
        <f>D7/J7</f>
        <v>#DIV/0!</v>
      </c>
    </row>
    <row r="8" spans="1:29" s="114" customFormat="1" ht="15.75" thickBot="1">
      <c r="A8" s="404" t="s">
        <v>2535</v>
      </c>
      <c r="B8" s="405"/>
      <c r="C8" s="410" t="s">
        <v>2637</v>
      </c>
      <c r="D8" s="407">
        <v>100</v>
      </c>
      <c r="E8" s="410"/>
      <c r="F8" s="409">
        <f>SUMIF(49:49,E8,50:50)-SUMIF(49:49,C8,50:50)+100</f>
        <v>0</v>
      </c>
      <c r="G8" s="410"/>
      <c r="H8" s="407">
        <f>SUMIF(49:49,G8,50:50)-SUMIF(49:49,C8,50:50)+100</f>
        <v>0</v>
      </c>
      <c r="I8" s="410"/>
      <c r="J8" s="407">
        <f>SUMIF(49:49,I8,50:50)-SUMIF(49:49,C8,50:50)+100</f>
        <v>0</v>
      </c>
      <c r="K8" s="607"/>
      <c r="L8" s="1129"/>
      <c r="M8" s="1130"/>
      <c r="N8" s="1130"/>
      <c r="O8" s="1130"/>
      <c r="P8" s="3190" t="s">
        <v>2537</v>
      </c>
      <c r="Q8" s="3191"/>
      <c r="R8" s="764" t="s">
        <v>17</v>
      </c>
      <c r="S8" s="765">
        <f t="shared" si="0"/>
        <v>0</v>
      </c>
      <c r="T8" s="764" t="s">
        <v>17</v>
      </c>
      <c r="U8" s="765">
        <f t="shared" si="1"/>
        <v>0</v>
      </c>
      <c r="V8" s="764" t="s">
        <v>17</v>
      </c>
      <c r="W8" s="765">
        <f t="shared" si="2"/>
        <v>0</v>
      </c>
      <c r="X8" s="766"/>
      <c r="Y8" s="3190" t="s">
        <v>2537</v>
      </c>
      <c r="Z8" s="3191"/>
      <c r="AA8" s="767" t="e">
        <f t="shared" ref="AA8:AA34" si="3">D8/F8</f>
        <v>#DIV/0!</v>
      </c>
      <c r="AB8" s="767" t="e">
        <f t="shared" ref="AB8:AB34" si="4">D8/H8</f>
        <v>#DIV/0!</v>
      </c>
      <c r="AC8" s="767" t="e">
        <f t="shared" ref="AC8:AC34" si="5">D8/J8</f>
        <v>#DIV/0!</v>
      </c>
    </row>
    <row r="9" spans="1:29" s="114" customFormat="1">
      <c r="A9" s="411" t="s">
        <v>2538</v>
      </c>
      <c r="B9" s="69" t="s">
        <v>2539</v>
      </c>
      <c r="C9" s="412"/>
      <c r="D9" s="131">
        <v>100</v>
      </c>
      <c r="E9" s="415"/>
      <c r="F9" s="414">
        <f>SUMIF(51:51,E9,52:52)-SUMIF(51:51,C9,52:52)+100</f>
        <v>100</v>
      </c>
      <c r="G9" s="415"/>
      <c r="H9" s="131">
        <f>SUMIF(51:51,G9,52:52)-SUMIF(51:51,C9,52:52)+100</f>
        <v>100</v>
      </c>
      <c r="I9" s="415"/>
      <c r="J9" s="131">
        <f>SUMIF(51:51,I9,52:52)-SUMIF(51:51,C9,52:52)+100</f>
        <v>100</v>
      </c>
      <c r="K9" s="607"/>
      <c r="L9" s="1129"/>
      <c r="M9" s="1130"/>
      <c r="N9" s="1130"/>
      <c r="O9" s="1131"/>
      <c r="P9" s="3154" t="s">
        <v>2540</v>
      </c>
      <c r="Q9" s="1792" t="str">
        <f t="shared" ref="Q9:Q14" si="6">B9</f>
        <v>用途</v>
      </c>
      <c r="R9" s="764" t="s">
        <v>17</v>
      </c>
      <c r="S9" s="765">
        <f t="shared" si="0"/>
        <v>100</v>
      </c>
      <c r="T9" s="764" t="s">
        <v>17</v>
      </c>
      <c r="U9" s="765">
        <f t="shared" si="1"/>
        <v>100</v>
      </c>
      <c r="V9" s="764" t="s">
        <v>17</v>
      </c>
      <c r="W9" s="765">
        <f t="shared" si="2"/>
        <v>100</v>
      </c>
      <c r="X9" s="766"/>
      <c r="Y9" s="2982" t="s">
        <v>2541</v>
      </c>
      <c r="Z9" s="55" t="str">
        <f t="shared" ref="Z9:Z14" si="7">Q9</f>
        <v>用途</v>
      </c>
      <c r="AA9" s="767">
        <f t="shared" si="3"/>
        <v>1</v>
      </c>
      <c r="AB9" s="767">
        <f t="shared" si="4"/>
        <v>1</v>
      </c>
      <c r="AC9" s="767">
        <f t="shared" si="5"/>
        <v>1</v>
      </c>
    </row>
    <row r="10" spans="1:29" s="423" customFormat="1" ht="27">
      <c r="A10" s="417"/>
      <c r="B10" s="418" t="s">
        <v>2542</v>
      </c>
      <c r="C10" s="419"/>
      <c r="D10" s="132">
        <v>100</v>
      </c>
      <c r="E10" s="419"/>
      <c r="F10" s="421">
        <f>SUMIF(53:53,E10,54:54)-SUMIF(53:53,C10,54:54)+100</f>
        <v>100</v>
      </c>
      <c r="G10" s="419"/>
      <c r="H10" s="132">
        <f>SUMIF(53:53,G10,54:54)-SUMIF(53:53,C10,54:54)+100</f>
        <v>100</v>
      </c>
      <c r="I10" s="419"/>
      <c r="J10" s="132">
        <f>SUMIF(53:53,I10,54:54)-SUMIF(53:53,C10,54:54)+100</f>
        <v>100</v>
      </c>
      <c r="K10" s="608"/>
      <c r="L10" s="1132"/>
      <c r="M10" s="1133"/>
      <c r="N10" s="1133"/>
      <c r="O10" s="1134"/>
      <c r="P10" s="3154"/>
      <c r="Q10" s="1792" t="str">
        <f t="shared" si="6"/>
        <v>土地使用年限（年）</v>
      </c>
      <c r="R10" s="764" t="s">
        <v>17</v>
      </c>
      <c r="S10" s="765">
        <f t="shared" si="0"/>
        <v>100</v>
      </c>
      <c r="T10" s="764" t="s">
        <v>17</v>
      </c>
      <c r="U10" s="765">
        <f t="shared" si="1"/>
        <v>100</v>
      </c>
      <c r="V10" s="764" t="s">
        <v>17</v>
      </c>
      <c r="W10" s="765">
        <f t="shared" si="2"/>
        <v>100</v>
      </c>
      <c r="X10" s="766"/>
      <c r="Y10" s="2982"/>
      <c r="Z10" s="55" t="str">
        <f t="shared" si="7"/>
        <v>土地使用年限（年）</v>
      </c>
      <c r="AA10" s="767">
        <f t="shared" si="3"/>
        <v>1</v>
      </c>
      <c r="AB10" s="767">
        <f t="shared" si="4"/>
        <v>1</v>
      </c>
      <c r="AC10" s="767">
        <f t="shared" si="5"/>
        <v>1</v>
      </c>
    </row>
    <row r="11" spans="1:29" ht="15">
      <c r="A11" s="424"/>
      <c r="B11" s="2596">
        <v>111</v>
      </c>
      <c r="C11" s="428"/>
      <c r="D11" s="132">
        <v>100</v>
      </c>
      <c r="E11" s="465"/>
      <c r="F11" s="421">
        <f>SUMIF(55:55,E11,56:56)-SUMIF(55:55,C11,56:56)+100</f>
        <v>100</v>
      </c>
      <c r="G11" s="465"/>
      <c r="H11" s="132">
        <f>SUMIF(55:55,G11,56:56)-SUMIF(55:55,C11,56:56)+100</f>
        <v>100</v>
      </c>
      <c r="I11" s="465"/>
      <c r="J11" s="132">
        <f>SUMIF(55:55,I11,56:56)-SUMIF(55:55,C11,56:56)+100</f>
        <v>100</v>
      </c>
      <c r="K11" s="609"/>
      <c r="L11" s="1135"/>
      <c r="M11" s="1128"/>
      <c r="N11" s="1128"/>
      <c r="O11" s="1136"/>
      <c r="P11" s="3154"/>
      <c r="Q11" s="1792">
        <f t="shared" si="6"/>
        <v>111</v>
      </c>
      <c r="R11" s="764" t="s">
        <v>17</v>
      </c>
      <c r="S11" s="765">
        <f t="shared" si="0"/>
        <v>100</v>
      </c>
      <c r="T11" s="764" t="s">
        <v>17</v>
      </c>
      <c r="U11" s="765">
        <f t="shared" si="1"/>
        <v>100</v>
      </c>
      <c r="V11" s="764" t="s">
        <v>17</v>
      </c>
      <c r="W11" s="765">
        <f t="shared" si="2"/>
        <v>100</v>
      </c>
      <c r="X11" s="766"/>
      <c r="Y11" s="2982"/>
      <c r="Z11" s="55">
        <f t="shared" si="7"/>
        <v>111</v>
      </c>
      <c r="AA11" s="767">
        <f t="shared" si="3"/>
        <v>1</v>
      </c>
      <c r="AB11" s="767">
        <f t="shared" si="4"/>
        <v>1</v>
      </c>
      <c r="AC11" s="767">
        <f t="shared" si="5"/>
        <v>1</v>
      </c>
    </row>
    <row r="12" spans="1:29" s="114" customFormat="1" ht="15">
      <c r="A12" s="427"/>
      <c r="B12" s="2596">
        <v>111</v>
      </c>
      <c r="C12" s="428"/>
      <c r="D12" s="429">
        <v>100</v>
      </c>
      <c r="E12" s="465"/>
      <c r="F12" s="421">
        <f>SUMIF(57:57,E12,58:58)-SUMIF(57:57,C12,58:58)+100</f>
        <v>100</v>
      </c>
      <c r="G12" s="465"/>
      <c r="H12" s="132">
        <f>SUMIF(57:57,G12,58:58)-SUMIF(57:57,C12,58:58)+100</f>
        <v>100</v>
      </c>
      <c r="I12" s="465"/>
      <c r="J12" s="132">
        <f>SUMIF(57:57,I12,58:58)-SUMIF(57:57,C12,58:58)+100</f>
        <v>100</v>
      </c>
      <c r="K12" s="609"/>
      <c r="L12" s="1129"/>
      <c r="M12" s="1130"/>
      <c r="N12" s="1130"/>
      <c r="O12" s="1131"/>
      <c r="P12" s="3154"/>
      <c r="Q12" s="1792">
        <f t="shared" si="6"/>
        <v>111</v>
      </c>
      <c r="R12" s="764" t="s">
        <v>17</v>
      </c>
      <c r="S12" s="765">
        <f t="shared" si="0"/>
        <v>100</v>
      </c>
      <c r="T12" s="764" t="s">
        <v>17</v>
      </c>
      <c r="U12" s="765">
        <f t="shared" si="1"/>
        <v>100</v>
      </c>
      <c r="V12" s="764" t="s">
        <v>17</v>
      </c>
      <c r="W12" s="765">
        <f t="shared" si="2"/>
        <v>100</v>
      </c>
      <c r="X12" s="766"/>
      <c r="Y12" s="2982"/>
      <c r="Z12" s="55">
        <f t="shared" si="7"/>
        <v>111</v>
      </c>
      <c r="AA12" s="767">
        <f>D12/F12</f>
        <v>1</v>
      </c>
      <c r="AB12" s="767">
        <f>D12/H12</f>
        <v>1</v>
      </c>
      <c r="AC12" s="767">
        <f>D12/J12</f>
        <v>1</v>
      </c>
    </row>
    <row r="13" spans="1:29" ht="15.75" thickBot="1">
      <c r="A13" s="424"/>
      <c r="B13" s="2596">
        <v>111</v>
      </c>
      <c r="C13" s="430"/>
      <c r="D13" s="431">
        <v>100</v>
      </c>
      <c r="E13" s="465"/>
      <c r="F13" s="421">
        <f>SUMIF(59:59,E13,60:60)-SUMIF(59:59,C13,60:60)+100</f>
        <v>100</v>
      </c>
      <c r="G13" s="2693"/>
      <c r="H13" s="434">
        <f>SUMIF(59:59,G13,60:60)-SUMIF(59:59,C13,60:60)+100</f>
        <v>100</v>
      </c>
      <c r="I13" s="465"/>
      <c r="J13" s="431">
        <f>SUMIF(59:59,I13,60:60)-SUMIF(59:59,C13,60:60)+100</f>
        <v>100</v>
      </c>
      <c r="K13" s="609"/>
      <c r="L13" s="1137"/>
      <c r="M13" s="1128"/>
      <c r="N13" s="1128"/>
      <c r="O13" s="1136"/>
      <c r="P13" s="3154"/>
      <c r="Q13" s="1792">
        <f t="shared" si="6"/>
        <v>111</v>
      </c>
      <c r="R13" s="764" t="s">
        <v>17</v>
      </c>
      <c r="S13" s="765">
        <f t="shared" si="0"/>
        <v>100</v>
      </c>
      <c r="T13" s="764" t="s">
        <v>17</v>
      </c>
      <c r="U13" s="765">
        <f t="shared" si="1"/>
        <v>100</v>
      </c>
      <c r="V13" s="764" t="s">
        <v>17</v>
      </c>
      <c r="W13" s="765">
        <f t="shared" si="2"/>
        <v>100</v>
      </c>
      <c r="X13" s="766"/>
      <c r="Y13" s="2982"/>
      <c r="Z13" s="55">
        <f t="shared" si="7"/>
        <v>111</v>
      </c>
      <c r="AA13" s="767">
        <f t="shared" si="3"/>
        <v>1</v>
      </c>
      <c r="AB13" s="767">
        <f t="shared" si="4"/>
        <v>1</v>
      </c>
      <c r="AC13" s="767">
        <f t="shared" si="5"/>
        <v>1</v>
      </c>
    </row>
    <row r="14" spans="1:29" ht="85.5">
      <c r="A14" s="436" t="s">
        <v>2544</v>
      </c>
      <c r="B14" s="67" t="s">
        <v>2694</v>
      </c>
      <c r="C14" s="2689" t="str">
        <f>IF(B1="工业",估价对象房地状况!G4,估价对象房地状况!C6)</f>
        <v>估价对象周边仅有829、兴52路公交线路，综合评价交通便捷度一般</v>
      </c>
      <c r="D14" s="437">
        <v>100</v>
      </c>
      <c r="E14" s="438"/>
      <c r="F14" s="439">
        <f>SUMIF(61:61,E15,62:62)-SUMIF(61:61,C15,62:62)+100</f>
        <v>100</v>
      </c>
      <c r="G14" s="440"/>
      <c r="H14" s="437">
        <f>SUMIF(61:61,G15,62:62)-SUMIF(61:61,C15,62:62)+100</f>
        <v>100</v>
      </c>
      <c r="I14" s="438"/>
      <c r="J14" s="437">
        <f>SUMIF(61:61,I15,62:62)-SUMIF(61:61,C15,62:62)+100</f>
        <v>100</v>
      </c>
      <c r="K14" s="610"/>
      <c r="L14" s="1137"/>
      <c r="M14" s="1128"/>
      <c r="N14" s="1128"/>
      <c r="O14" s="1136"/>
      <c r="P14" s="3156" t="s">
        <v>2545</v>
      </c>
      <c r="Q14" s="1807" t="str">
        <f t="shared" si="6"/>
        <v>交通便捷度</v>
      </c>
      <c r="R14" s="768" t="s">
        <v>17</v>
      </c>
      <c r="S14" s="769">
        <f t="shared" si="0"/>
        <v>100</v>
      </c>
      <c r="T14" s="768" t="s">
        <v>17</v>
      </c>
      <c r="U14" s="769">
        <f t="shared" si="1"/>
        <v>100</v>
      </c>
      <c r="V14" s="768" t="s">
        <v>17</v>
      </c>
      <c r="W14" s="769">
        <f t="shared" si="2"/>
        <v>100</v>
      </c>
      <c r="X14" s="1810"/>
      <c r="Y14" s="3156" t="s">
        <v>2545</v>
      </c>
      <c r="Z14" s="1811" t="str">
        <f t="shared" si="7"/>
        <v>交通便捷度</v>
      </c>
      <c r="AA14" s="1808">
        <f t="shared" si="3"/>
        <v>1</v>
      </c>
      <c r="AB14" s="1808">
        <f t="shared" si="4"/>
        <v>1</v>
      </c>
      <c r="AC14" s="1808">
        <f t="shared" si="5"/>
        <v>1</v>
      </c>
    </row>
    <row r="15" spans="1:29" ht="15">
      <c r="A15" s="424"/>
      <c r="B15" s="442"/>
      <c r="C15" s="443"/>
      <c r="D15" s="444"/>
      <c r="E15" s="443"/>
      <c r="F15" s="445"/>
      <c r="G15" s="443"/>
      <c r="H15" s="446"/>
      <c r="I15" s="443"/>
      <c r="J15" s="444"/>
      <c r="K15" s="611"/>
      <c r="L15" s="1137"/>
      <c r="M15" s="1128"/>
      <c r="N15" s="1128"/>
      <c r="O15" s="1136"/>
      <c r="P15" s="3157"/>
      <c r="Q15" s="1807"/>
      <c r="R15" s="768"/>
      <c r="S15" s="769"/>
      <c r="T15" s="768"/>
      <c r="U15" s="769"/>
      <c r="V15" s="768"/>
      <c r="W15" s="769"/>
      <c r="X15" s="1810"/>
      <c r="Y15" s="3157"/>
      <c r="Z15" s="1811"/>
      <c r="AA15" s="1808">
        <v>1</v>
      </c>
      <c r="AB15" s="1808">
        <v>1</v>
      </c>
      <c r="AC15" s="1808">
        <v>1</v>
      </c>
    </row>
    <row r="16" spans="1:29" ht="42.75">
      <c r="A16" s="424"/>
      <c r="B16" s="447" t="s">
        <v>2673</v>
      </c>
      <c r="C16" s="2603" t="str">
        <f>IF(B1="工业",估价对象房地状况!G5,估价对象房地状况!C7)</f>
        <v>估价对象所在区域公共配套设施齐备度一般</v>
      </c>
      <c r="D16" s="451">
        <v>100</v>
      </c>
      <c r="E16" s="453"/>
      <c r="F16" s="454">
        <f>SUMIF(63:63,E17,64:64)-SUMIF(63:63,C17,64:64)+100</f>
        <v>100</v>
      </c>
      <c r="G16" s="455"/>
      <c r="H16" s="451">
        <f>SUMIF(63:63,G17,64:64)-SUMIF(63:63,C17,64:64)+100</f>
        <v>100</v>
      </c>
      <c r="I16" s="453"/>
      <c r="J16" s="451">
        <f>SUMIF(63:63,I17,64:64)-SUMIF(63:63,C17,64:64)+100</f>
        <v>100</v>
      </c>
      <c r="K16" s="610"/>
      <c r="L16" s="1137"/>
      <c r="M16" s="1128"/>
      <c r="N16" s="1128"/>
      <c r="O16" s="1136"/>
      <c r="P16" s="3157"/>
      <c r="Q16" s="1807" t="str">
        <f>B16</f>
        <v>公共配套设施</v>
      </c>
      <c r="R16" s="768" t="s">
        <v>17</v>
      </c>
      <c r="S16" s="769">
        <f>F16</f>
        <v>100</v>
      </c>
      <c r="T16" s="768" t="s">
        <v>17</v>
      </c>
      <c r="U16" s="769">
        <f>H16</f>
        <v>100</v>
      </c>
      <c r="V16" s="768" t="s">
        <v>17</v>
      </c>
      <c r="W16" s="769">
        <f>J16</f>
        <v>100</v>
      </c>
      <c r="X16" s="1810"/>
      <c r="Y16" s="3157"/>
      <c r="Z16" s="1811" t="str">
        <f>Q16</f>
        <v>公共配套设施</v>
      </c>
      <c r="AA16" s="1808">
        <f t="shared" si="3"/>
        <v>1</v>
      </c>
      <c r="AB16" s="1808">
        <f t="shared" si="4"/>
        <v>1</v>
      </c>
      <c r="AC16" s="1808">
        <f t="shared" si="5"/>
        <v>1</v>
      </c>
    </row>
    <row r="17" spans="1:29" ht="15">
      <c r="A17" s="424"/>
      <c r="B17" s="452"/>
      <c r="C17" s="2604"/>
      <c r="D17" s="444"/>
      <c r="E17" s="443"/>
      <c r="F17" s="445"/>
      <c r="G17" s="443"/>
      <c r="H17" s="444"/>
      <c r="I17" s="443"/>
      <c r="J17" s="444"/>
      <c r="K17" s="611"/>
      <c r="L17" s="1137"/>
      <c r="M17" s="1128"/>
      <c r="N17" s="1128"/>
      <c r="O17" s="1136"/>
      <c r="P17" s="3157"/>
      <c r="Q17" s="1807"/>
      <c r="R17" s="768"/>
      <c r="S17" s="769"/>
      <c r="T17" s="768"/>
      <c r="U17" s="769"/>
      <c r="V17" s="768"/>
      <c r="W17" s="769"/>
      <c r="X17" s="1810"/>
      <c r="Y17" s="3157"/>
      <c r="Z17" s="1811"/>
      <c r="AA17" s="1808">
        <v>1</v>
      </c>
      <c r="AB17" s="1808">
        <v>1</v>
      </c>
      <c r="AC17" s="1808">
        <v>1</v>
      </c>
    </row>
    <row r="18" spans="1:29" ht="28.5">
      <c r="A18" s="424"/>
      <c r="B18" s="1381" t="s">
        <v>2674</v>
      </c>
      <c r="C18" s="2603" t="str">
        <f>IF(B1="工业",估价对象房地状况!G6,估价对象房地状况!C8)</f>
        <v>估价对象所在区域基础设施水平达七通</v>
      </c>
      <c r="D18" s="451">
        <v>100</v>
      </c>
      <c r="E18" s="448"/>
      <c r="F18" s="454">
        <f>SUMIF(65:65,E19,66:66)-SUMIF(65:65,C19,66:66)+100</f>
        <v>100</v>
      </c>
      <c r="G18" s="450"/>
      <c r="H18" s="451">
        <f>SUMIF(65:65,G19,66:66)-SUMIF(65:65,C19,66:66)+100</f>
        <v>100</v>
      </c>
      <c r="I18" s="453"/>
      <c r="J18" s="451">
        <f>SUMIF(65:65,I19,66:66)-SUMIF(65:65,C19,66:66)+100</f>
        <v>100</v>
      </c>
      <c r="K18" s="610"/>
      <c r="L18" s="1137"/>
      <c r="M18" s="1128"/>
      <c r="N18" s="1128"/>
      <c r="O18" s="1136"/>
      <c r="P18" s="3157"/>
      <c r="Q18" s="1807" t="str">
        <f>B18</f>
        <v>基础设施水平</v>
      </c>
      <c r="R18" s="768" t="s">
        <v>17</v>
      </c>
      <c r="S18" s="769">
        <f>F18</f>
        <v>100</v>
      </c>
      <c r="T18" s="768" t="s">
        <v>17</v>
      </c>
      <c r="U18" s="769">
        <f>H18</f>
        <v>100</v>
      </c>
      <c r="V18" s="768" t="s">
        <v>17</v>
      </c>
      <c r="W18" s="769">
        <f>J18</f>
        <v>100</v>
      </c>
      <c r="X18" s="1810"/>
      <c r="Y18" s="3157"/>
      <c r="Z18" s="1811" t="str">
        <f>Q18</f>
        <v>基础设施水平</v>
      </c>
      <c r="AA18" s="1808">
        <f t="shared" ref="AA18" si="8">D18/F18</f>
        <v>1</v>
      </c>
      <c r="AB18" s="1808">
        <f t="shared" ref="AB18" si="9">D18/H18</f>
        <v>1</v>
      </c>
      <c r="AC18" s="1808">
        <f t="shared" ref="AC18" si="10">D18/J18</f>
        <v>1</v>
      </c>
    </row>
    <row r="19" spans="1:29" ht="15">
      <c r="A19" s="424"/>
      <c r="B19" s="1381"/>
      <c r="C19" s="2604"/>
      <c r="D19" s="446"/>
      <c r="E19" s="2604"/>
      <c r="F19" s="449"/>
      <c r="G19" s="2604"/>
      <c r="H19" s="444"/>
      <c r="I19" s="443"/>
      <c r="J19" s="444"/>
      <c r="K19" s="1380"/>
      <c r="L19" s="1137"/>
      <c r="M19" s="1128"/>
      <c r="N19" s="1128"/>
      <c r="O19" s="1136"/>
      <c r="P19" s="3157"/>
      <c r="Q19" s="1807"/>
      <c r="R19" s="768"/>
      <c r="S19" s="769"/>
      <c r="T19" s="768"/>
      <c r="U19" s="769"/>
      <c r="V19" s="768"/>
      <c r="W19" s="769"/>
      <c r="X19" s="1810"/>
      <c r="Y19" s="3157"/>
      <c r="Z19" s="1811"/>
      <c r="AA19" s="1808">
        <v>1</v>
      </c>
      <c r="AB19" s="1808">
        <v>1</v>
      </c>
      <c r="AC19" s="1808">
        <v>1</v>
      </c>
    </row>
    <row r="20" spans="1:29" ht="57">
      <c r="A20" s="424"/>
      <c r="B20" s="447" t="s">
        <v>2695</v>
      </c>
      <c r="C20" s="2603" t="str">
        <f>IF(B1="工业",估价对象房地状况!G7,估价对象房地状况!C9)</f>
        <v>周边仅有住宅配套绿化，无大型公园及高等教育机构；综合评价环境状况较差</v>
      </c>
      <c r="D20" s="451">
        <v>100</v>
      </c>
      <c r="E20" s="453"/>
      <c r="F20" s="454">
        <f>SUMIF(67:67,E21,68:68)-SUMIF(67:67,C21,68:68)+100</f>
        <v>100</v>
      </c>
      <c r="G20" s="455"/>
      <c r="H20" s="446">
        <f>SUMIF(67:67,G21,68:68)-SUMIF(67:67,C21,68:68)+100</f>
        <v>100</v>
      </c>
      <c r="I20" s="448"/>
      <c r="J20" s="446">
        <f>SUMIF(67:67,I21,68:68)-SUMIF(67:67,C21,68:68)+100</f>
        <v>100</v>
      </c>
      <c r="K20" s="610"/>
      <c r="L20" s="1137"/>
      <c r="M20" s="1128"/>
      <c r="N20" s="1128"/>
      <c r="O20" s="1136"/>
      <c r="P20" s="3157"/>
      <c r="Q20" s="1807" t="str">
        <f>B20</f>
        <v>自然及人文环境</v>
      </c>
      <c r="R20" s="768" t="s">
        <v>17</v>
      </c>
      <c r="S20" s="769">
        <f>F20</f>
        <v>100</v>
      </c>
      <c r="T20" s="768" t="s">
        <v>17</v>
      </c>
      <c r="U20" s="769">
        <f>H20</f>
        <v>100</v>
      </c>
      <c r="V20" s="768" t="s">
        <v>17</v>
      </c>
      <c r="W20" s="769">
        <f>J20</f>
        <v>100</v>
      </c>
      <c r="X20" s="1810"/>
      <c r="Y20" s="3157"/>
      <c r="Z20" s="1811" t="str">
        <f>Q20</f>
        <v>自然及人文环境</v>
      </c>
      <c r="AA20" s="1808">
        <f t="shared" si="3"/>
        <v>1</v>
      </c>
      <c r="AB20" s="1808">
        <f t="shared" si="4"/>
        <v>1</v>
      </c>
      <c r="AC20" s="1808">
        <f t="shared" si="5"/>
        <v>1</v>
      </c>
    </row>
    <row r="21" spans="1:29" ht="15">
      <c r="A21" s="424"/>
      <c r="B21" s="452"/>
      <c r="C21" s="443"/>
      <c r="D21" s="444"/>
      <c r="E21" s="443"/>
      <c r="F21" s="445"/>
      <c r="G21" s="443"/>
      <c r="H21" s="444"/>
      <c r="I21" s="443"/>
      <c r="J21" s="444"/>
      <c r="K21" s="611"/>
      <c r="L21" s="1137"/>
      <c r="M21" s="1128"/>
      <c r="N21" s="1128"/>
      <c r="O21" s="1136"/>
      <c r="P21" s="3157"/>
      <c r="Q21" s="1807"/>
      <c r="R21" s="768"/>
      <c r="S21" s="769"/>
      <c r="T21" s="768"/>
      <c r="U21" s="769"/>
      <c r="V21" s="768"/>
      <c r="W21" s="769"/>
      <c r="X21" s="1810"/>
      <c r="Y21" s="3157"/>
      <c r="Z21" s="1811"/>
      <c r="AA21" s="1808">
        <v>1</v>
      </c>
      <c r="AB21" s="1808">
        <v>1</v>
      </c>
      <c r="AC21" s="1808">
        <v>1</v>
      </c>
    </row>
    <row r="22" spans="1:29" ht="15">
      <c r="A22" s="424"/>
      <c r="B22" s="447" t="s">
        <v>2696</v>
      </c>
      <c r="C22" s="612"/>
      <c r="D22" s="446">
        <v>100</v>
      </c>
      <c r="E22" s="612"/>
      <c r="F22" s="457">
        <f>SUMIF(69:69,E22,70:70)-SUMIF(69:69,C22,70:70)+100</f>
        <v>100</v>
      </c>
      <c r="G22" s="612"/>
      <c r="H22" s="431">
        <f>SUMIF(69:69,G22,70:70)-SUMIF(69:69,C22,70:70)+100</f>
        <v>100</v>
      </c>
      <c r="I22" s="612"/>
      <c r="J22" s="431">
        <f>SUMIF(69:69,I22,70:70)-SUMIF(69:69,C22,70:70)+100</f>
        <v>100</v>
      </c>
      <c r="K22" s="608"/>
      <c r="L22" s="1137"/>
      <c r="M22" s="1128"/>
      <c r="N22" s="1128"/>
      <c r="O22" s="1136"/>
      <c r="P22" s="3157"/>
      <c r="Q22" s="1807" t="str">
        <f>B22</f>
        <v>楼层</v>
      </c>
      <c r="R22" s="768" t="s">
        <v>17</v>
      </c>
      <c r="S22" s="769">
        <f>F22</f>
        <v>100</v>
      </c>
      <c r="T22" s="768" t="s">
        <v>17</v>
      </c>
      <c r="U22" s="769">
        <f>H22</f>
        <v>100</v>
      </c>
      <c r="V22" s="768" t="s">
        <v>17</v>
      </c>
      <c r="W22" s="769">
        <f>J22</f>
        <v>100</v>
      </c>
      <c r="X22" s="1810"/>
      <c r="Y22" s="3157"/>
      <c r="Z22" s="1811" t="str">
        <f>Q22</f>
        <v>楼层</v>
      </c>
      <c r="AA22" s="1808">
        <f t="shared" si="3"/>
        <v>1</v>
      </c>
      <c r="AB22" s="1808">
        <f t="shared" si="4"/>
        <v>1</v>
      </c>
      <c r="AC22" s="1808">
        <f t="shared" si="5"/>
        <v>1</v>
      </c>
    </row>
    <row r="23" spans="1:29" ht="15">
      <c r="A23" s="400"/>
      <c r="B23" s="2596">
        <v>111</v>
      </c>
      <c r="C23" s="428"/>
      <c r="D23" s="431">
        <v>100</v>
      </c>
      <c r="E23" s="430"/>
      <c r="F23" s="457">
        <f>SUMIF(71:71,E23,72:72)-SUMIF(71:71,C23,72:72)+100</f>
        <v>100</v>
      </c>
      <c r="G23" s="430"/>
      <c r="H23" s="431">
        <f>SUMIF(71:71,G23,72:72)-SUMIF(71:71,C23,72:72)+100</f>
        <v>100</v>
      </c>
      <c r="I23" s="430"/>
      <c r="J23" s="431">
        <f>SUMIF(71:71,I23,72:72)-SUMIF(71:71,C23,72:72)+100</f>
        <v>100</v>
      </c>
      <c r="K23" s="609"/>
      <c r="L23" s="1137"/>
      <c r="M23" s="1128"/>
      <c r="N23" s="1128"/>
      <c r="O23" s="1136"/>
      <c r="P23" s="3157"/>
      <c r="Q23" s="1807">
        <f>B23</f>
        <v>111</v>
      </c>
      <c r="R23" s="768" t="s">
        <v>17</v>
      </c>
      <c r="S23" s="769">
        <f>F23</f>
        <v>100</v>
      </c>
      <c r="T23" s="768" t="s">
        <v>17</v>
      </c>
      <c r="U23" s="769">
        <f>H23</f>
        <v>100</v>
      </c>
      <c r="V23" s="768" t="s">
        <v>17</v>
      </c>
      <c r="W23" s="769">
        <f>J23</f>
        <v>100</v>
      </c>
      <c r="X23" s="1810"/>
      <c r="Y23" s="3157"/>
      <c r="Z23" s="1811">
        <f>Q23</f>
        <v>111</v>
      </c>
      <c r="AA23" s="1808">
        <f t="shared" si="3"/>
        <v>1</v>
      </c>
      <c r="AB23" s="1808">
        <f t="shared" si="4"/>
        <v>1</v>
      </c>
      <c r="AC23" s="1808">
        <f t="shared" si="5"/>
        <v>1</v>
      </c>
    </row>
    <row r="24" spans="1:29" ht="15">
      <c r="A24" s="424"/>
      <c r="B24" s="2596">
        <v>111</v>
      </c>
      <c r="C24" s="428"/>
      <c r="D24" s="431">
        <v>100</v>
      </c>
      <c r="E24" s="430"/>
      <c r="F24" s="457">
        <f>SUMIF(73:73,E24,74:74)-SUMIF(73:73,C24,74:74)+100</f>
        <v>100</v>
      </c>
      <c r="G24" s="430"/>
      <c r="H24" s="431">
        <f>SUMIF(73:73,G24,74:74)-SUMIF(73:73,C24,74:74)+100</f>
        <v>100</v>
      </c>
      <c r="I24" s="430"/>
      <c r="J24" s="431">
        <f>SUMIF(73:73,I24,74:74)-SUMIF(73:73,C24,74:74)+100</f>
        <v>100</v>
      </c>
      <c r="K24" s="609"/>
      <c r="L24" s="1137"/>
      <c r="M24" s="1128"/>
      <c r="N24" s="1128"/>
      <c r="O24" s="1136"/>
      <c r="P24" s="3157"/>
      <c r="Q24" s="1807">
        <f t="shared" ref="Q24:Q34" si="11">B24</f>
        <v>111</v>
      </c>
      <c r="R24" s="768" t="s">
        <v>17</v>
      </c>
      <c r="S24" s="769">
        <f>F24</f>
        <v>100</v>
      </c>
      <c r="T24" s="768" t="s">
        <v>17</v>
      </c>
      <c r="U24" s="769">
        <f>H24</f>
        <v>100</v>
      </c>
      <c r="V24" s="768" t="s">
        <v>17</v>
      </c>
      <c r="W24" s="769">
        <f>J24</f>
        <v>100</v>
      </c>
      <c r="X24" s="1810"/>
      <c r="Y24" s="3157"/>
      <c r="Z24" s="1811">
        <f>Q24</f>
        <v>111</v>
      </c>
      <c r="AA24" s="1808">
        <f t="shared" si="3"/>
        <v>1</v>
      </c>
      <c r="AB24" s="1808">
        <f t="shared" si="4"/>
        <v>1</v>
      </c>
      <c r="AC24" s="1808">
        <f t="shared" si="5"/>
        <v>1</v>
      </c>
    </row>
    <row r="25" spans="1:29" s="114" customFormat="1" ht="15.75" thickBot="1">
      <c r="A25" s="427"/>
      <c r="B25" s="2596">
        <v>111</v>
      </c>
      <c r="C25" s="2694"/>
      <c r="D25" s="661">
        <v>100</v>
      </c>
      <c r="E25" s="2694"/>
      <c r="F25" s="662">
        <f>SUMIF(75:75,E25,76:76)-SUMIF(75:75,C25,76:76)+100</f>
        <v>100</v>
      </c>
      <c r="G25" s="2694"/>
      <c r="H25" s="661">
        <f>SUMIF(75:75,G25,76:76)-SUMIF(75:75,C25,76:76)+100</f>
        <v>100</v>
      </c>
      <c r="I25" s="2694"/>
      <c r="J25" s="661">
        <f>SUMIF(75:75,I25,76:76)-SUMIF(75:75,C25,76:76)+100</f>
        <v>100</v>
      </c>
      <c r="K25" s="609"/>
      <c r="L25" s="1129"/>
      <c r="M25" s="1130"/>
      <c r="N25" s="1130"/>
      <c r="O25" s="1131"/>
      <c r="P25" s="3157"/>
      <c r="Q25" s="1792">
        <f t="shared" si="11"/>
        <v>111</v>
      </c>
      <c r="R25" s="764" t="s">
        <v>17</v>
      </c>
      <c r="S25" s="765">
        <f>F25</f>
        <v>100</v>
      </c>
      <c r="T25" s="764" t="s">
        <v>17</v>
      </c>
      <c r="U25" s="765">
        <f>H25</f>
        <v>100</v>
      </c>
      <c r="V25" s="764" t="s">
        <v>17</v>
      </c>
      <c r="W25" s="765">
        <f>J25</f>
        <v>100</v>
      </c>
      <c r="X25" s="766"/>
      <c r="Y25" s="3157"/>
      <c r="Z25" s="55">
        <f>Q25</f>
        <v>111</v>
      </c>
      <c r="AA25" s="1808">
        <f>D25/F25</f>
        <v>1</v>
      </c>
      <c r="AB25" s="1808">
        <f>D25/H25</f>
        <v>1</v>
      </c>
      <c r="AC25" s="1808">
        <f>D25/J25</f>
        <v>1</v>
      </c>
    </row>
    <row r="26" spans="1:29" ht="15">
      <c r="A26" s="462" t="s">
        <v>2548</v>
      </c>
      <c r="B26" s="69" t="s">
        <v>2699</v>
      </c>
      <c r="C26" s="2675"/>
      <c r="D26" s="463">
        <v>100</v>
      </c>
      <c r="E26" s="2675"/>
      <c r="F26" s="663">
        <f>SUMIF(77:77,E26,78:78)-SUMIF(77:77,C26,78:78)+100</f>
        <v>100</v>
      </c>
      <c r="G26" s="2675"/>
      <c r="H26" s="463">
        <f>SUMIF(77:77,G26,78:78)-SUMIF(77:77,C26,78:78)+100</f>
        <v>100</v>
      </c>
      <c r="I26" s="2675"/>
      <c r="J26" s="463">
        <f>SUMIF(77:77,I26,78:78)-SUMIF(77:77,C26,78:78)+100</f>
        <v>100</v>
      </c>
      <c r="K26" s="608"/>
      <c r="L26" s="1137"/>
      <c r="M26" s="1128"/>
      <c r="N26" s="1128"/>
      <c r="O26" s="1136"/>
      <c r="P26" s="3212" t="s">
        <v>2550</v>
      </c>
      <c r="Q26" s="1807" t="str">
        <f t="shared" si="11"/>
        <v>公共部分装修</v>
      </c>
      <c r="R26" s="768" t="s">
        <v>17</v>
      </c>
      <c r="S26" s="769">
        <f t="shared" ref="S26:S34" si="12">F26</f>
        <v>100</v>
      </c>
      <c r="T26" s="768" t="s">
        <v>17</v>
      </c>
      <c r="U26" s="769">
        <f t="shared" ref="U26:U34" si="13">H26</f>
        <v>100</v>
      </c>
      <c r="V26" s="768" t="s">
        <v>17</v>
      </c>
      <c r="W26" s="769">
        <f t="shared" ref="W26:W34" si="14">J26</f>
        <v>100</v>
      </c>
      <c r="X26" s="1810"/>
      <c r="Y26" s="3161" t="s">
        <v>2550</v>
      </c>
      <c r="Z26" s="1811" t="str">
        <f t="shared" ref="Z26:Z34" si="15">Q26</f>
        <v>公共部分装修</v>
      </c>
      <c r="AA26" s="1808">
        <f t="shared" si="3"/>
        <v>1</v>
      </c>
      <c r="AB26" s="1808">
        <f t="shared" si="4"/>
        <v>1</v>
      </c>
      <c r="AC26" s="1808">
        <f t="shared" si="5"/>
        <v>1</v>
      </c>
    </row>
    <row r="27" spans="1:29" s="467" customFormat="1" ht="15">
      <c r="A27" s="464"/>
      <c r="B27" s="418" t="s">
        <v>2700</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5"/>
      <c r="M27" s="1138"/>
      <c r="N27" s="1138"/>
      <c r="O27" s="1139"/>
      <c r="P27" s="3161"/>
      <c r="Q27" s="770" t="str">
        <f t="shared" si="11"/>
        <v>成新率</v>
      </c>
      <c r="R27" s="771" t="s">
        <v>17</v>
      </c>
      <c r="S27" s="772" t="e">
        <f t="shared" si="12"/>
        <v>#N/A</v>
      </c>
      <c r="T27" s="771" t="s">
        <v>17</v>
      </c>
      <c r="U27" s="772" t="e">
        <f t="shared" si="13"/>
        <v>#N/A</v>
      </c>
      <c r="V27" s="771" t="s">
        <v>17</v>
      </c>
      <c r="W27" s="772" t="e">
        <f t="shared" si="14"/>
        <v>#N/A</v>
      </c>
      <c r="X27" s="773"/>
      <c r="Y27" s="3161"/>
      <c r="Z27" s="774" t="str">
        <f t="shared" si="15"/>
        <v>成新率</v>
      </c>
      <c r="AA27" s="1808" t="e">
        <f t="shared" si="3"/>
        <v>#N/A</v>
      </c>
      <c r="AB27" s="1808" t="e">
        <f t="shared" si="4"/>
        <v>#N/A</v>
      </c>
      <c r="AC27" s="1808" t="e">
        <f t="shared" si="5"/>
        <v>#N/A</v>
      </c>
    </row>
    <row r="28" spans="1:29" ht="15">
      <c r="A28" s="468"/>
      <c r="B28" s="418" t="s">
        <v>2701</v>
      </c>
      <c r="C28" s="456"/>
      <c r="D28" s="431">
        <v>100</v>
      </c>
      <c r="E28" s="456"/>
      <c r="F28" s="457">
        <f>SUMIF(82:82,E28,83:83)-SUMIF(82:82,C28,83:83)+100</f>
        <v>100</v>
      </c>
      <c r="G28" s="456"/>
      <c r="H28" s="431">
        <f>SUMIF(82:82,G28,83:83)-SUMIF(82:82,C28,83:83)+100</f>
        <v>100</v>
      </c>
      <c r="I28" s="456"/>
      <c r="J28" s="431">
        <f>SUMIF(82:82,I28,83:83)-SUMIF(82:82,C28,83:83)+100</f>
        <v>100</v>
      </c>
      <c r="K28" s="608"/>
      <c r="L28" s="1137"/>
      <c r="M28" s="1128"/>
      <c r="N28" s="1128"/>
      <c r="O28" s="1136"/>
      <c r="P28" s="3161"/>
      <c r="Q28" s="1807" t="str">
        <f t="shared" si="11"/>
        <v>物业等级</v>
      </c>
      <c r="R28" s="768" t="s">
        <v>17</v>
      </c>
      <c r="S28" s="769">
        <f t="shared" si="12"/>
        <v>100</v>
      </c>
      <c r="T28" s="768" t="s">
        <v>17</v>
      </c>
      <c r="U28" s="769">
        <f t="shared" si="13"/>
        <v>100</v>
      </c>
      <c r="V28" s="768" t="s">
        <v>17</v>
      </c>
      <c r="W28" s="769">
        <f t="shared" si="14"/>
        <v>100</v>
      </c>
      <c r="X28" s="1810"/>
      <c r="Y28" s="3161"/>
      <c r="Z28" s="1811" t="str">
        <f t="shared" si="15"/>
        <v>物业等级</v>
      </c>
      <c r="AA28" s="1808">
        <f t="shared" si="3"/>
        <v>1</v>
      </c>
      <c r="AB28" s="1808">
        <f t="shared" si="4"/>
        <v>1</v>
      </c>
      <c r="AC28" s="1808">
        <f t="shared" si="5"/>
        <v>1</v>
      </c>
    </row>
    <row r="29" spans="1:29" ht="15">
      <c r="A29" s="468"/>
      <c r="B29" s="418" t="s">
        <v>2722</v>
      </c>
      <c r="C29" s="653"/>
      <c r="D29" s="431">
        <v>100</v>
      </c>
      <c r="E29" s="653"/>
      <c r="F29" s="457">
        <f>SUMIF(84:84,E29,85:85)-SUMIF(84:84,C29,85:85)+100</f>
        <v>100</v>
      </c>
      <c r="G29" s="653"/>
      <c r="H29" s="431">
        <f>SUMIF(84:84,G29,85:85)-SUMIF(84:84,C29,85:85)+100</f>
        <v>100</v>
      </c>
      <c r="I29" s="653"/>
      <c r="J29" s="431">
        <f>SUMIF(84:84,I29,85:85)-SUMIF(84:84,C29,85:85)+100</f>
        <v>100</v>
      </c>
      <c r="K29" s="608"/>
      <c r="L29" s="1137"/>
      <c r="M29" s="1128"/>
      <c r="N29" s="1128"/>
      <c r="O29" s="1136"/>
      <c r="P29" s="3161"/>
      <c r="Q29" s="1807" t="str">
        <f t="shared" si="11"/>
        <v>有无电梯</v>
      </c>
      <c r="R29" s="768" t="s">
        <v>17</v>
      </c>
      <c r="S29" s="769">
        <f t="shared" si="12"/>
        <v>100</v>
      </c>
      <c r="T29" s="768" t="s">
        <v>17</v>
      </c>
      <c r="U29" s="769">
        <f t="shared" si="13"/>
        <v>100</v>
      </c>
      <c r="V29" s="768" t="s">
        <v>17</v>
      </c>
      <c r="W29" s="769">
        <f t="shared" si="14"/>
        <v>100</v>
      </c>
      <c r="X29" s="1810"/>
      <c r="Y29" s="3161"/>
      <c r="Z29" s="1811" t="str">
        <f t="shared" si="15"/>
        <v>有无电梯</v>
      </c>
      <c r="AA29" s="1808">
        <f t="shared" si="3"/>
        <v>1</v>
      </c>
      <c r="AB29" s="1808">
        <f t="shared" si="4"/>
        <v>1</v>
      </c>
      <c r="AC29" s="1808">
        <f t="shared" si="5"/>
        <v>1</v>
      </c>
    </row>
    <row r="30" spans="1:29" ht="15">
      <c r="A30" s="468"/>
      <c r="B30" s="418" t="s">
        <v>2723</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7"/>
      <c r="M30" s="1128"/>
      <c r="N30" s="1128"/>
      <c r="O30" s="1136"/>
      <c r="P30" s="3161"/>
      <c r="Q30" s="1807" t="str">
        <f t="shared" si="11"/>
        <v>建筑面积</v>
      </c>
      <c r="R30" s="768" t="s">
        <v>17</v>
      </c>
      <c r="S30" s="769" t="e">
        <f t="shared" si="12"/>
        <v>#N/A</v>
      </c>
      <c r="T30" s="768" t="s">
        <v>17</v>
      </c>
      <c r="U30" s="769" t="e">
        <f t="shared" si="13"/>
        <v>#N/A</v>
      </c>
      <c r="V30" s="768" t="s">
        <v>17</v>
      </c>
      <c r="W30" s="769" t="e">
        <f t="shared" si="14"/>
        <v>#N/A</v>
      </c>
      <c r="X30" s="1810"/>
      <c r="Y30" s="3161"/>
      <c r="Z30" s="1811" t="str">
        <f t="shared" si="15"/>
        <v>建筑面积</v>
      </c>
      <c r="AA30" s="1808" t="e">
        <f t="shared" si="3"/>
        <v>#N/A</v>
      </c>
      <c r="AB30" s="1808" t="e">
        <f t="shared" si="4"/>
        <v>#N/A</v>
      </c>
      <c r="AC30" s="1808" t="e">
        <f t="shared" si="5"/>
        <v>#N/A</v>
      </c>
    </row>
    <row r="31" spans="1:29" s="114" customFormat="1" ht="15">
      <c r="A31" s="469"/>
      <c r="B31" s="418" t="s">
        <v>2724</v>
      </c>
      <c r="C31" s="653"/>
      <c r="D31" s="132">
        <v>100</v>
      </c>
      <c r="E31" s="653"/>
      <c r="F31" s="457">
        <f>SUMIF(89:89,E31,90:90)-SUMIF(89:89,C31,90:90)+100</f>
        <v>100</v>
      </c>
      <c r="G31" s="653"/>
      <c r="H31" s="431">
        <f>SUMIF(89:89,G31,90:90)-SUMIF(89:89,C31,90:90)+100</f>
        <v>100</v>
      </c>
      <c r="I31" s="653"/>
      <c r="J31" s="431">
        <f>SUMIF(89:89,I31,90:90)-SUMIF(89:89,C31,90:90)+100</f>
        <v>100</v>
      </c>
      <c r="K31" s="608"/>
      <c r="L31" s="1129"/>
      <c r="M31" s="1130"/>
      <c r="N31" s="1130"/>
      <c r="O31" s="1131"/>
      <c r="P31" s="3161"/>
      <c r="Q31" s="1792" t="str">
        <f t="shared" si="11"/>
        <v>是否封闭</v>
      </c>
      <c r="R31" s="764" t="s">
        <v>17</v>
      </c>
      <c r="S31" s="765">
        <f t="shared" si="12"/>
        <v>100</v>
      </c>
      <c r="T31" s="764" t="s">
        <v>17</v>
      </c>
      <c r="U31" s="765">
        <f t="shared" si="13"/>
        <v>100</v>
      </c>
      <c r="V31" s="764" t="s">
        <v>17</v>
      </c>
      <c r="W31" s="765">
        <f t="shared" si="14"/>
        <v>100</v>
      </c>
      <c r="X31" s="766"/>
      <c r="Y31" s="3161"/>
      <c r="Z31" s="55" t="str">
        <f t="shared" si="15"/>
        <v>是否封闭</v>
      </c>
      <c r="AA31" s="767">
        <f t="shared" si="3"/>
        <v>1</v>
      </c>
      <c r="AB31" s="767">
        <f t="shared" si="4"/>
        <v>1</v>
      </c>
      <c r="AC31" s="767">
        <f t="shared" si="5"/>
        <v>1</v>
      </c>
    </row>
    <row r="32" spans="1:29" ht="15">
      <c r="A32" s="468"/>
      <c r="B32" s="2596">
        <v>111</v>
      </c>
      <c r="C32" s="428"/>
      <c r="D32" s="431">
        <v>100</v>
      </c>
      <c r="E32" s="465"/>
      <c r="F32" s="457">
        <f>SUMIF(91:91,E32,92:92)-SUMIF(91:91,C32,92:92)+100</f>
        <v>100</v>
      </c>
      <c r="G32" s="465"/>
      <c r="H32" s="431">
        <f>SUMIF(91:91,G32,92:92)-SUMIF(91:91,C32,92:92)+100</f>
        <v>100</v>
      </c>
      <c r="I32" s="465"/>
      <c r="J32" s="431">
        <f>SUMIF(91:91,I32,92:92)-SUMIF(91:91,C32,92:92)+100</f>
        <v>100</v>
      </c>
      <c r="K32" s="609"/>
      <c r="L32" s="1137"/>
      <c r="M32" s="1128"/>
      <c r="N32" s="1128"/>
      <c r="O32" s="1136"/>
      <c r="P32" s="3161" t="s">
        <v>2550</v>
      </c>
      <c r="Q32" s="1807">
        <f t="shared" si="11"/>
        <v>111</v>
      </c>
      <c r="R32" s="768" t="s">
        <v>17</v>
      </c>
      <c r="S32" s="769">
        <f t="shared" si="12"/>
        <v>100</v>
      </c>
      <c r="T32" s="768" t="s">
        <v>17</v>
      </c>
      <c r="U32" s="769">
        <f t="shared" si="13"/>
        <v>100</v>
      </c>
      <c r="V32" s="768" t="s">
        <v>17</v>
      </c>
      <c r="W32" s="769">
        <f t="shared" si="14"/>
        <v>100</v>
      </c>
      <c r="X32" s="1810"/>
      <c r="Y32" s="3161" t="s">
        <v>2550</v>
      </c>
      <c r="Z32" s="1811">
        <f t="shared" si="15"/>
        <v>111</v>
      </c>
      <c r="AA32" s="1808">
        <f t="shared" si="3"/>
        <v>1</v>
      </c>
      <c r="AB32" s="1808">
        <f t="shared" si="4"/>
        <v>1</v>
      </c>
      <c r="AC32" s="1808">
        <f t="shared" si="5"/>
        <v>1</v>
      </c>
    </row>
    <row r="33" spans="1:29" ht="15">
      <c r="A33" s="468"/>
      <c r="B33" s="2596">
        <v>111</v>
      </c>
      <c r="C33" s="428"/>
      <c r="D33" s="431">
        <v>100</v>
      </c>
      <c r="E33" s="465"/>
      <c r="F33" s="457">
        <f>SUMIF(93:93,E33,94:94)-SUMIF(93:93,C33,94:94)+100</f>
        <v>100</v>
      </c>
      <c r="G33" s="465"/>
      <c r="H33" s="431">
        <f>SUMIF(93:93,G33,94:94)-SUMIF(93:93,C33,94:94)+100</f>
        <v>100</v>
      </c>
      <c r="I33" s="465"/>
      <c r="J33" s="431">
        <f>SUMIF(93:93,I33,94:94)-SUMIF(93:93,C33,94:94)+100</f>
        <v>100</v>
      </c>
      <c r="K33" s="609"/>
      <c r="L33" s="1137"/>
      <c r="M33" s="1128"/>
      <c r="N33" s="1128"/>
      <c r="O33" s="1136"/>
      <c r="P33" s="3161"/>
      <c r="Q33" s="1807">
        <f t="shared" si="11"/>
        <v>111</v>
      </c>
      <c r="R33" s="768" t="s">
        <v>17</v>
      </c>
      <c r="S33" s="769">
        <f t="shared" si="12"/>
        <v>100</v>
      </c>
      <c r="T33" s="768" t="s">
        <v>17</v>
      </c>
      <c r="U33" s="769">
        <f t="shared" si="13"/>
        <v>100</v>
      </c>
      <c r="V33" s="768" t="s">
        <v>17</v>
      </c>
      <c r="W33" s="769">
        <f t="shared" si="14"/>
        <v>100</v>
      </c>
      <c r="X33" s="1810"/>
      <c r="Y33" s="3161"/>
      <c r="Z33" s="1811">
        <f t="shared" si="15"/>
        <v>111</v>
      </c>
      <c r="AA33" s="1808">
        <f t="shared" si="3"/>
        <v>1</v>
      </c>
      <c r="AB33" s="1808">
        <f t="shared" si="4"/>
        <v>1</v>
      </c>
      <c r="AC33" s="1808">
        <f t="shared" si="5"/>
        <v>1</v>
      </c>
    </row>
    <row r="34" spans="1:29" ht="15.75" thickBot="1">
      <c r="A34" s="474"/>
      <c r="B34" s="2598">
        <v>111</v>
      </c>
      <c r="C34" s="433"/>
      <c r="D34" s="434">
        <v>100</v>
      </c>
      <c r="E34" s="2693"/>
      <c r="F34" s="435">
        <f>SUMIF(95:95,E34,96:96)-SUMIF(95:95,C34,96:96)+100</f>
        <v>100</v>
      </c>
      <c r="G34" s="2693"/>
      <c r="H34" s="434">
        <f>SUMIF(95:95,G34,96:96)-SUMIF(95:95,C34,96:96)+100</f>
        <v>100</v>
      </c>
      <c r="I34" s="2693"/>
      <c r="J34" s="434">
        <f>SUMIF(95:95,I34,96:96)-SUMIF(95:95,C34,96:96)+100</f>
        <v>100</v>
      </c>
      <c r="K34" s="609"/>
      <c r="L34" s="1137"/>
      <c r="M34" s="1128"/>
      <c r="N34" s="1128"/>
      <c r="O34" s="1136"/>
      <c r="P34" s="3161"/>
      <c r="Q34" s="1807">
        <f t="shared" si="11"/>
        <v>111</v>
      </c>
      <c r="R34" s="768" t="s">
        <v>17</v>
      </c>
      <c r="S34" s="769">
        <f t="shared" si="12"/>
        <v>100</v>
      </c>
      <c r="T34" s="768" t="s">
        <v>17</v>
      </c>
      <c r="U34" s="769">
        <f t="shared" si="13"/>
        <v>100</v>
      </c>
      <c r="V34" s="768" t="s">
        <v>17</v>
      </c>
      <c r="W34" s="769">
        <f t="shared" si="14"/>
        <v>100</v>
      </c>
      <c r="X34" s="1810"/>
      <c r="Y34" s="3161"/>
      <c r="Z34" s="1811">
        <f t="shared" si="15"/>
        <v>111</v>
      </c>
      <c r="AA34" s="1808">
        <f t="shared" si="3"/>
        <v>1</v>
      </c>
      <c r="AB34" s="1808">
        <f t="shared" si="4"/>
        <v>1</v>
      </c>
      <c r="AC34" s="1808">
        <f t="shared" si="5"/>
        <v>1</v>
      </c>
    </row>
    <row r="35" spans="1:29" ht="15">
      <c r="A35" s="475" t="s">
        <v>2562</v>
      </c>
      <c r="B35" s="476"/>
      <c r="C35" s="1404" t="s">
        <v>1</v>
      </c>
      <c r="D35" s="1405"/>
      <c r="E35" s="1406"/>
      <c r="F35" s="1407"/>
      <c r="G35" s="1408"/>
      <c r="H35" s="1409"/>
      <c r="I35" s="1406"/>
      <c r="J35" s="1409"/>
      <c r="K35" s="777"/>
      <c r="L35" s="1140"/>
      <c r="M35" s="1141"/>
      <c r="N35" s="1128"/>
      <c r="O35" s="1141"/>
      <c r="P35" s="3154" t="str">
        <f>A35</f>
        <v>成交单价（元/平方米）</v>
      </c>
      <c r="Q35" s="3154"/>
      <c r="R35" s="3155">
        <f>E35</f>
        <v>0</v>
      </c>
      <c r="S35" s="3155"/>
      <c r="T35" s="3155">
        <f>G35</f>
        <v>0</v>
      </c>
      <c r="U35" s="3155"/>
      <c r="V35" s="3155">
        <f>I35</f>
        <v>0</v>
      </c>
      <c r="W35" s="3155"/>
      <c r="X35" s="753"/>
      <c r="Y35" s="775"/>
      <c r="Z35" s="753"/>
      <c r="AA35" s="753"/>
      <c r="AB35" s="753"/>
      <c r="AC35" s="753"/>
    </row>
    <row r="36" spans="1:29" ht="15.75" thickBot="1">
      <c r="A36" s="482" t="s">
        <v>2654</v>
      </c>
      <c r="B36" s="483"/>
      <c r="C36" s="1410" t="e">
        <f>R37</f>
        <v>#DIV/0!</v>
      </c>
      <c r="D36" s="1411"/>
      <c r="E36" s="1412" t="e">
        <f>R36</f>
        <v>#DIV/0!</v>
      </c>
      <c r="F36" s="1412"/>
      <c r="G36" s="1410" t="e">
        <f>T36</f>
        <v>#DIV/0!</v>
      </c>
      <c r="H36" s="1411"/>
      <c r="I36" s="1412" t="e">
        <f>V36</f>
        <v>#DIV/0!</v>
      </c>
      <c r="J36" s="1411"/>
      <c r="K36" s="778"/>
      <c r="L36" s="1140"/>
      <c r="M36" s="1141"/>
      <c r="N36" s="1128"/>
      <c r="O36" s="1141"/>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3"/>
      <c r="Y36" s="753"/>
      <c r="Z36" s="753"/>
      <c r="AA36" s="753"/>
      <c r="AB36" s="753"/>
      <c r="AC36" s="753"/>
    </row>
    <row r="37" spans="1:29" ht="15.75" thickBot="1">
      <c r="A37" s="488" t="s">
        <v>2655</v>
      </c>
      <c r="B37" s="489"/>
      <c r="C37" s="1414" t="e">
        <f>R37</f>
        <v>#DIV/0!</v>
      </c>
      <c r="D37" s="1414"/>
      <c r="E37" s="1414"/>
      <c r="F37" s="1414"/>
      <c r="G37" s="1414"/>
      <c r="H37" s="1414"/>
      <c r="I37" s="1414"/>
      <c r="J37" s="1414"/>
      <c r="K37" s="779"/>
      <c r="L37" s="1140"/>
      <c r="M37" s="1141"/>
      <c r="N37" s="1141"/>
      <c r="O37" s="1141"/>
      <c r="P37" s="3151" t="str">
        <f>A37</f>
        <v>估价对象XX用房的比较价值（楼面单价，元/平方米）</v>
      </c>
      <c r="Q37" s="3152"/>
      <c r="R37" s="3153" t="e">
        <f>IF(F1="售价",ROUND(AVERAGE(R36:V36),0),ROUND(AVERAGE(R36:V36),1))</f>
        <v>#DIV/0!</v>
      </c>
      <c r="S37" s="3153"/>
      <c r="T37" s="3153"/>
      <c r="U37" s="3153"/>
      <c r="V37" s="3153"/>
      <c r="W37" s="3153"/>
      <c r="X37" s="753"/>
      <c r="Y37" s="753"/>
      <c r="Z37" s="753"/>
      <c r="AA37" s="753"/>
      <c r="AB37" s="753"/>
      <c r="AC37" s="753"/>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3" t="s">
        <v>2656</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2"/>
      <c r="L40" s="1103"/>
      <c r="M40" s="1141"/>
      <c r="N40" s="1141"/>
      <c r="O40" s="1141"/>
    </row>
    <row r="41" spans="1:29" ht="13.5" customHeight="1">
      <c r="A41" s="1141"/>
      <c r="B41" s="1141"/>
      <c r="C41" s="493" t="s">
        <v>2657</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2"/>
      <c r="L41" s="1103"/>
      <c r="M41" s="1141"/>
      <c r="N41" s="1141"/>
      <c r="O41" s="1141"/>
    </row>
    <row r="42" spans="1:29" s="498" customFormat="1" ht="13.5" customHeight="1">
      <c r="A42" s="1142"/>
      <c r="B42" s="1142"/>
      <c r="C42" s="493" t="s">
        <v>2658</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5"/>
      <c r="L42" s="1146"/>
      <c r="M42" s="1142"/>
      <c r="N42" s="1142"/>
      <c r="O42" s="1142"/>
    </row>
    <row r="43" spans="1:29" s="498"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7" t="s">
        <v>2659</v>
      </c>
      <c r="B45" s="753"/>
      <c r="C45" s="758"/>
      <c r="D45" s="758"/>
      <c r="E45" s="758"/>
      <c r="F45" s="759"/>
      <c r="G45" s="759"/>
      <c r="H45" s="758"/>
      <c r="I45" s="758"/>
      <c r="J45" s="758"/>
      <c r="K45" s="760"/>
      <c r="L45" s="761"/>
      <c r="M45" s="758"/>
      <c r="N45" s="758"/>
      <c r="O45" s="758"/>
      <c r="P45" s="499"/>
      <c r="Q45" s="500"/>
    </row>
    <row r="46" spans="1:29" s="504" customFormat="1" ht="15">
      <c r="A46" s="501" t="s">
        <v>2533</v>
      </c>
      <c r="B46" s="502"/>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3"/>
    </row>
    <row r="47" spans="1:29" s="114" customFormat="1" ht="15">
      <c r="A47" s="505"/>
      <c r="B47" s="506"/>
      <c r="C47" s="1570">
        <v>100</v>
      </c>
      <c r="D47" s="508"/>
      <c r="E47" s="508"/>
      <c r="F47" s="508"/>
      <c r="G47" s="508"/>
      <c r="H47" s="508"/>
      <c r="I47" s="508"/>
      <c r="J47" s="508"/>
      <c r="K47" s="508"/>
      <c r="L47" s="508"/>
      <c r="M47" s="509"/>
      <c r="N47" s="508"/>
      <c r="O47" s="510"/>
      <c r="P47" s="500"/>
    </row>
    <row r="48" spans="1:29" s="114" customFormat="1" ht="15.75" thickBot="1">
      <c r="A48" s="511" t="s">
        <v>2570</v>
      </c>
      <c r="B48" s="512"/>
      <c r="C48" s="513"/>
      <c r="D48" s="514"/>
      <c r="E48" s="514"/>
      <c r="F48" s="514"/>
      <c r="G48" s="514"/>
      <c r="H48" s="514"/>
      <c r="I48" s="514"/>
      <c r="J48" s="514"/>
      <c r="K48" s="514"/>
      <c r="L48" s="514"/>
      <c r="M48" s="515"/>
      <c r="N48" s="514"/>
      <c r="O48" s="516"/>
      <c r="P48" s="500"/>
      <c r="Q48" s="500"/>
    </row>
    <row r="49" spans="1:17" s="114" customFormat="1" ht="15">
      <c r="A49" s="517" t="s">
        <v>2535</v>
      </c>
      <c r="B49" s="506"/>
      <c r="C49" s="518" t="s">
        <v>2637</v>
      </c>
      <c r="D49" s="519"/>
      <c r="E49" s="519"/>
      <c r="F49" s="519"/>
      <c r="G49" s="519"/>
      <c r="H49" s="519"/>
      <c r="I49" s="519"/>
      <c r="J49" s="519"/>
      <c r="K49" s="519"/>
      <c r="L49" s="520"/>
      <c r="M49" s="521"/>
      <c r="N49" s="1148"/>
      <c r="O49" s="1148"/>
      <c r="P49" s="522"/>
      <c r="Q49" s="500"/>
    </row>
    <row r="50" spans="1:17" s="114" customFormat="1" ht="15.75" thickBot="1">
      <c r="A50" s="517"/>
      <c r="B50" s="506"/>
      <c r="C50" s="635">
        <v>100</v>
      </c>
      <c r="D50" s="508"/>
      <c r="E50" s="508"/>
      <c r="F50" s="508"/>
      <c r="G50" s="508"/>
      <c r="H50" s="508"/>
      <c r="I50" s="508"/>
      <c r="J50" s="508"/>
      <c r="K50" s="508"/>
      <c r="L50" s="508"/>
      <c r="M50" s="510"/>
      <c r="N50" s="1148"/>
      <c r="O50" s="1148"/>
      <c r="P50" s="500"/>
      <c r="Q50" s="500"/>
    </row>
    <row r="51" spans="1:17">
      <c r="A51" s="523" t="s">
        <v>2573</v>
      </c>
      <c r="B51" s="524" t="s">
        <v>2539</v>
      </c>
      <c r="C51" s="525">
        <f>C9</f>
        <v>0</v>
      </c>
      <c r="D51" s="526"/>
      <c r="E51" s="526"/>
      <c r="F51" s="526"/>
      <c r="G51" s="526"/>
      <c r="H51" s="526"/>
      <c r="I51" s="526"/>
      <c r="J51" s="526"/>
      <c r="K51" s="527"/>
      <c r="L51" s="528"/>
      <c r="M51" s="529"/>
      <c r="N51" s="1149"/>
      <c r="O51" s="1149"/>
      <c r="P51" s="45"/>
      <c r="Q51" s="500"/>
    </row>
    <row r="52" spans="1:17" ht="15.75" thickBot="1">
      <c r="A52" s="530"/>
      <c r="B52" s="531"/>
      <c r="C52" s="532">
        <v>100</v>
      </c>
      <c r="D52" s="532"/>
      <c r="E52" s="532"/>
      <c r="F52" s="532"/>
      <c r="G52" s="532"/>
      <c r="H52" s="532"/>
      <c r="I52" s="532"/>
      <c r="J52" s="532"/>
      <c r="K52" s="532"/>
      <c r="L52" s="532"/>
      <c r="M52" s="533"/>
      <c r="N52" s="1150"/>
      <c r="O52" s="1150"/>
      <c r="P52" s="45"/>
      <c r="Q52" s="500"/>
    </row>
    <row r="53" spans="1:17" ht="27.75" thickTop="1">
      <c r="A53" s="530"/>
      <c r="B53" s="534" t="s">
        <v>2542</v>
      </c>
      <c r="C53" s="535" t="s">
        <v>2574</v>
      </c>
      <c r="D53" s="535" t="s">
        <v>2575</v>
      </c>
      <c r="E53" s="535" t="s">
        <v>2576</v>
      </c>
      <c r="F53" s="535" t="s">
        <v>2577</v>
      </c>
      <c r="G53" s="535" t="s">
        <v>2578</v>
      </c>
      <c r="H53" s="535" t="s">
        <v>2579</v>
      </c>
      <c r="I53" s="535" t="s">
        <v>2580</v>
      </c>
      <c r="J53" s="535"/>
      <c r="K53" s="536"/>
      <c r="L53" s="537"/>
      <c r="M53" s="538"/>
      <c r="N53" s="1149"/>
      <c r="O53" s="1149"/>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0"/>
      <c r="O54" s="1150"/>
      <c r="P54" s="45"/>
      <c r="Q54" s="500"/>
    </row>
    <row r="55" spans="1:17" ht="15.75" thickTop="1">
      <c r="A55" s="530"/>
      <c r="B55" s="656">
        <f>B11</f>
        <v>111</v>
      </c>
      <c r="C55" s="545"/>
      <c r="D55" s="545"/>
      <c r="E55" s="545"/>
      <c r="F55" s="545"/>
      <c r="G55" s="545"/>
      <c r="H55" s="545"/>
      <c r="I55" s="545"/>
      <c r="J55" s="545"/>
      <c r="K55" s="546"/>
      <c r="L55" s="547"/>
      <c r="M55" s="548"/>
      <c r="N55" s="1149"/>
      <c r="O55" s="1149"/>
      <c r="P55" s="45"/>
      <c r="Q55" s="500"/>
    </row>
    <row r="56" spans="1:17" ht="15.75" thickBot="1">
      <c r="A56" s="530"/>
      <c r="B56" s="531"/>
      <c r="C56" s="556"/>
      <c r="D56" s="532"/>
      <c r="E56" s="532"/>
      <c r="F56" s="532"/>
      <c r="G56" s="532"/>
      <c r="H56" s="532"/>
      <c r="I56" s="532"/>
      <c r="J56" s="532"/>
      <c r="K56" s="532"/>
      <c r="L56" s="532"/>
      <c r="M56" s="533"/>
      <c r="N56" s="1150"/>
      <c r="O56" s="1150"/>
      <c r="P56" s="45"/>
      <c r="Q56" s="500"/>
    </row>
    <row r="57" spans="1:17" s="467" customFormat="1" ht="15.75" thickTop="1">
      <c r="A57" s="549"/>
      <c r="B57" s="534">
        <f>B12</f>
        <v>111</v>
      </c>
      <c r="C57" s="545"/>
      <c r="D57" s="545"/>
      <c r="E57" s="545"/>
      <c r="F57" s="545"/>
      <c r="G57" s="550"/>
      <c r="H57" s="551"/>
      <c r="I57" s="551"/>
      <c r="J57" s="551"/>
      <c r="K57" s="551"/>
      <c r="L57" s="552"/>
      <c r="M57" s="553"/>
      <c r="N57" s="1151"/>
      <c r="O57" s="1151"/>
      <c r="P57" s="554"/>
      <c r="Q57" s="555"/>
    </row>
    <row r="58" spans="1:17" s="467" customFormat="1" ht="15.75" thickBot="1">
      <c r="A58" s="549"/>
      <c r="B58" s="539"/>
      <c r="C58" s="556"/>
      <c r="D58" s="532"/>
      <c r="E58" s="532"/>
      <c r="F58" s="532"/>
      <c r="G58" s="532"/>
      <c r="H58" s="532"/>
      <c r="I58" s="532"/>
      <c r="J58" s="532"/>
      <c r="K58" s="532"/>
      <c r="L58" s="532"/>
      <c r="M58" s="533"/>
      <c r="N58" s="1150"/>
      <c r="O58" s="1150"/>
      <c r="P58" s="554"/>
      <c r="Q58" s="555"/>
    </row>
    <row r="59" spans="1:17" s="467" customFormat="1" ht="15.75" thickTop="1">
      <c r="A59" s="549"/>
      <c r="B59" s="534">
        <f>B13</f>
        <v>111</v>
      </c>
      <c r="C59" s="545"/>
      <c r="D59" s="545"/>
      <c r="E59" s="545"/>
      <c r="F59" s="545"/>
      <c r="G59" s="550"/>
      <c r="H59" s="551"/>
      <c r="I59" s="551"/>
      <c r="J59" s="551"/>
      <c r="K59" s="551"/>
      <c r="L59" s="552"/>
      <c r="M59" s="553"/>
      <c r="N59" s="1151"/>
      <c r="O59" s="1151"/>
      <c r="P59" s="466"/>
      <c r="Q59" s="557"/>
    </row>
    <row r="60" spans="1:17" s="467" customFormat="1" ht="15.75" thickBot="1">
      <c r="A60" s="549"/>
      <c r="B60" s="539"/>
      <c r="C60" s="556"/>
      <c r="D60" s="556"/>
      <c r="E60" s="556"/>
      <c r="F60" s="556"/>
      <c r="G60" s="556"/>
      <c r="H60" s="558"/>
      <c r="I60" s="558"/>
      <c r="J60" s="558"/>
      <c r="K60" s="558"/>
      <c r="L60" s="558"/>
      <c r="M60" s="559"/>
      <c r="N60" s="1151"/>
      <c r="O60" s="1151"/>
      <c r="P60" s="554"/>
      <c r="Q60" s="555"/>
    </row>
    <row r="61" spans="1:17" ht="15" thickTop="1">
      <c r="A61" s="523" t="s">
        <v>2544</v>
      </c>
      <c r="B61" s="524" t="s">
        <v>2587</v>
      </c>
      <c r="C61" s="569" t="s">
        <v>2582</v>
      </c>
      <c r="D61" s="569" t="s">
        <v>2583</v>
      </c>
      <c r="E61" s="569" t="s">
        <v>2584</v>
      </c>
      <c r="F61" s="569" t="s">
        <v>2585</v>
      </c>
      <c r="G61" s="569" t="s">
        <v>2586</v>
      </c>
      <c r="H61" s="525"/>
      <c r="I61" s="525"/>
      <c r="J61" s="525"/>
      <c r="K61" s="570"/>
      <c r="L61" s="571"/>
      <c r="M61" s="572"/>
      <c r="N61" s="1149"/>
      <c r="O61" s="1149"/>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0"/>
      <c r="O62" s="1150"/>
      <c r="P62" s="45"/>
      <c r="Q62" s="500"/>
    </row>
    <row r="63" spans="1:17" ht="27.75" thickTop="1">
      <c r="A63" s="530"/>
      <c r="B63" s="534" t="s">
        <v>2725</v>
      </c>
      <c r="C63" s="574" t="s">
        <v>2582</v>
      </c>
      <c r="D63" s="574" t="s">
        <v>2583</v>
      </c>
      <c r="E63" s="574" t="s">
        <v>2584</v>
      </c>
      <c r="F63" s="574" t="s">
        <v>2585</v>
      </c>
      <c r="G63" s="574" t="s">
        <v>2586</v>
      </c>
      <c r="H63" s="535"/>
      <c r="I63" s="535"/>
      <c r="J63" s="535"/>
      <c r="K63" s="536"/>
      <c r="L63" s="537"/>
      <c r="M63" s="538"/>
      <c r="N63" s="1149"/>
      <c r="O63" s="1149"/>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0"/>
      <c r="O64" s="1150"/>
      <c r="P64" s="45"/>
      <c r="Q64" s="500"/>
    </row>
    <row r="65" spans="1:17" ht="15.75" thickTop="1">
      <c r="A65" s="530"/>
      <c r="B65" s="542" t="s">
        <v>2674</v>
      </c>
      <c r="C65" s="656" t="s">
        <v>2660</v>
      </c>
      <c r="D65" s="656" t="s">
        <v>2661</v>
      </c>
      <c r="E65" s="656" t="s">
        <v>2662</v>
      </c>
      <c r="F65" s="656" t="s">
        <v>2663</v>
      </c>
      <c r="G65" s="656" t="s">
        <v>2664</v>
      </c>
      <c r="H65" s="535"/>
      <c r="I65" s="535"/>
      <c r="J65" s="535"/>
      <c r="K65" s="535"/>
      <c r="L65" s="535"/>
      <c r="M65" s="1379"/>
      <c r="N65" s="1150"/>
      <c r="O65" s="1150"/>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0"/>
      <c r="O66" s="1150"/>
      <c r="P66" s="45"/>
      <c r="Q66" s="500"/>
    </row>
    <row r="67" spans="1:17" ht="15.75" thickTop="1">
      <c r="A67" s="530"/>
      <c r="B67" s="534" t="s">
        <v>2594</v>
      </c>
      <c r="C67" s="574" t="s">
        <v>2582</v>
      </c>
      <c r="D67" s="574" t="s">
        <v>2583</v>
      </c>
      <c r="E67" s="574" t="s">
        <v>2584</v>
      </c>
      <c r="F67" s="574" t="s">
        <v>2585</v>
      </c>
      <c r="G67" s="574" t="s">
        <v>2586</v>
      </c>
      <c r="H67" s="535"/>
      <c r="I67" s="535"/>
      <c r="J67" s="535"/>
      <c r="K67" s="536"/>
      <c r="L67" s="537"/>
      <c r="M67" s="538"/>
      <c r="N67" s="1149"/>
      <c r="O67" s="1149"/>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0"/>
      <c r="O68" s="1150"/>
      <c r="P68" s="45"/>
      <c r="Q68" s="500"/>
    </row>
    <row r="69" spans="1:17" ht="15.75" thickTop="1">
      <c r="A69" s="530"/>
      <c r="B69" s="534" t="s">
        <v>2714</v>
      </c>
      <c r="C69" s="550"/>
      <c r="D69" s="550"/>
      <c r="E69" s="550"/>
      <c r="F69" s="550"/>
      <c r="G69" s="550"/>
      <c r="H69" s="579"/>
      <c r="I69" s="579"/>
      <c r="J69" s="579"/>
      <c r="K69" s="580"/>
      <c r="L69" s="581"/>
      <c r="M69" s="582"/>
      <c r="N69" s="1149"/>
      <c r="O69" s="1149"/>
      <c r="P69" s="45"/>
      <c r="Q69" s="500"/>
    </row>
    <row r="70" spans="1:17" ht="15.75" thickBot="1">
      <c r="A70" s="530"/>
      <c r="B70" s="539"/>
      <c r="C70" s="540">
        <v>100</v>
      </c>
      <c r="D70" s="540">
        <f>C70-$K22</f>
        <v>100</v>
      </c>
      <c r="E70" s="540"/>
      <c r="F70" s="540"/>
      <c r="G70" s="540"/>
      <c r="H70" s="540"/>
      <c r="I70" s="540"/>
      <c r="J70" s="540"/>
      <c r="K70" s="540"/>
      <c r="L70" s="540"/>
      <c r="M70" s="541"/>
      <c r="N70" s="1150"/>
      <c r="O70" s="1150"/>
      <c r="P70" s="45"/>
      <c r="Q70" s="500"/>
    </row>
    <row r="71" spans="1:17" s="114" customFormat="1" ht="15.75" thickTop="1">
      <c r="A71" s="575"/>
      <c r="B71" s="534">
        <f>B23</f>
        <v>111</v>
      </c>
      <c r="C71" s="545"/>
      <c r="D71" s="545"/>
      <c r="E71" s="545"/>
      <c r="F71" s="545"/>
      <c r="G71" s="550"/>
      <c r="H71" s="550"/>
      <c r="I71" s="550"/>
      <c r="J71" s="550"/>
      <c r="K71" s="550"/>
      <c r="L71" s="576"/>
      <c r="M71" s="577"/>
      <c r="N71" s="1148"/>
      <c r="O71" s="1148"/>
      <c r="P71" s="45"/>
      <c r="Q71" s="500"/>
    </row>
    <row r="72" spans="1:17" s="114" customFormat="1" ht="15.75" thickBot="1">
      <c r="A72" s="575"/>
      <c r="B72" s="539"/>
      <c r="C72" s="556"/>
      <c r="D72" s="532"/>
      <c r="E72" s="532"/>
      <c r="F72" s="532"/>
      <c r="G72" s="532"/>
      <c r="H72" s="532"/>
      <c r="I72" s="532"/>
      <c r="J72" s="532"/>
      <c r="K72" s="532"/>
      <c r="L72" s="532"/>
      <c r="M72" s="533"/>
      <c r="N72" s="1150"/>
      <c r="O72" s="1150"/>
      <c r="P72" s="45"/>
      <c r="Q72" s="500"/>
    </row>
    <row r="73" spans="1:17" s="114" customFormat="1" ht="15.75" thickTop="1">
      <c r="A73" s="575"/>
      <c r="B73" s="534">
        <f>B24</f>
        <v>111</v>
      </c>
      <c r="C73" s="545"/>
      <c r="D73" s="545"/>
      <c r="E73" s="545"/>
      <c r="F73" s="545"/>
      <c r="G73" s="550"/>
      <c r="H73" s="550"/>
      <c r="I73" s="550"/>
      <c r="J73" s="550"/>
      <c r="K73" s="550"/>
      <c r="L73" s="550"/>
      <c r="M73" s="577"/>
      <c r="N73" s="1148"/>
      <c r="O73" s="1148"/>
      <c r="P73" s="45"/>
      <c r="Q73" s="500"/>
    </row>
    <row r="74" spans="1:17" s="114" customFormat="1" ht="15.75" thickBot="1">
      <c r="A74" s="575"/>
      <c r="B74" s="539"/>
      <c r="C74" s="556"/>
      <c r="D74" s="532"/>
      <c r="E74" s="532"/>
      <c r="F74" s="532"/>
      <c r="G74" s="532"/>
      <c r="H74" s="532"/>
      <c r="I74" s="532"/>
      <c r="J74" s="532"/>
      <c r="K74" s="532"/>
      <c r="L74" s="532"/>
      <c r="M74" s="533"/>
      <c r="N74" s="1150"/>
      <c r="O74" s="1150"/>
      <c r="P74" s="45"/>
      <c r="Q74" s="500"/>
    </row>
    <row r="75" spans="1:17" s="467" customFormat="1" ht="15.75" thickTop="1">
      <c r="A75" s="549"/>
      <c r="B75" s="534">
        <f>B25</f>
        <v>111</v>
      </c>
      <c r="C75" s="545"/>
      <c r="D75" s="545"/>
      <c r="E75" s="545"/>
      <c r="F75" s="545"/>
      <c r="G75" s="550"/>
      <c r="H75" s="551"/>
      <c r="I75" s="551"/>
      <c r="J75" s="551"/>
      <c r="K75" s="551"/>
      <c r="L75" s="552"/>
      <c r="M75" s="553"/>
      <c r="N75" s="1151"/>
      <c r="O75" s="1151"/>
      <c r="P75" s="554"/>
      <c r="Q75" s="555"/>
    </row>
    <row r="76" spans="1:17" s="467" customFormat="1" ht="15.75" thickBot="1">
      <c r="A76" s="549"/>
      <c r="B76" s="539"/>
      <c r="C76" s="556"/>
      <c r="D76" s="556"/>
      <c r="E76" s="556"/>
      <c r="F76" s="556"/>
      <c r="G76" s="532"/>
      <c r="H76" s="532"/>
      <c r="I76" s="532"/>
      <c r="J76" s="532"/>
      <c r="K76" s="532"/>
      <c r="L76" s="532"/>
      <c r="M76" s="533"/>
      <c r="N76" s="1151"/>
      <c r="O76" s="1151"/>
      <c r="P76" s="554"/>
      <c r="Q76" s="555"/>
    </row>
    <row r="77" spans="1:17" ht="15" thickTop="1">
      <c r="A77" s="523" t="s">
        <v>2548</v>
      </c>
      <c r="B77" s="524" t="s">
        <v>2601</v>
      </c>
      <c r="C77" s="550"/>
      <c r="D77" s="550"/>
      <c r="E77" s="526"/>
      <c r="F77" s="526"/>
      <c r="G77" s="526"/>
      <c r="H77" s="526"/>
      <c r="I77" s="526"/>
      <c r="J77" s="526"/>
      <c r="K77" s="527"/>
      <c r="L77" s="528"/>
      <c r="M77" s="529"/>
      <c r="N77" s="1149"/>
      <c r="O77" s="1149"/>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0"/>
      <c r="O78" s="1150"/>
      <c r="P78" s="45"/>
      <c r="Q78" s="500"/>
    </row>
    <row r="79" spans="1:17" ht="15.75" thickTop="1">
      <c r="A79" s="530"/>
      <c r="B79" s="534" t="s">
        <v>2717</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8"/>
      <c r="O79" s="1148"/>
      <c r="P79" s="45"/>
      <c r="Q79" s="500"/>
    </row>
    <row r="80" spans="1:17" ht="15">
      <c r="A80" s="530"/>
      <c r="B80" s="542"/>
      <c r="C80" s="599">
        <v>0.5</v>
      </c>
      <c r="D80" s="599">
        <v>0.6</v>
      </c>
      <c r="E80" s="599">
        <v>0.7</v>
      </c>
      <c r="F80" s="599">
        <v>0.8</v>
      </c>
      <c r="G80" s="599">
        <v>0.9</v>
      </c>
      <c r="H80" s="599">
        <v>1.0001</v>
      </c>
      <c r="I80" s="656"/>
      <c r="J80" s="656"/>
      <c r="K80" s="664"/>
      <c r="L80" s="665"/>
      <c r="M80" s="666"/>
      <c r="N80" s="1148"/>
      <c r="O80" s="1148"/>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0"/>
      <c r="O81" s="1150"/>
      <c r="P81" s="554"/>
      <c r="Q81" s="555"/>
    </row>
    <row r="82" spans="1:17" ht="15" thickTop="1">
      <c r="A82" s="595"/>
      <c r="B82" s="542" t="s">
        <v>2718</v>
      </c>
      <c r="C82" s="550"/>
      <c r="D82" s="550"/>
      <c r="E82" s="579"/>
      <c r="F82" s="579"/>
      <c r="G82" s="579"/>
      <c r="H82" s="579"/>
      <c r="I82" s="579"/>
      <c r="J82" s="579"/>
      <c r="K82" s="580"/>
      <c r="L82" s="581"/>
      <c r="M82" s="582"/>
      <c r="N82" s="1149"/>
      <c r="O82" s="1149"/>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0"/>
      <c r="O83" s="1150"/>
      <c r="P83" s="45"/>
      <c r="Q83" s="500"/>
    </row>
    <row r="84" spans="1:17" ht="15" thickTop="1">
      <c r="A84" s="595"/>
      <c r="B84" s="534" t="s">
        <v>2726</v>
      </c>
      <c r="C84" s="550"/>
      <c r="D84" s="550"/>
      <c r="E84" s="550"/>
      <c r="F84" s="550"/>
      <c r="G84" s="550"/>
      <c r="H84" s="550"/>
      <c r="I84" s="579"/>
      <c r="J84" s="579"/>
      <c r="K84" s="580"/>
      <c r="L84" s="581"/>
      <c r="M84" s="582"/>
      <c r="N84" s="1149"/>
      <c r="O84" s="1149"/>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0"/>
      <c r="O85" s="1150"/>
      <c r="P85" s="45"/>
      <c r="Q85" s="500"/>
    </row>
    <row r="86" spans="1:17" ht="15" thickTop="1">
      <c r="A86" s="595"/>
      <c r="B86" s="542" t="s">
        <v>2727</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9"/>
      <c r="O86" s="1149"/>
      <c r="P86" s="45"/>
      <c r="Q86" s="500"/>
    </row>
    <row r="87" spans="1:17">
      <c r="A87" s="595"/>
      <c r="B87" s="542"/>
      <c r="C87" s="591"/>
      <c r="D87" s="591"/>
      <c r="E87" s="591"/>
      <c r="F87" s="591"/>
      <c r="G87" s="591"/>
      <c r="H87" s="591"/>
      <c r="I87" s="591"/>
      <c r="J87" s="592"/>
      <c r="K87" s="592"/>
      <c r="L87" s="593"/>
      <c r="M87" s="594"/>
      <c r="N87" s="1149"/>
      <c r="O87" s="1149"/>
      <c r="P87" s="45"/>
      <c r="Q87" s="500"/>
    </row>
    <row r="88" spans="1:17" ht="15.75" thickBot="1">
      <c r="A88" s="530"/>
      <c r="B88" s="539"/>
      <c r="C88" s="556"/>
      <c r="D88" s="532"/>
      <c r="E88" s="532"/>
      <c r="F88" s="532"/>
      <c r="G88" s="532"/>
      <c r="H88" s="532"/>
      <c r="I88" s="532"/>
      <c r="J88" s="532"/>
      <c r="K88" s="532"/>
      <c r="L88" s="532"/>
      <c r="M88" s="532"/>
      <c r="N88" s="1150"/>
      <c r="O88" s="1150"/>
      <c r="P88" s="45"/>
      <c r="Q88" s="500"/>
    </row>
    <row r="89" spans="1:17" s="467" customFormat="1" ht="15" thickTop="1">
      <c r="A89" s="589"/>
      <c r="B89" s="534" t="s">
        <v>2728</v>
      </c>
      <c r="C89" s="550"/>
      <c r="D89" s="550"/>
      <c r="E89" s="550"/>
      <c r="F89" s="550"/>
      <c r="G89" s="550"/>
      <c r="H89" s="550"/>
      <c r="I89" s="550"/>
      <c r="J89" s="550"/>
      <c r="K89" s="550"/>
      <c r="L89" s="550"/>
      <c r="M89" s="577"/>
      <c r="N89" s="1151"/>
      <c r="O89" s="1151"/>
      <c r="P89" s="554"/>
      <c r="Q89" s="555"/>
    </row>
    <row r="90" spans="1:17" s="467" customFormat="1" ht="15.75" thickBot="1">
      <c r="A90" s="549"/>
      <c r="B90" s="539"/>
      <c r="C90" s="556"/>
      <c r="D90" s="532"/>
      <c r="E90" s="532"/>
      <c r="F90" s="532"/>
      <c r="G90" s="532"/>
      <c r="H90" s="532"/>
      <c r="I90" s="532"/>
      <c r="J90" s="532"/>
      <c r="K90" s="532"/>
      <c r="L90" s="532"/>
      <c r="M90" s="533"/>
      <c r="N90" s="1151"/>
      <c r="O90" s="1151"/>
      <c r="P90" s="554"/>
      <c r="Q90" s="555"/>
    </row>
    <row r="91" spans="1:17" ht="15" thickTop="1">
      <c r="A91" s="595"/>
      <c r="B91" s="534">
        <f>B32</f>
        <v>111</v>
      </c>
      <c r="C91" s="545"/>
      <c r="D91" s="545"/>
      <c r="E91" s="545"/>
      <c r="F91" s="545"/>
      <c r="G91" s="550"/>
      <c r="H91" s="551"/>
      <c r="I91" s="551"/>
      <c r="J91" s="551"/>
      <c r="K91" s="551"/>
      <c r="L91" s="552"/>
      <c r="M91" s="553"/>
      <c r="N91" s="1149"/>
      <c r="O91" s="1149"/>
      <c r="P91" s="45"/>
      <c r="Q91" s="500"/>
    </row>
    <row r="92" spans="1:17" ht="15.75" thickBot="1">
      <c r="A92" s="530"/>
      <c r="B92" s="539"/>
      <c r="C92" s="556"/>
      <c r="D92" s="532"/>
      <c r="E92" s="532"/>
      <c r="F92" s="532"/>
      <c r="G92" s="556"/>
      <c r="H92" s="558"/>
      <c r="I92" s="558"/>
      <c r="J92" s="558"/>
      <c r="K92" s="558"/>
      <c r="L92" s="558"/>
      <c r="M92" s="559"/>
      <c r="N92" s="1150"/>
      <c r="O92" s="1150"/>
      <c r="P92" s="45"/>
      <c r="Q92" s="500"/>
    </row>
    <row r="93" spans="1:17" ht="15" thickTop="1">
      <c r="A93" s="595"/>
      <c r="B93" s="534">
        <f>B33</f>
        <v>111</v>
      </c>
      <c r="C93" s="545"/>
      <c r="D93" s="545"/>
      <c r="E93" s="545"/>
      <c r="F93" s="545"/>
      <c r="G93" s="550"/>
      <c r="H93" s="551"/>
      <c r="I93" s="551"/>
      <c r="J93" s="551"/>
      <c r="K93" s="551"/>
      <c r="L93" s="552"/>
      <c r="M93" s="553"/>
      <c r="N93" s="1149"/>
      <c r="O93" s="1149"/>
      <c r="P93" s="45"/>
      <c r="Q93" s="500"/>
    </row>
    <row r="94" spans="1:17" ht="15.75" thickBot="1">
      <c r="A94" s="530"/>
      <c r="B94" s="539"/>
      <c r="C94" s="556"/>
      <c r="D94" s="532"/>
      <c r="E94" s="532"/>
      <c r="F94" s="532"/>
      <c r="G94" s="556"/>
      <c r="H94" s="558"/>
      <c r="I94" s="558"/>
      <c r="J94" s="558"/>
      <c r="K94" s="558"/>
      <c r="L94" s="558"/>
      <c r="M94" s="559"/>
      <c r="N94" s="1150"/>
      <c r="O94" s="1150"/>
      <c r="P94" s="45"/>
      <c r="Q94" s="500"/>
    </row>
    <row r="95" spans="1:17" ht="15" thickTop="1">
      <c r="A95" s="595"/>
      <c r="B95" s="632">
        <f>B34</f>
        <v>111</v>
      </c>
      <c r="C95" s="545"/>
      <c r="D95" s="545"/>
      <c r="E95" s="545"/>
      <c r="F95" s="545"/>
      <c r="G95" s="550"/>
      <c r="H95" s="551"/>
      <c r="I95" s="551"/>
      <c r="J95" s="551"/>
      <c r="K95" s="551"/>
      <c r="L95" s="552"/>
      <c r="M95" s="553"/>
      <c r="N95" s="1150"/>
      <c r="O95" s="1150"/>
      <c r="P95" s="633"/>
      <c r="Q95" s="634"/>
    </row>
    <row r="96" spans="1:17" ht="15.75" thickBot="1">
      <c r="A96" s="530"/>
      <c r="B96" s="539"/>
      <c r="C96" s="556"/>
      <c r="D96" s="556"/>
      <c r="E96" s="556"/>
      <c r="F96" s="556"/>
      <c r="G96" s="556"/>
      <c r="H96" s="558"/>
      <c r="I96" s="558"/>
      <c r="J96" s="558"/>
      <c r="K96" s="558"/>
      <c r="L96" s="558"/>
      <c r="M96" s="559"/>
      <c r="N96" s="1150"/>
      <c r="O96" s="1150"/>
      <c r="P96" s="45"/>
      <c r="Q96" s="500"/>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2729</v>
      </c>
      <c r="B1" s="391"/>
      <c r="C1" s="392" t="s">
        <v>2780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2314</v>
      </c>
      <c r="B2" s="667" t="e">
        <f>F61</f>
        <v>#DIV/0!</v>
      </c>
      <c r="C2" s="1122"/>
      <c r="D2" s="1122"/>
      <c r="E2" s="1122"/>
      <c r="F2" s="1123"/>
      <c r="G2" s="1122"/>
      <c r="H2" s="1122"/>
      <c r="I2" s="1122"/>
      <c r="J2" s="1122"/>
      <c r="K2" s="1124"/>
      <c r="L2" s="1125"/>
      <c r="M2" s="1126"/>
      <c r="N2" s="1126"/>
      <c r="O2" s="1126"/>
      <c r="P2" s="762"/>
      <c r="Q2" s="762"/>
      <c r="R2" s="762"/>
      <c r="S2" s="762"/>
      <c r="T2" s="762"/>
      <c r="U2" s="762"/>
      <c r="V2" s="762"/>
      <c r="W2" s="762"/>
      <c r="X2" s="762"/>
      <c r="Y2" s="762"/>
      <c r="Z2" s="762"/>
      <c r="AA2" s="762"/>
      <c r="AB2" s="762"/>
      <c r="AC2" s="763"/>
    </row>
    <row r="3" spans="1:29" s="394" customFormat="1" ht="28.5" customHeight="1" thickBot="1">
      <c r="A3" s="243" t="s">
        <v>2316</v>
      </c>
      <c r="B3" s="605" t="e">
        <f>ROUND(IF(D3="",B2*10000/'数据-汇总表'!E3,B2*10000/D3),0)</f>
        <v>#DIV/0!</v>
      </c>
      <c r="C3" s="243" t="s">
        <v>2731</v>
      </c>
      <c r="D3" s="1580"/>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397" t="s">
        <v>2630</v>
      </c>
      <c r="B4" s="398"/>
      <c r="C4" s="3169" t="s">
        <v>2631</v>
      </c>
      <c r="D4" s="3170"/>
      <c r="E4" s="3171" t="s">
        <v>2632</v>
      </c>
      <c r="F4" s="3172"/>
      <c r="G4" s="3169" t="s">
        <v>2633</v>
      </c>
      <c r="H4" s="3170"/>
      <c r="I4" s="3169" t="s">
        <v>2634</v>
      </c>
      <c r="J4" s="3170"/>
      <c r="K4" s="606" t="s">
        <v>2635</v>
      </c>
      <c r="L4" s="1127"/>
      <c r="M4" s="1128"/>
      <c r="N4" s="1128"/>
      <c r="O4" s="1128"/>
      <c r="P4" s="3173" t="s">
        <v>2636</v>
      </c>
      <c r="Q4" s="3174"/>
      <c r="R4" s="3179" t="s">
        <v>2632</v>
      </c>
      <c r="S4" s="3180"/>
      <c r="T4" s="3179" t="s">
        <v>2633</v>
      </c>
      <c r="U4" s="3180"/>
      <c r="V4" s="3185" t="s">
        <v>2634</v>
      </c>
      <c r="W4" s="3185"/>
      <c r="X4" s="1810"/>
      <c r="Y4" s="3179" t="s">
        <v>2636</v>
      </c>
      <c r="Z4" s="3180"/>
      <c r="AA4" s="3166" t="s">
        <v>2632</v>
      </c>
      <c r="AB4" s="3167" t="s">
        <v>2633</v>
      </c>
      <c r="AC4" s="3166" t="s">
        <v>2634</v>
      </c>
    </row>
    <row r="5" spans="1:29" ht="15">
      <c r="A5" s="400"/>
      <c r="B5" s="401"/>
      <c r="C5" s="3188" t="s">
        <v>2527</v>
      </c>
      <c r="D5" s="3189"/>
      <c r="E5" s="3195" t="s">
        <v>2528</v>
      </c>
      <c r="F5" s="3196"/>
      <c r="G5" s="3188" t="s">
        <v>2529</v>
      </c>
      <c r="H5" s="3189"/>
      <c r="I5" s="3188" t="s">
        <v>2530</v>
      </c>
      <c r="J5" s="3189"/>
      <c r="K5" s="606"/>
      <c r="L5" s="1127"/>
      <c r="M5" s="1128"/>
      <c r="N5" s="1128"/>
      <c r="O5" s="1128"/>
      <c r="P5" s="3175"/>
      <c r="Q5" s="3176"/>
      <c r="R5" s="3181"/>
      <c r="S5" s="3182"/>
      <c r="T5" s="3181"/>
      <c r="U5" s="3182"/>
      <c r="V5" s="3185"/>
      <c r="W5" s="3185"/>
      <c r="X5" s="1810"/>
      <c r="Y5" s="3181"/>
      <c r="Z5" s="3182"/>
      <c r="AA5" s="3167"/>
      <c r="AB5" s="3167"/>
      <c r="AC5" s="3167"/>
    </row>
    <row r="6" spans="1:29" ht="15.75" thickBot="1">
      <c r="A6" s="402"/>
      <c r="B6" s="403"/>
      <c r="C6" s="3217" t="s">
        <v>2781</v>
      </c>
      <c r="D6" s="3218"/>
      <c r="E6" s="3219" t="s">
        <v>2781</v>
      </c>
      <c r="F6" s="3220"/>
      <c r="G6" s="3217" t="s">
        <v>2781</v>
      </c>
      <c r="H6" s="3218"/>
      <c r="I6" s="3217" t="s">
        <v>2781</v>
      </c>
      <c r="J6" s="3218"/>
      <c r="K6" s="606" t="s">
        <v>2532</v>
      </c>
      <c r="L6" s="1127"/>
      <c r="M6" s="1128"/>
      <c r="N6" s="1128"/>
      <c r="O6" s="1128"/>
      <c r="P6" s="3177"/>
      <c r="Q6" s="3178"/>
      <c r="R6" s="3181"/>
      <c r="S6" s="3182"/>
      <c r="T6" s="3183"/>
      <c r="U6" s="3184"/>
      <c r="V6" s="3185"/>
      <c r="W6" s="3185"/>
      <c r="X6" s="1810"/>
      <c r="Y6" s="3183"/>
      <c r="Z6" s="3184"/>
      <c r="AA6" s="3168"/>
      <c r="AB6" s="3168"/>
      <c r="AC6" s="3168"/>
    </row>
    <row r="7" spans="1:29" s="114" customFormat="1" ht="15.75" thickBot="1">
      <c r="A7" s="404" t="s">
        <v>2533</v>
      </c>
      <c r="B7" s="405"/>
      <c r="C7" s="406">
        <f>'数据-取费表'!B2</f>
        <v>43237</v>
      </c>
      <c r="D7" s="407">
        <v>100</v>
      </c>
      <c r="E7" s="408"/>
      <c r="F7" s="409">
        <f>SUMIF(65:65,YEAR(E7)&amp;"-"&amp;INT((MONTH(E7)+2)/3),66:66)</f>
        <v>0</v>
      </c>
      <c r="G7" s="2692"/>
      <c r="H7" s="407">
        <f>SUMIF(65:65,YEAR(G7)&amp;"-"&amp;INT((MONTH(G7)+2)/3),66:66)</f>
        <v>0</v>
      </c>
      <c r="I7" s="2692"/>
      <c r="J7" s="407">
        <f>SUMIF(65:65,YEAR(I7)&amp;"-"&amp;INT((MONTH(I7)+2)/3),66:66)</f>
        <v>0</v>
      </c>
      <c r="K7" s="607"/>
      <c r="L7" s="1129"/>
      <c r="M7" s="1130"/>
      <c r="N7" s="1130"/>
      <c r="O7" s="1130"/>
      <c r="P7" s="3190" t="s">
        <v>2534</v>
      </c>
      <c r="Q7" s="3192"/>
      <c r="R7" s="764" t="s">
        <v>17</v>
      </c>
      <c r="S7" s="765">
        <f t="shared" ref="S7:S15" si="0">F7</f>
        <v>0</v>
      </c>
      <c r="T7" s="764" t="s">
        <v>17</v>
      </c>
      <c r="U7" s="765">
        <f t="shared" ref="U7:U15" si="1">H7</f>
        <v>0</v>
      </c>
      <c r="V7" s="764" t="s">
        <v>17</v>
      </c>
      <c r="W7" s="765">
        <f t="shared" ref="W7:W15" si="2">J7</f>
        <v>0</v>
      </c>
      <c r="X7" s="766"/>
      <c r="Y7" s="3190" t="s">
        <v>2534</v>
      </c>
      <c r="Z7" s="3191"/>
      <c r="AA7" s="767" t="e">
        <f>D7/F7</f>
        <v>#DIV/0!</v>
      </c>
      <c r="AB7" s="767" t="e">
        <f>D7/H7</f>
        <v>#DIV/0!</v>
      </c>
      <c r="AC7" s="767" t="e">
        <f>D7/J7</f>
        <v>#DIV/0!</v>
      </c>
    </row>
    <row r="8" spans="1:29" s="114" customFormat="1" ht="15.75" thickBot="1">
      <c r="A8" s="404" t="s">
        <v>2535</v>
      </c>
      <c r="B8" s="405"/>
      <c r="C8" s="410" t="s">
        <v>2536</v>
      </c>
      <c r="D8" s="407">
        <v>100</v>
      </c>
      <c r="E8" s="410"/>
      <c r="F8" s="409">
        <f>SUMIF(68:68,E8,69:69)-SUMIF(68:68,C8,69:69)+100</f>
        <v>0</v>
      </c>
      <c r="G8" s="410"/>
      <c r="H8" s="407">
        <f>SUMIF(68:68,G8,69:69)-SUMIF(68:68,C8,69:69)+100</f>
        <v>0</v>
      </c>
      <c r="I8" s="410"/>
      <c r="J8" s="407">
        <f>SUMIF(68:68,I8,69:69)-SUMIF(68:68,C8,69:69)+100</f>
        <v>0</v>
      </c>
      <c r="K8" s="607"/>
      <c r="L8" s="1129"/>
      <c r="M8" s="1130"/>
      <c r="N8" s="1130"/>
      <c r="O8" s="1130"/>
      <c r="P8" s="3190" t="s">
        <v>2537</v>
      </c>
      <c r="Q8" s="3191"/>
      <c r="R8" s="764" t="s">
        <v>17</v>
      </c>
      <c r="S8" s="765">
        <f t="shared" si="0"/>
        <v>0</v>
      </c>
      <c r="T8" s="764" t="s">
        <v>17</v>
      </c>
      <c r="U8" s="765">
        <f t="shared" si="1"/>
        <v>0</v>
      </c>
      <c r="V8" s="764" t="s">
        <v>17</v>
      </c>
      <c r="W8" s="765">
        <f t="shared" si="2"/>
        <v>0</v>
      </c>
      <c r="X8" s="766"/>
      <c r="Y8" s="3190" t="s">
        <v>2537</v>
      </c>
      <c r="Z8" s="3191"/>
      <c r="AA8" s="767" t="e">
        <f t="shared" ref="AA8:AA40" si="3">D8/F8</f>
        <v>#DIV/0!</v>
      </c>
      <c r="AB8" s="767" t="e">
        <f t="shared" ref="AB8:AB40" si="4">D8/H8</f>
        <v>#DIV/0!</v>
      </c>
      <c r="AC8" s="767" t="e">
        <f t="shared" ref="AC8:AC40" si="5">D8/J8</f>
        <v>#DIV/0!</v>
      </c>
    </row>
    <row r="9" spans="1:29" s="114" customFormat="1">
      <c r="A9" s="411" t="s">
        <v>2538</v>
      </c>
      <c r="B9" s="69" t="s">
        <v>2539</v>
      </c>
      <c r="C9" s="2695"/>
      <c r="D9" s="131">
        <v>100</v>
      </c>
      <c r="E9" s="2695"/>
      <c r="F9" s="131">
        <f>SUMIF(70:70,E9,71:71)-SUMIF(70:70,C9,71:71)+100</f>
        <v>100</v>
      </c>
      <c r="G9" s="2695"/>
      <c r="H9" s="131">
        <f>SUMIF(70:70,G9,71:71)-SUMIF(70:70,C9,71:71)+100</f>
        <v>100</v>
      </c>
      <c r="I9" s="2695"/>
      <c r="J9" s="131">
        <f>SUMIF(70:70,I9,71:71)-SUMIF(70:70,C9,71:71)+100</f>
        <v>100</v>
      </c>
      <c r="K9" s="607"/>
      <c r="L9" s="1129"/>
      <c r="M9" s="1130"/>
      <c r="N9" s="1130"/>
      <c r="O9" s="1131"/>
      <c r="P9" s="3154" t="s">
        <v>2540</v>
      </c>
      <c r="Q9" s="1792" t="str">
        <f t="shared" ref="Q9:Q15" si="6">B9</f>
        <v>用途</v>
      </c>
      <c r="R9" s="764" t="s">
        <v>17</v>
      </c>
      <c r="S9" s="765">
        <f t="shared" si="0"/>
        <v>100</v>
      </c>
      <c r="T9" s="764" t="s">
        <v>17</v>
      </c>
      <c r="U9" s="765">
        <f t="shared" si="1"/>
        <v>100</v>
      </c>
      <c r="V9" s="764" t="s">
        <v>17</v>
      </c>
      <c r="W9" s="765">
        <f t="shared" si="2"/>
        <v>100</v>
      </c>
      <c r="X9" s="766"/>
      <c r="Y9" s="2982" t="s">
        <v>2541</v>
      </c>
      <c r="Z9" s="55" t="str">
        <f t="shared" ref="Z9:Z15" si="7">Q9</f>
        <v>用途</v>
      </c>
      <c r="AA9" s="767">
        <f t="shared" si="3"/>
        <v>1</v>
      </c>
      <c r="AB9" s="767">
        <f t="shared" si="4"/>
        <v>1</v>
      </c>
      <c r="AC9" s="767">
        <f t="shared" si="5"/>
        <v>1</v>
      </c>
    </row>
    <row r="10" spans="1:29" s="423" customFormat="1" ht="27">
      <c r="A10" s="417"/>
      <c r="B10" s="418" t="s">
        <v>2542</v>
      </c>
      <c r="C10" s="428"/>
      <c r="D10" s="132">
        <v>100</v>
      </c>
      <c r="E10" s="428"/>
      <c r="F10" s="132">
        <f>ROUND(100/'数据-取费表'!G16,0)</f>
        <v>101</v>
      </c>
      <c r="G10" s="428"/>
      <c r="H10" s="132">
        <f>ROUND(100/'数据-取费表'!G16,0)</f>
        <v>101</v>
      </c>
      <c r="I10" s="428"/>
      <c r="J10" s="132">
        <f>ROUND(100/'数据-取费表'!G16,0)</f>
        <v>101</v>
      </c>
      <c r="K10" s="668"/>
      <c r="L10" s="1132"/>
      <c r="M10" s="1133"/>
      <c r="N10" s="1133"/>
      <c r="O10" s="1134"/>
      <c r="P10" s="3154"/>
      <c r="Q10" s="1792" t="str">
        <f t="shared" si="6"/>
        <v>土地使用年限（年）</v>
      </c>
      <c r="R10" s="764" t="s">
        <v>17</v>
      </c>
      <c r="S10" s="765">
        <f t="shared" si="0"/>
        <v>101</v>
      </c>
      <c r="T10" s="764" t="s">
        <v>17</v>
      </c>
      <c r="U10" s="765">
        <f t="shared" si="1"/>
        <v>101</v>
      </c>
      <c r="V10" s="764" t="s">
        <v>17</v>
      </c>
      <c r="W10" s="765">
        <f t="shared" si="2"/>
        <v>101</v>
      </c>
      <c r="X10" s="766"/>
      <c r="Y10" s="2982"/>
      <c r="Z10" s="55" t="str">
        <f t="shared" si="7"/>
        <v>土地使用年限（年）</v>
      </c>
      <c r="AA10" s="767">
        <f t="shared" si="3"/>
        <v>0.99009900990099009</v>
      </c>
      <c r="AB10" s="767">
        <f t="shared" si="4"/>
        <v>0.99009900990099009</v>
      </c>
      <c r="AC10" s="767">
        <f t="shared" si="5"/>
        <v>0.99009900990099009</v>
      </c>
    </row>
    <row r="11" spans="1:29" ht="15">
      <c r="A11" s="424"/>
      <c r="B11" s="418" t="s">
        <v>2543</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5"/>
      <c r="M11" s="1128"/>
      <c r="N11" s="1128"/>
      <c r="O11" s="1136"/>
      <c r="P11" s="3154"/>
      <c r="Q11" s="1792" t="str">
        <f t="shared" si="6"/>
        <v>容积率</v>
      </c>
      <c r="R11" s="764" t="s">
        <v>17</v>
      </c>
      <c r="S11" s="765" t="e">
        <f t="shared" si="0"/>
        <v>#N/A</v>
      </c>
      <c r="T11" s="764" t="s">
        <v>17</v>
      </c>
      <c r="U11" s="765" t="e">
        <f t="shared" si="1"/>
        <v>#N/A</v>
      </c>
      <c r="V11" s="764" t="s">
        <v>17</v>
      </c>
      <c r="W11" s="765" t="e">
        <f t="shared" si="2"/>
        <v>#N/A</v>
      </c>
      <c r="X11" s="766"/>
      <c r="Y11" s="2982"/>
      <c r="Z11" s="55" t="str">
        <f t="shared" si="7"/>
        <v>容积率</v>
      </c>
      <c r="AA11" s="767" t="e">
        <f t="shared" si="3"/>
        <v>#N/A</v>
      </c>
      <c r="AB11" s="767" t="e">
        <f t="shared" si="4"/>
        <v>#N/A</v>
      </c>
      <c r="AC11" s="767" t="e">
        <f t="shared" si="5"/>
        <v>#N/A</v>
      </c>
    </row>
    <row r="12" spans="1:29" s="114" customFormat="1" ht="15">
      <c r="A12" s="427"/>
      <c r="B12" s="2596">
        <v>111</v>
      </c>
      <c r="C12" s="428"/>
      <c r="D12" s="429">
        <v>100</v>
      </c>
      <c r="E12" s="545"/>
      <c r="F12" s="132">
        <f>SUMIF(77:77,E12,78:78)-SUMIF(77:77,C12,78:78)+100</f>
        <v>100</v>
      </c>
      <c r="G12" s="670"/>
      <c r="H12" s="132">
        <f>SUMIF(77:77,G12,78:78)-SUMIF(77:77,C12,78:78)+100</f>
        <v>100</v>
      </c>
      <c r="I12" s="545"/>
      <c r="J12" s="132">
        <f>SUMIF(77:77,I12,78:78)-SUMIF(77:77,C12,78:78)+100</f>
        <v>100</v>
      </c>
      <c r="K12" s="668"/>
      <c r="L12" s="1129"/>
      <c r="M12" s="1130"/>
      <c r="N12" s="1130"/>
      <c r="O12" s="1131"/>
      <c r="P12" s="3154"/>
      <c r="Q12" s="1792">
        <f t="shared" si="6"/>
        <v>111</v>
      </c>
      <c r="R12" s="764" t="s">
        <v>17</v>
      </c>
      <c r="S12" s="765">
        <f t="shared" si="0"/>
        <v>100</v>
      </c>
      <c r="T12" s="764" t="s">
        <v>17</v>
      </c>
      <c r="U12" s="765">
        <f t="shared" si="1"/>
        <v>100</v>
      </c>
      <c r="V12" s="764" t="s">
        <v>17</v>
      </c>
      <c r="W12" s="765">
        <f t="shared" si="2"/>
        <v>100</v>
      </c>
      <c r="X12" s="766"/>
      <c r="Y12" s="2982"/>
      <c r="Z12" s="55">
        <f t="shared" si="7"/>
        <v>111</v>
      </c>
      <c r="AA12" s="767">
        <f>D12/F12</f>
        <v>1</v>
      </c>
      <c r="AB12" s="767">
        <f>D12/H12</f>
        <v>1</v>
      </c>
      <c r="AC12" s="767">
        <f>D12/J12</f>
        <v>1</v>
      </c>
    </row>
    <row r="13" spans="1:29" ht="15">
      <c r="A13" s="424"/>
      <c r="B13" s="2596">
        <v>111</v>
      </c>
      <c r="C13" s="430"/>
      <c r="D13" s="431">
        <v>100</v>
      </c>
      <c r="E13" s="545"/>
      <c r="F13" s="132">
        <f>SUMIF(79:79,E13,80:80)-SUMIF(79:79,C13,80:80)+100</f>
        <v>100</v>
      </c>
      <c r="G13" s="670"/>
      <c r="H13" s="431">
        <f>SUMIF(79:79,G13,80:80)-SUMIF(79:79,C13,80:80)+100</f>
        <v>100</v>
      </c>
      <c r="I13" s="545"/>
      <c r="J13" s="431">
        <f>SUMIF(79:79,I13,80:80)-SUMIF(79:79,C13,80:80)+100</f>
        <v>100</v>
      </c>
      <c r="K13" s="668"/>
      <c r="L13" s="1137"/>
      <c r="M13" s="1128"/>
      <c r="N13" s="1128"/>
      <c r="O13" s="1136"/>
      <c r="P13" s="3154"/>
      <c r="Q13" s="1792">
        <f t="shared" si="6"/>
        <v>111</v>
      </c>
      <c r="R13" s="764" t="s">
        <v>17</v>
      </c>
      <c r="S13" s="765">
        <f t="shared" si="0"/>
        <v>100</v>
      </c>
      <c r="T13" s="764" t="s">
        <v>17</v>
      </c>
      <c r="U13" s="765">
        <f t="shared" si="1"/>
        <v>100</v>
      </c>
      <c r="V13" s="764" t="s">
        <v>17</v>
      </c>
      <c r="W13" s="765">
        <f t="shared" si="2"/>
        <v>100</v>
      </c>
      <c r="X13" s="766"/>
      <c r="Y13" s="2982"/>
      <c r="Z13" s="55">
        <f t="shared" si="7"/>
        <v>111</v>
      </c>
      <c r="AA13" s="767">
        <f t="shared" si="3"/>
        <v>1</v>
      </c>
      <c r="AB13" s="767">
        <f t="shared" si="4"/>
        <v>1</v>
      </c>
      <c r="AC13" s="767">
        <f t="shared" si="5"/>
        <v>1</v>
      </c>
    </row>
    <row r="14" spans="1:29" ht="15.75" thickBot="1">
      <c r="A14" s="432"/>
      <c r="B14" s="2598">
        <v>111</v>
      </c>
      <c r="C14" s="433"/>
      <c r="D14" s="434">
        <v>100</v>
      </c>
      <c r="E14" s="545"/>
      <c r="F14" s="434">
        <f>SUMIF(81:81,E14,82:82)-SUMIF(81:81,C14,82:82)+100</f>
        <v>100</v>
      </c>
      <c r="G14" s="670"/>
      <c r="H14" s="434">
        <f>SUMIF(81:81,G14,82:82)-SUMIF(81:81,C14,82:82)+100</f>
        <v>100</v>
      </c>
      <c r="I14" s="545"/>
      <c r="J14" s="434">
        <f>SUMIF(81:81,I14,82:82)-SUMIF(81:81,C14,82:82)+100</f>
        <v>100</v>
      </c>
      <c r="K14" s="668"/>
      <c r="L14" s="1137"/>
      <c r="M14" s="1128"/>
      <c r="N14" s="1128"/>
      <c r="O14" s="1136"/>
      <c r="P14" s="3154"/>
      <c r="Q14" s="1792">
        <f t="shared" si="6"/>
        <v>111</v>
      </c>
      <c r="R14" s="764" t="s">
        <v>17</v>
      </c>
      <c r="S14" s="765">
        <f t="shared" si="0"/>
        <v>100</v>
      </c>
      <c r="T14" s="764" t="s">
        <v>17</v>
      </c>
      <c r="U14" s="765">
        <f t="shared" si="1"/>
        <v>100</v>
      </c>
      <c r="V14" s="764" t="s">
        <v>17</v>
      </c>
      <c r="W14" s="765">
        <f t="shared" si="2"/>
        <v>100</v>
      </c>
      <c r="X14" s="766"/>
      <c r="Y14" s="2982"/>
      <c r="Z14" s="55">
        <f t="shared" si="7"/>
        <v>111</v>
      </c>
      <c r="AA14" s="767">
        <f t="shared" si="3"/>
        <v>1</v>
      </c>
      <c r="AB14" s="767">
        <f t="shared" si="4"/>
        <v>1</v>
      </c>
      <c r="AC14" s="767">
        <f t="shared" si="5"/>
        <v>1</v>
      </c>
    </row>
    <row r="15" spans="1:29" ht="57">
      <c r="A15" s="436" t="s">
        <v>2544</v>
      </c>
      <c r="B15" s="625" t="s">
        <v>2782</v>
      </c>
      <c r="C15" s="2689">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7"/>
      <c r="M15" s="1128"/>
      <c r="N15" s="1128"/>
      <c r="O15" s="1136"/>
      <c r="P15" s="3156" t="s">
        <v>2545</v>
      </c>
      <c r="Q15" s="1807" t="str">
        <f t="shared" si="6"/>
        <v>产业集聚程度</v>
      </c>
      <c r="R15" s="768" t="s">
        <v>17</v>
      </c>
      <c r="S15" s="769">
        <f t="shared" si="0"/>
        <v>100</v>
      </c>
      <c r="T15" s="768" t="s">
        <v>17</v>
      </c>
      <c r="U15" s="769">
        <f t="shared" si="1"/>
        <v>100</v>
      </c>
      <c r="V15" s="768" t="s">
        <v>17</v>
      </c>
      <c r="W15" s="769">
        <f t="shared" si="2"/>
        <v>100</v>
      </c>
      <c r="X15" s="1810"/>
      <c r="Y15" s="3156" t="s">
        <v>2545</v>
      </c>
      <c r="Z15" s="1811" t="str">
        <f t="shared" si="7"/>
        <v>产业集聚程度</v>
      </c>
      <c r="AA15" s="1808">
        <f t="shared" si="3"/>
        <v>1</v>
      </c>
      <c r="AB15" s="1808">
        <f t="shared" si="4"/>
        <v>1</v>
      </c>
      <c r="AC15" s="1808">
        <f t="shared" si="5"/>
        <v>1</v>
      </c>
    </row>
    <row r="16" spans="1:29" ht="15">
      <c r="A16" s="424"/>
      <c r="B16" s="626"/>
      <c r="C16" s="443"/>
      <c r="D16" s="444"/>
      <c r="E16" s="2607"/>
      <c r="F16" s="444"/>
      <c r="G16" s="2607"/>
      <c r="H16" s="446"/>
      <c r="I16" s="2607"/>
      <c r="J16" s="444"/>
      <c r="K16" s="668"/>
      <c r="L16" s="1137"/>
      <c r="M16" s="1128"/>
      <c r="N16" s="1128"/>
      <c r="O16" s="1136"/>
      <c r="P16" s="3157"/>
      <c r="Q16" s="1807"/>
      <c r="R16" s="768"/>
      <c r="S16" s="769"/>
      <c r="T16" s="768"/>
      <c r="U16" s="769"/>
      <c r="V16" s="768"/>
      <c r="W16" s="769"/>
      <c r="X16" s="1810"/>
      <c r="Y16" s="3157"/>
      <c r="Z16" s="1811"/>
      <c r="AA16" s="1808">
        <v>1</v>
      </c>
      <c r="AB16" s="1808">
        <v>1</v>
      </c>
      <c r="AC16" s="1808">
        <v>1</v>
      </c>
    </row>
    <row r="17" spans="1:29" ht="85.5">
      <c r="A17" s="424"/>
      <c r="B17" s="627" t="s">
        <v>2694</v>
      </c>
      <c r="C17" s="2603">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7"/>
      <c r="M17" s="1128"/>
      <c r="N17" s="1128"/>
      <c r="O17" s="1136"/>
      <c r="P17" s="3157"/>
      <c r="Q17" s="1807" t="str">
        <f>B17</f>
        <v>交通便捷度</v>
      </c>
      <c r="R17" s="768" t="s">
        <v>17</v>
      </c>
      <c r="S17" s="769">
        <f>F17</f>
        <v>100</v>
      </c>
      <c r="T17" s="768" t="s">
        <v>17</v>
      </c>
      <c r="U17" s="769">
        <f>H17</f>
        <v>100</v>
      </c>
      <c r="V17" s="768" t="s">
        <v>17</v>
      </c>
      <c r="W17" s="769">
        <f>J17</f>
        <v>100</v>
      </c>
      <c r="X17" s="1810"/>
      <c r="Y17" s="3157"/>
      <c r="Z17" s="1811" t="str">
        <f>Q17</f>
        <v>交通便捷度</v>
      </c>
      <c r="AA17" s="1808">
        <f t="shared" si="3"/>
        <v>1</v>
      </c>
      <c r="AB17" s="1808">
        <f t="shared" si="4"/>
        <v>1</v>
      </c>
      <c r="AC17" s="1808">
        <f t="shared" si="5"/>
        <v>1</v>
      </c>
    </row>
    <row r="18" spans="1:29" ht="15">
      <c r="A18" s="424"/>
      <c r="B18" s="628"/>
      <c r="C18" s="443"/>
      <c r="D18" s="444"/>
      <c r="E18" s="2601"/>
      <c r="F18" s="444"/>
      <c r="G18" s="2601"/>
      <c r="H18" s="444"/>
      <c r="I18" s="2600"/>
      <c r="J18" s="444"/>
      <c r="K18" s="668"/>
      <c r="L18" s="1137"/>
      <c r="M18" s="1128"/>
      <c r="N18" s="1128"/>
      <c r="O18" s="1136"/>
      <c r="P18" s="3157"/>
      <c r="Q18" s="1807"/>
      <c r="R18" s="768"/>
      <c r="S18" s="769"/>
      <c r="T18" s="768"/>
      <c r="U18" s="769"/>
      <c r="V18" s="768"/>
      <c r="W18" s="769"/>
      <c r="X18" s="1810"/>
      <c r="Y18" s="3157"/>
      <c r="Z18" s="1811"/>
      <c r="AA18" s="1808">
        <v>1</v>
      </c>
      <c r="AB18" s="1808">
        <v>1</v>
      </c>
      <c r="AC18" s="1808">
        <v>1</v>
      </c>
    </row>
    <row r="19" spans="1:29" ht="15">
      <c r="A19" s="424"/>
      <c r="B19" s="627" t="s">
        <v>2733</v>
      </c>
      <c r="C19" s="2603">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7"/>
      <c r="M19" s="1128"/>
      <c r="N19" s="1128"/>
      <c r="O19" s="1136"/>
      <c r="P19" s="3157"/>
      <c r="Q19" s="1807" t="str">
        <f t="shared" ref="Q19:Q33" si="8">B19</f>
        <v>区域土地利用方向</v>
      </c>
      <c r="R19" s="768" t="s">
        <v>17</v>
      </c>
      <c r="S19" s="769">
        <f>F19</f>
        <v>100</v>
      </c>
      <c r="T19" s="768" t="s">
        <v>17</v>
      </c>
      <c r="U19" s="769">
        <f>H19</f>
        <v>100</v>
      </c>
      <c r="V19" s="768" t="s">
        <v>17</v>
      </c>
      <c r="W19" s="769">
        <f>J19</f>
        <v>100</v>
      </c>
      <c r="X19" s="1810"/>
      <c r="Y19" s="3157"/>
      <c r="Z19" s="1811" t="str">
        <f>Q19</f>
        <v>区域土地利用方向</v>
      </c>
      <c r="AA19" s="1808">
        <f t="shared" si="3"/>
        <v>1</v>
      </c>
      <c r="AB19" s="1808">
        <f t="shared" si="4"/>
        <v>1</v>
      </c>
      <c r="AC19" s="1808">
        <f t="shared" si="5"/>
        <v>1</v>
      </c>
    </row>
    <row r="20" spans="1:29" ht="15">
      <c r="A20" s="400"/>
      <c r="B20" s="628"/>
      <c r="C20" s="443"/>
      <c r="D20" s="444"/>
      <c r="E20" s="2601"/>
      <c r="F20" s="444"/>
      <c r="G20" s="2601"/>
      <c r="H20" s="444"/>
      <c r="I20" s="2601"/>
      <c r="J20" s="444"/>
      <c r="K20" s="806"/>
      <c r="L20" s="1137"/>
      <c r="M20" s="1128"/>
      <c r="N20" s="1128"/>
      <c r="O20" s="1136"/>
      <c r="P20" s="3157"/>
      <c r="Q20" s="1807"/>
      <c r="R20" s="768"/>
      <c r="S20" s="769"/>
      <c r="T20" s="768"/>
      <c r="U20" s="769"/>
      <c r="V20" s="768"/>
      <c r="W20" s="769"/>
      <c r="X20" s="1810"/>
      <c r="Y20" s="3157"/>
      <c r="Z20" s="1811"/>
      <c r="AA20" s="1808"/>
      <c r="AB20" s="1808"/>
      <c r="AC20" s="1808"/>
    </row>
    <row r="21" spans="1:29" ht="71.25">
      <c r="A21" s="400"/>
      <c r="B21" s="627" t="s">
        <v>2783</v>
      </c>
      <c r="C21" s="2603">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7"/>
      <c r="M21" s="1128"/>
      <c r="N21" s="1128"/>
      <c r="O21" s="1136"/>
      <c r="P21" s="3157"/>
      <c r="Q21" s="1807" t="str">
        <f t="shared" si="8"/>
        <v>环境状况</v>
      </c>
      <c r="R21" s="768" t="s">
        <v>17</v>
      </c>
      <c r="S21" s="769">
        <f>F21</f>
        <v>100</v>
      </c>
      <c r="T21" s="768" t="s">
        <v>17</v>
      </c>
      <c r="U21" s="769">
        <f>H21</f>
        <v>100</v>
      </c>
      <c r="V21" s="768" t="s">
        <v>17</v>
      </c>
      <c r="W21" s="769">
        <f>J21</f>
        <v>100</v>
      </c>
      <c r="X21" s="1810"/>
      <c r="Y21" s="3157"/>
      <c r="Z21" s="1811" t="str">
        <f>Q21</f>
        <v>环境状况</v>
      </c>
      <c r="AA21" s="1808">
        <f t="shared" si="3"/>
        <v>1</v>
      </c>
      <c r="AB21" s="1808">
        <f t="shared" si="4"/>
        <v>1</v>
      </c>
      <c r="AC21" s="1808">
        <f t="shared" si="5"/>
        <v>1</v>
      </c>
    </row>
    <row r="22" spans="1:29" ht="15">
      <c r="A22" s="400"/>
      <c r="B22" s="628"/>
      <c r="C22" s="443"/>
      <c r="D22" s="444"/>
      <c r="E22" s="2607"/>
      <c r="F22" s="444"/>
      <c r="G22" s="2607"/>
      <c r="H22" s="444"/>
      <c r="I22" s="443"/>
      <c r="J22" s="444"/>
      <c r="K22" s="668"/>
      <c r="L22" s="1137"/>
      <c r="M22" s="1128"/>
      <c r="N22" s="1128"/>
      <c r="O22" s="1136"/>
      <c r="P22" s="3157"/>
      <c r="Q22" s="1807"/>
      <c r="R22" s="768"/>
      <c r="S22" s="769"/>
      <c r="T22" s="768"/>
      <c r="U22" s="769"/>
      <c r="V22" s="768"/>
      <c r="W22" s="769"/>
      <c r="X22" s="1810"/>
      <c r="Y22" s="3157"/>
      <c r="Z22" s="1811"/>
      <c r="AA22" s="1808">
        <v>1</v>
      </c>
      <c r="AB22" s="1808">
        <v>1</v>
      </c>
      <c r="AC22" s="1808">
        <v>1</v>
      </c>
    </row>
    <row r="23" spans="1:29" s="114" customFormat="1" ht="42.75">
      <c r="A23" s="645"/>
      <c r="B23" s="629" t="s">
        <v>2639</v>
      </c>
      <c r="C23" s="2603">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9"/>
      <c r="M23" s="1130"/>
      <c r="N23" s="1130"/>
      <c r="O23" s="1131"/>
      <c r="P23" s="3157"/>
      <c r="Q23" s="1792" t="str">
        <f t="shared" si="8"/>
        <v>公共配套设施</v>
      </c>
      <c r="R23" s="764" t="s">
        <v>17</v>
      </c>
      <c r="S23" s="765">
        <f>F23</f>
        <v>100</v>
      </c>
      <c r="T23" s="764" t="s">
        <v>17</v>
      </c>
      <c r="U23" s="765">
        <f>H23</f>
        <v>100</v>
      </c>
      <c r="V23" s="764" t="s">
        <v>17</v>
      </c>
      <c r="W23" s="765">
        <f>J23</f>
        <v>100</v>
      </c>
      <c r="X23" s="766"/>
      <c r="Y23" s="3157"/>
      <c r="Z23" s="55" t="str">
        <f>Q23</f>
        <v>公共配套设施</v>
      </c>
      <c r="AA23" s="1808">
        <f>D23/F23</f>
        <v>1</v>
      </c>
      <c r="AB23" s="1808">
        <f>D23/H23</f>
        <v>1</v>
      </c>
      <c r="AC23" s="1808">
        <f>D23/J23</f>
        <v>1</v>
      </c>
    </row>
    <row r="24" spans="1:29" s="114" customFormat="1" ht="15">
      <c r="A24" s="645"/>
      <c r="B24" s="628"/>
      <c r="C24" s="2696"/>
      <c r="D24" s="444"/>
      <c r="E24" s="2607"/>
      <c r="F24" s="444"/>
      <c r="G24" s="2607"/>
      <c r="H24" s="444"/>
      <c r="I24" s="443"/>
      <c r="J24" s="444"/>
      <c r="K24" s="668"/>
      <c r="L24" s="1129"/>
      <c r="M24" s="1130"/>
      <c r="N24" s="1130"/>
      <c r="O24" s="1131"/>
      <c r="P24" s="3157"/>
      <c r="Q24" s="1792"/>
      <c r="R24" s="764"/>
      <c r="S24" s="765"/>
      <c r="T24" s="764"/>
      <c r="U24" s="765"/>
      <c r="V24" s="764"/>
      <c r="W24" s="765"/>
      <c r="X24" s="766"/>
      <c r="Y24" s="3157"/>
      <c r="Z24" s="55"/>
      <c r="AA24" s="767">
        <v>1</v>
      </c>
      <c r="AB24" s="767">
        <v>1</v>
      </c>
      <c r="AC24" s="767">
        <v>1</v>
      </c>
    </row>
    <row r="25" spans="1:29" s="114" customFormat="1" ht="28.5">
      <c r="A25" s="645"/>
      <c r="B25" s="629" t="s">
        <v>2640</v>
      </c>
      <c r="C25" s="2603">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9"/>
      <c r="M25" s="1130"/>
      <c r="N25" s="1130"/>
      <c r="O25" s="1131"/>
      <c r="P25" s="3157"/>
      <c r="Q25" s="1792" t="str">
        <f t="shared" ref="Q25" si="9">B25</f>
        <v>基础设施水平</v>
      </c>
      <c r="R25" s="764" t="s">
        <v>17</v>
      </c>
      <c r="S25" s="765">
        <f>F25</f>
        <v>100</v>
      </c>
      <c r="T25" s="764" t="s">
        <v>17</v>
      </c>
      <c r="U25" s="765">
        <f>H25</f>
        <v>100</v>
      </c>
      <c r="V25" s="764" t="s">
        <v>17</v>
      </c>
      <c r="W25" s="765">
        <f>J25</f>
        <v>100</v>
      </c>
      <c r="X25" s="766"/>
      <c r="Y25" s="3157"/>
      <c r="Z25" s="55" t="str">
        <f>Q25</f>
        <v>基础设施水平</v>
      </c>
      <c r="AA25" s="1808">
        <f>D25/F25</f>
        <v>1</v>
      </c>
      <c r="AB25" s="1808">
        <f>D25/H25</f>
        <v>1</v>
      </c>
      <c r="AC25" s="1808">
        <f>D25/J25</f>
        <v>1</v>
      </c>
    </row>
    <row r="26" spans="1:29" s="114" customFormat="1" ht="15">
      <c r="A26" s="645"/>
      <c r="B26" s="628"/>
      <c r="C26" s="2696"/>
      <c r="D26" s="444"/>
      <c r="E26" s="2697"/>
      <c r="F26" s="444"/>
      <c r="G26" s="2697"/>
      <c r="H26" s="444"/>
      <c r="I26" s="2697"/>
      <c r="J26" s="444"/>
      <c r="K26" s="668"/>
      <c r="L26" s="1129"/>
      <c r="M26" s="1130"/>
      <c r="N26" s="1130"/>
      <c r="O26" s="1131"/>
      <c r="P26" s="3157"/>
      <c r="Q26" s="1792"/>
      <c r="R26" s="764"/>
      <c r="S26" s="765"/>
      <c r="T26" s="764"/>
      <c r="U26" s="765"/>
      <c r="V26" s="764"/>
      <c r="W26" s="765"/>
      <c r="X26" s="766"/>
      <c r="Y26" s="3157"/>
      <c r="Z26" s="55"/>
      <c r="AA26" s="767">
        <v>1</v>
      </c>
      <c r="AB26" s="767">
        <v>1</v>
      </c>
      <c r="AC26" s="767">
        <v>1</v>
      </c>
    </row>
    <row r="27" spans="1:29" ht="15">
      <c r="A27" s="424"/>
      <c r="B27" s="628" t="s">
        <v>2641</v>
      </c>
      <c r="C27" s="612"/>
      <c r="D27" s="431">
        <v>100</v>
      </c>
      <c r="E27" s="630"/>
      <c r="F27" s="431">
        <f>SUMIF(95:95,E27,96:96)-SUMIF(95:95,C27,96:96)+100</f>
        <v>100</v>
      </c>
      <c r="G27" s="630"/>
      <c r="H27" s="431">
        <f>SUMIF(95:95,G27,96:96)-SUMIF(95:95,C27,96:96)+100</f>
        <v>100</v>
      </c>
      <c r="I27" s="630"/>
      <c r="J27" s="431">
        <f>SUMIF(95:95,I27,96:96)-SUMIF(95:95,C27,96:96)+100</f>
        <v>100</v>
      </c>
      <c r="K27" s="669"/>
      <c r="L27" s="1137"/>
      <c r="M27" s="1128"/>
      <c r="N27" s="1128"/>
      <c r="O27" s="1136"/>
      <c r="P27" s="3157"/>
      <c r="Q27" s="1807" t="str">
        <f t="shared" si="8"/>
        <v>临街状况</v>
      </c>
      <c r="R27" s="768" t="s">
        <v>17</v>
      </c>
      <c r="S27" s="769">
        <f t="shared" ref="S27:S40" si="10">F27</f>
        <v>100</v>
      </c>
      <c r="T27" s="768" t="s">
        <v>17</v>
      </c>
      <c r="U27" s="769">
        <f t="shared" ref="U27:U40" si="11">H27</f>
        <v>100</v>
      </c>
      <c r="V27" s="768" t="s">
        <v>17</v>
      </c>
      <c r="W27" s="769">
        <f t="shared" ref="W27:W40" si="12">J27</f>
        <v>100</v>
      </c>
      <c r="X27" s="1810"/>
      <c r="Y27" s="3157"/>
      <c r="Z27" s="1811" t="str">
        <f t="shared" ref="Z27:Z40" si="13">Q27</f>
        <v>临街状况</v>
      </c>
      <c r="AA27" s="1808">
        <f t="shared" si="3"/>
        <v>1</v>
      </c>
      <c r="AB27" s="1808">
        <f t="shared" si="4"/>
        <v>1</v>
      </c>
      <c r="AC27" s="1808">
        <f t="shared" si="5"/>
        <v>1</v>
      </c>
    </row>
    <row r="28" spans="1:29" ht="27">
      <c r="A28" s="424"/>
      <c r="B28" s="629" t="s">
        <v>2676</v>
      </c>
      <c r="C28" s="2709">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7"/>
      <c r="M28" s="1128"/>
      <c r="N28" s="1128"/>
      <c r="O28" s="1136"/>
      <c r="P28" s="3157"/>
      <c r="Q28" s="1807" t="str">
        <f t="shared" si="8"/>
        <v>毗邻道路的类型与等级</v>
      </c>
      <c r="R28" s="768" t="s">
        <v>17</v>
      </c>
      <c r="S28" s="769">
        <f t="shared" si="10"/>
        <v>100</v>
      </c>
      <c r="T28" s="768" t="s">
        <v>17</v>
      </c>
      <c r="U28" s="769">
        <f t="shared" si="11"/>
        <v>100</v>
      </c>
      <c r="V28" s="768" t="s">
        <v>17</v>
      </c>
      <c r="W28" s="769">
        <f t="shared" si="12"/>
        <v>100</v>
      </c>
      <c r="X28" s="1810"/>
      <c r="Y28" s="3157"/>
      <c r="Z28" s="1811" t="str">
        <f t="shared" si="13"/>
        <v>毗邻道路的类型与等级</v>
      </c>
      <c r="AA28" s="1808">
        <f t="shared" si="3"/>
        <v>1</v>
      </c>
      <c r="AB28" s="1808">
        <f t="shared" si="4"/>
        <v>1</v>
      </c>
      <c r="AC28" s="1808">
        <f t="shared" si="5"/>
        <v>1</v>
      </c>
    </row>
    <row r="29" spans="1:29" ht="15">
      <c r="A29" s="424"/>
      <c r="B29" s="628"/>
      <c r="C29" s="443"/>
      <c r="D29" s="444"/>
      <c r="E29" s="2607"/>
      <c r="F29" s="444"/>
      <c r="G29" s="2607"/>
      <c r="H29" s="444"/>
      <c r="I29" s="2607"/>
      <c r="J29" s="444"/>
      <c r="K29" s="609"/>
      <c r="L29" s="1137"/>
      <c r="M29" s="1128"/>
      <c r="N29" s="1128"/>
      <c r="O29" s="1136"/>
      <c r="P29" s="3157"/>
      <c r="Q29" s="1807"/>
      <c r="R29" s="768"/>
      <c r="S29" s="769"/>
      <c r="T29" s="768"/>
      <c r="U29" s="769"/>
      <c r="V29" s="768"/>
      <c r="W29" s="769"/>
      <c r="X29" s="1810"/>
      <c r="Y29" s="3157"/>
      <c r="Z29" s="1811"/>
      <c r="AA29" s="1808">
        <v>1</v>
      </c>
      <c r="AB29" s="1808">
        <v>1</v>
      </c>
      <c r="AC29" s="1808">
        <v>1</v>
      </c>
    </row>
    <row r="30" spans="1:29" ht="15">
      <c r="A30" s="424"/>
      <c r="B30" s="650" t="s">
        <v>2735</v>
      </c>
      <c r="C30" s="1386">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7"/>
      <c r="M30" s="1128"/>
      <c r="N30" s="1128"/>
      <c r="O30" s="1136"/>
      <c r="P30" s="3157"/>
      <c r="Q30" s="1807" t="str">
        <f t="shared" si="8"/>
        <v>土地级别</v>
      </c>
      <c r="R30" s="768" t="s">
        <v>17</v>
      </c>
      <c r="S30" s="769">
        <f t="shared" si="10"/>
        <v>100</v>
      </c>
      <c r="T30" s="768" t="s">
        <v>17</v>
      </c>
      <c r="U30" s="769">
        <f t="shared" si="11"/>
        <v>100</v>
      </c>
      <c r="V30" s="768" t="s">
        <v>17</v>
      </c>
      <c r="W30" s="769">
        <f t="shared" si="12"/>
        <v>100</v>
      </c>
      <c r="X30" s="1810"/>
      <c r="Y30" s="3157"/>
      <c r="Z30" s="1811" t="str">
        <f t="shared" si="13"/>
        <v>土地级别</v>
      </c>
      <c r="AA30" s="1808">
        <f t="shared" si="3"/>
        <v>1</v>
      </c>
      <c r="AB30" s="1808">
        <f t="shared" si="4"/>
        <v>1</v>
      </c>
      <c r="AC30" s="1808">
        <f t="shared" si="5"/>
        <v>1</v>
      </c>
    </row>
    <row r="31" spans="1:29" ht="15">
      <c r="A31" s="400"/>
      <c r="B31" s="2674">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7"/>
      <c r="M31" s="1128"/>
      <c r="N31" s="1128"/>
      <c r="O31" s="1136"/>
      <c r="P31" s="3157"/>
      <c r="Q31" s="1807">
        <f t="shared" si="8"/>
        <v>111</v>
      </c>
      <c r="R31" s="768" t="s">
        <v>17</v>
      </c>
      <c r="S31" s="769">
        <f t="shared" si="10"/>
        <v>100</v>
      </c>
      <c r="T31" s="768" t="s">
        <v>17</v>
      </c>
      <c r="U31" s="769">
        <f t="shared" si="11"/>
        <v>100</v>
      </c>
      <c r="V31" s="768" t="s">
        <v>17</v>
      </c>
      <c r="W31" s="769">
        <f t="shared" si="12"/>
        <v>100</v>
      </c>
      <c r="X31" s="1810"/>
      <c r="Y31" s="3157"/>
      <c r="Z31" s="1811">
        <f t="shared" si="13"/>
        <v>111</v>
      </c>
      <c r="AA31" s="1808">
        <f t="shared" si="3"/>
        <v>1</v>
      </c>
      <c r="AB31" s="1808">
        <f t="shared" si="4"/>
        <v>1</v>
      </c>
      <c r="AC31" s="1808">
        <f t="shared" si="5"/>
        <v>1</v>
      </c>
    </row>
    <row r="32" spans="1:29" ht="15">
      <c r="A32" s="671"/>
      <c r="B32" s="2710">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7"/>
      <c r="M32" s="1128"/>
      <c r="N32" s="1128"/>
      <c r="O32" s="1136"/>
      <c r="P32" s="3212" t="s">
        <v>2550</v>
      </c>
      <c r="Q32" s="1807">
        <f t="shared" si="8"/>
        <v>111</v>
      </c>
      <c r="R32" s="768" t="s">
        <v>17</v>
      </c>
      <c r="S32" s="769">
        <f t="shared" si="10"/>
        <v>100</v>
      </c>
      <c r="T32" s="768" t="s">
        <v>17</v>
      </c>
      <c r="U32" s="769">
        <f t="shared" si="11"/>
        <v>100</v>
      </c>
      <c r="V32" s="768" t="s">
        <v>17</v>
      </c>
      <c r="W32" s="769">
        <f t="shared" si="12"/>
        <v>100</v>
      </c>
      <c r="X32" s="1810"/>
      <c r="Y32" s="3161" t="s">
        <v>2550</v>
      </c>
      <c r="Z32" s="1811">
        <f t="shared" si="13"/>
        <v>111</v>
      </c>
      <c r="AA32" s="1808">
        <f t="shared" si="3"/>
        <v>1</v>
      </c>
      <c r="AB32" s="1808">
        <f t="shared" si="4"/>
        <v>1</v>
      </c>
      <c r="AC32" s="1808">
        <f t="shared" si="5"/>
        <v>1</v>
      </c>
    </row>
    <row r="33" spans="1:29" s="467" customFormat="1" ht="15.75" thickBot="1">
      <c r="A33" s="672"/>
      <c r="B33" s="2711">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5"/>
      <c r="M33" s="1138"/>
      <c r="N33" s="1138"/>
      <c r="O33" s="1139"/>
      <c r="P33" s="3161"/>
      <c r="Q33" s="1807">
        <f t="shared" si="8"/>
        <v>111</v>
      </c>
      <c r="R33" s="771" t="s">
        <v>17</v>
      </c>
      <c r="S33" s="772">
        <f t="shared" si="10"/>
        <v>100</v>
      </c>
      <c r="T33" s="771" t="s">
        <v>17</v>
      </c>
      <c r="U33" s="772">
        <f t="shared" si="11"/>
        <v>100</v>
      </c>
      <c r="V33" s="771" t="s">
        <v>17</v>
      </c>
      <c r="W33" s="772">
        <f t="shared" si="12"/>
        <v>100</v>
      </c>
      <c r="X33" s="773"/>
      <c r="Y33" s="3161"/>
      <c r="Z33" s="774">
        <f t="shared" si="13"/>
        <v>111</v>
      </c>
      <c r="AA33" s="1808">
        <f t="shared" si="3"/>
        <v>1</v>
      </c>
      <c r="AB33" s="1808">
        <f t="shared" si="4"/>
        <v>1</v>
      </c>
      <c r="AC33" s="1808">
        <f t="shared" si="5"/>
        <v>1</v>
      </c>
    </row>
    <row r="34" spans="1:29" ht="15">
      <c r="A34" s="436" t="s">
        <v>2548</v>
      </c>
      <c r="B34" s="452" t="s">
        <v>2736</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7"/>
      <c r="M34" s="1128"/>
      <c r="N34" s="1128"/>
      <c r="O34" s="1136"/>
      <c r="P34" s="3161"/>
      <c r="Q34" s="1807" t="str">
        <f>B34</f>
        <v>宗地面积</v>
      </c>
      <c r="R34" s="768" t="s">
        <v>17</v>
      </c>
      <c r="S34" s="769" t="e">
        <f t="shared" si="10"/>
        <v>#N/A</v>
      </c>
      <c r="T34" s="768" t="s">
        <v>17</v>
      </c>
      <c r="U34" s="769" t="e">
        <f t="shared" si="11"/>
        <v>#N/A</v>
      </c>
      <c r="V34" s="768" t="s">
        <v>17</v>
      </c>
      <c r="W34" s="769" t="e">
        <f t="shared" si="12"/>
        <v>#N/A</v>
      </c>
      <c r="X34" s="1810"/>
      <c r="Y34" s="3161"/>
      <c r="Z34" s="1811" t="str">
        <f t="shared" si="13"/>
        <v>宗地面积</v>
      </c>
      <c r="AA34" s="1808" t="e">
        <f t="shared" si="3"/>
        <v>#N/A</v>
      </c>
      <c r="AB34" s="1808" t="e">
        <f t="shared" si="4"/>
        <v>#N/A</v>
      </c>
      <c r="AC34" s="1808" t="e">
        <f t="shared" si="5"/>
        <v>#N/A</v>
      </c>
    </row>
    <row r="35" spans="1:29" ht="15">
      <c r="A35" s="468"/>
      <c r="B35" s="418" t="s">
        <v>2737</v>
      </c>
      <c r="C35" s="2609"/>
      <c r="D35" s="431">
        <v>100</v>
      </c>
      <c r="E35" s="2609"/>
      <c r="F35" s="431">
        <f>SUMIF(110:110,E35,111:111)-SUMIF(110:110,C35,111:111)+100</f>
        <v>100</v>
      </c>
      <c r="G35" s="2609"/>
      <c r="H35" s="431">
        <f>SUMIF(110:110,G35,111:111)-SUMIF(110:110,C35,111:111)+100</f>
        <v>100</v>
      </c>
      <c r="I35" s="2609"/>
      <c r="J35" s="431">
        <f>SUMIF(110:110,I35,111:111)-SUMIF(110:110,C35,111:111)+100</f>
        <v>100</v>
      </c>
      <c r="K35" s="608"/>
      <c r="L35" s="1137"/>
      <c r="M35" s="1128"/>
      <c r="N35" s="1128"/>
      <c r="O35" s="1136"/>
      <c r="P35" s="3161"/>
      <c r="Q35" s="1807" t="str">
        <f t="shared" ref="Q35:Q40" si="14">B35</f>
        <v>宗地形状</v>
      </c>
      <c r="R35" s="768" t="s">
        <v>17</v>
      </c>
      <c r="S35" s="769">
        <f t="shared" si="10"/>
        <v>100</v>
      </c>
      <c r="T35" s="768" t="s">
        <v>17</v>
      </c>
      <c r="U35" s="769">
        <f t="shared" si="11"/>
        <v>100</v>
      </c>
      <c r="V35" s="768" t="s">
        <v>17</v>
      </c>
      <c r="W35" s="769">
        <f t="shared" si="12"/>
        <v>100</v>
      </c>
      <c r="X35" s="1810"/>
      <c r="Y35" s="3161"/>
      <c r="Z35" s="1811" t="str">
        <f t="shared" si="13"/>
        <v>宗地形状</v>
      </c>
      <c r="AA35" s="1808">
        <f t="shared" si="3"/>
        <v>1</v>
      </c>
      <c r="AB35" s="1808">
        <f t="shared" si="4"/>
        <v>1</v>
      </c>
      <c r="AC35" s="1808">
        <f t="shared" si="5"/>
        <v>1</v>
      </c>
    </row>
    <row r="36" spans="1:29" s="114" customFormat="1" ht="15">
      <c r="A36" s="469"/>
      <c r="B36" s="418" t="s">
        <v>2739</v>
      </c>
      <c r="C36" s="2698"/>
      <c r="D36" s="132">
        <v>100</v>
      </c>
      <c r="E36" s="2698"/>
      <c r="F36" s="431">
        <f>SUMIF(112:112,E36,113:113)-SUMIF(112:112,C36,113:113)+100</f>
        <v>100</v>
      </c>
      <c r="G36" s="2698"/>
      <c r="H36" s="431">
        <f>SUMIF(112:112,G36,113:113)-SUMIF(112:112,C36,113:113)+100</f>
        <v>100</v>
      </c>
      <c r="I36" s="2698"/>
      <c r="J36" s="431">
        <f>SUMIF(112:112,I36,113:113)-SUMIF(112:112,C36,113:113)+100</f>
        <v>100</v>
      </c>
      <c r="K36" s="608"/>
      <c r="L36" s="1129"/>
      <c r="M36" s="1130"/>
      <c r="N36" s="1130"/>
      <c r="O36" s="1131"/>
      <c r="P36" s="3161"/>
      <c r="Q36" s="1807" t="str">
        <f t="shared" si="14"/>
        <v>宗地开发程度</v>
      </c>
      <c r="R36" s="764" t="s">
        <v>17</v>
      </c>
      <c r="S36" s="765">
        <f t="shared" si="10"/>
        <v>100</v>
      </c>
      <c r="T36" s="764" t="s">
        <v>17</v>
      </c>
      <c r="U36" s="765">
        <f t="shared" si="11"/>
        <v>100</v>
      </c>
      <c r="V36" s="764" t="s">
        <v>17</v>
      </c>
      <c r="W36" s="765">
        <f t="shared" si="12"/>
        <v>100</v>
      </c>
      <c r="X36" s="766"/>
      <c r="Y36" s="3161"/>
      <c r="Z36" s="55" t="str">
        <f t="shared" si="13"/>
        <v>宗地开发程度</v>
      </c>
      <c r="AA36" s="767">
        <f t="shared" si="3"/>
        <v>1</v>
      </c>
      <c r="AB36" s="767">
        <f t="shared" si="4"/>
        <v>1</v>
      </c>
      <c r="AC36" s="767">
        <f t="shared" si="5"/>
        <v>1</v>
      </c>
    </row>
    <row r="37" spans="1:29" ht="15">
      <c r="A37" s="468"/>
      <c r="B37" s="418" t="s">
        <v>2740</v>
      </c>
      <c r="C37" s="2609"/>
      <c r="D37" s="431">
        <v>100</v>
      </c>
      <c r="E37" s="2609"/>
      <c r="F37" s="431">
        <f>SUMIF(114:114,E37,115:115)-SUMIF(114:114,C37,115:115)+100</f>
        <v>100</v>
      </c>
      <c r="G37" s="2609"/>
      <c r="H37" s="431">
        <f>SUMIF(114:114,G37,115:115)-SUMIF(114:114,C37,115:115)+100</f>
        <v>100</v>
      </c>
      <c r="I37" s="2609"/>
      <c r="J37" s="431">
        <f>SUMIF(114:114,I37,115:115)-SUMIF(114:114,C37,115:115)+100</f>
        <v>100</v>
      </c>
      <c r="K37" s="608"/>
      <c r="L37" s="1137"/>
      <c r="M37" s="1128"/>
      <c r="N37" s="1128"/>
      <c r="O37" s="1136"/>
      <c r="P37" s="3161" t="s">
        <v>2550</v>
      </c>
      <c r="Q37" s="1807" t="str">
        <f t="shared" si="14"/>
        <v>工程地质条件</v>
      </c>
      <c r="R37" s="768" t="s">
        <v>17</v>
      </c>
      <c r="S37" s="769">
        <f t="shared" si="10"/>
        <v>100</v>
      </c>
      <c r="T37" s="768" t="s">
        <v>17</v>
      </c>
      <c r="U37" s="769">
        <f t="shared" si="11"/>
        <v>100</v>
      </c>
      <c r="V37" s="768" t="s">
        <v>17</v>
      </c>
      <c r="W37" s="769">
        <f t="shared" si="12"/>
        <v>100</v>
      </c>
      <c r="X37" s="1810"/>
      <c r="Y37" s="3161" t="s">
        <v>2550</v>
      </c>
      <c r="Z37" s="1811" t="str">
        <f t="shared" si="13"/>
        <v>工程地质条件</v>
      </c>
      <c r="AA37" s="1808">
        <f t="shared" si="3"/>
        <v>1</v>
      </c>
      <c r="AB37" s="1808">
        <f t="shared" si="4"/>
        <v>1</v>
      </c>
      <c r="AC37" s="1808">
        <f t="shared" si="5"/>
        <v>1</v>
      </c>
    </row>
    <row r="38" spans="1:29" ht="15">
      <c r="A38" s="468"/>
      <c r="B38" s="1384">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7"/>
      <c r="M38" s="1128"/>
      <c r="N38" s="1128"/>
      <c r="O38" s="1136"/>
      <c r="P38" s="3161"/>
      <c r="Q38" s="1807">
        <f t="shared" si="14"/>
        <v>111</v>
      </c>
      <c r="R38" s="768" t="s">
        <v>17</v>
      </c>
      <c r="S38" s="769">
        <f t="shared" si="10"/>
        <v>100</v>
      </c>
      <c r="T38" s="768" t="s">
        <v>17</v>
      </c>
      <c r="U38" s="769">
        <f t="shared" si="11"/>
        <v>100</v>
      </c>
      <c r="V38" s="768" t="s">
        <v>17</v>
      </c>
      <c r="W38" s="769">
        <f t="shared" si="12"/>
        <v>100</v>
      </c>
      <c r="X38" s="1810"/>
      <c r="Y38" s="3161"/>
      <c r="Z38" s="1811">
        <f t="shared" si="13"/>
        <v>111</v>
      </c>
      <c r="AA38" s="1808">
        <f t="shared" si="3"/>
        <v>1</v>
      </c>
      <c r="AB38" s="1808">
        <f t="shared" si="4"/>
        <v>1</v>
      </c>
      <c r="AC38" s="1808">
        <f t="shared" si="5"/>
        <v>1</v>
      </c>
    </row>
    <row r="39" spans="1:29" ht="15">
      <c r="A39" s="468"/>
      <c r="B39" s="1384">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7"/>
      <c r="M39" s="1128"/>
      <c r="N39" s="1128"/>
      <c r="O39" s="1136"/>
      <c r="P39" s="3161"/>
      <c r="Q39" s="1807">
        <f t="shared" si="14"/>
        <v>111</v>
      </c>
      <c r="R39" s="768" t="s">
        <v>17</v>
      </c>
      <c r="S39" s="769">
        <f t="shared" si="10"/>
        <v>100</v>
      </c>
      <c r="T39" s="768" t="s">
        <v>17</v>
      </c>
      <c r="U39" s="769">
        <f t="shared" si="11"/>
        <v>100</v>
      </c>
      <c r="V39" s="768" t="s">
        <v>17</v>
      </c>
      <c r="W39" s="769">
        <f t="shared" si="12"/>
        <v>100</v>
      </c>
      <c r="X39" s="1810"/>
      <c r="Y39" s="3161"/>
      <c r="Z39" s="1811">
        <f t="shared" si="13"/>
        <v>111</v>
      </c>
      <c r="AA39" s="1808">
        <f t="shared" si="3"/>
        <v>1</v>
      </c>
      <c r="AB39" s="1808">
        <f t="shared" si="4"/>
        <v>1</v>
      </c>
      <c r="AC39" s="1808">
        <f t="shared" si="5"/>
        <v>1</v>
      </c>
    </row>
    <row r="40" spans="1:29" s="467" customFormat="1" ht="15.75" thickBot="1">
      <c r="A40" s="464"/>
      <c r="B40" s="1384">
        <v>111</v>
      </c>
      <c r="C40" s="2699"/>
      <c r="D40" s="133">
        <v>100</v>
      </c>
      <c r="E40" s="670"/>
      <c r="F40" s="434">
        <f>SUMIF(120:120,E40,121:121)-SUMIF(120:120,C40,121:121)+100</f>
        <v>100</v>
      </c>
      <c r="G40" s="670"/>
      <c r="H40" s="434">
        <f>SUMIF(120:120,G40,121:121)-SUMIF(120:120,C40,121:121)+100</f>
        <v>100</v>
      </c>
      <c r="I40" s="545"/>
      <c r="J40" s="434">
        <f>SUMIF(120:120,I40,121:121)-SUMIF(120:120,C40,121:121)+100</f>
        <v>100</v>
      </c>
      <c r="K40" s="677"/>
      <c r="L40" s="1135"/>
      <c r="M40" s="1138"/>
      <c r="N40" s="1138"/>
      <c r="O40" s="1139"/>
      <c r="P40" s="3161"/>
      <c r="Q40" s="1807">
        <f t="shared" si="14"/>
        <v>111</v>
      </c>
      <c r="R40" s="771" t="s">
        <v>17</v>
      </c>
      <c r="S40" s="772">
        <f t="shared" si="10"/>
        <v>100</v>
      </c>
      <c r="T40" s="771" t="s">
        <v>17</v>
      </c>
      <c r="U40" s="772">
        <f t="shared" si="11"/>
        <v>100</v>
      </c>
      <c r="V40" s="771" t="s">
        <v>17</v>
      </c>
      <c r="W40" s="772">
        <f t="shared" si="12"/>
        <v>100</v>
      </c>
      <c r="X40" s="773"/>
      <c r="Y40" s="3161"/>
      <c r="Z40" s="774">
        <f t="shared" si="13"/>
        <v>111</v>
      </c>
      <c r="AA40" s="1808">
        <f t="shared" si="3"/>
        <v>1</v>
      </c>
      <c r="AB40" s="1808">
        <f t="shared" si="4"/>
        <v>1</v>
      </c>
      <c r="AC40" s="1808">
        <f t="shared" si="5"/>
        <v>1</v>
      </c>
    </row>
    <row r="41" spans="1:29" ht="15">
      <c r="A41" s="475" t="s">
        <v>2705</v>
      </c>
      <c r="B41" s="2700" t="s">
        <v>2784</v>
      </c>
      <c r="C41" s="678" t="s">
        <v>1</v>
      </c>
      <c r="D41" s="477"/>
      <c r="E41" s="478"/>
      <c r="F41" s="479"/>
      <c r="G41" s="480"/>
      <c r="H41" s="481"/>
      <c r="I41" s="478"/>
      <c r="J41" s="481"/>
      <c r="K41" s="777"/>
      <c r="L41" s="1140"/>
      <c r="M41" s="1128"/>
      <c r="N41" s="1128"/>
      <c r="O41" s="1141"/>
      <c r="P41" s="3154" t="str">
        <f>A41</f>
        <v>成交单价</v>
      </c>
      <c r="Q41" s="3154"/>
      <c r="R41" s="3185">
        <f>E41</f>
        <v>0</v>
      </c>
      <c r="S41" s="3185"/>
      <c r="T41" s="3185">
        <f>G41</f>
        <v>0</v>
      </c>
      <c r="U41" s="3185"/>
      <c r="V41" s="3185">
        <f>I41</f>
        <v>0</v>
      </c>
      <c r="W41" s="3185"/>
      <c r="X41" s="753"/>
      <c r="Y41" s="775"/>
      <c r="Z41" s="753"/>
      <c r="AA41" s="753"/>
      <c r="AB41" s="753"/>
      <c r="AC41" s="753"/>
    </row>
    <row r="42" spans="1:29" ht="15.75" thickBot="1">
      <c r="A42" s="482" t="s">
        <v>2654</v>
      </c>
      <c r="B42" s="679"/>
      <c r="C42" s="486" t="e">
        <f>R43</f>
        <v>#DIV/0!</v>
      </c>
      <c r="D42" s="485"/>
      <c r="E42" s="486" t="e">
        <f>R42</f>
        <v>#DIV/0!</v>
      </c>
      <c r="F42" s="487"/>
      <c r="G42" s="484" t="e">
        <f>T42</f>
        <v>#DIV/0!</v>
      </c>
      <c r="H42" s="485"/>
      <c r="I42" s="486" t="e">
        <f>V42</f>
        <v>#DIV/0!</v>
      </c>
      <c r="J42" s="485"/>
      <c r="K42" s="778"/>
      <c r="L42" s="1140"/>
      <c r="M42" s="1128"/>
      <c r="N42" s="1128"/>
      <c r="O42" s="1141"/>
      <c r="P42" s="3154" t="str">
        <f>A42</f>
        <v>比较价值（元/平方米）</v>
      </c>
      <c r="Q42" s="3154"/>
      <c r="R42" s="3213" t="e">
        <f>ROUND(PRODUCT(R41,AA7:AA40),0)</f>
        <v>#DIV/0!</v>
      </c>
      <c r="S42" s="3213"/>
      <c r="T42" s="3213" t="e">
        <f>ROUND(PRODUCT(T41,AB7:AB40),0)</f>
        <v>#DIV/0!</v>
      </c>
      <c r="U42" s="3213"/>
      <c r="V42" s="3213" t="e">
        <f>ROUND(PRODUCT(V41,AC7:AC40),0)</f>
        <v>#DIV/0!</v>
      </c>
      <c r="W42" s="3213"/>
      <c r="X42" s="753"/>
      <c r="Y42" s="753"/>
      <c r="Z42" s="753"/>
      <c r="AA42" s="753"/>
      <c r="AB42" s="753"/>
      <c r="AC42" s="753"/>
    </row>
    <row r="43" spans="1:29" ht="15.75" thickBot="1">
      <c r="A43" s="488" t="s">
        <v>2655</v>
      </c>
      <c r="B43" s="489"/>
      <c r="C43" s="490" t="e">
        <f>R43</f>
        <v>#DIV/0!</v>
      </c>
      <c r="D43" s="490"/>
      <c r="E43" s="490"/>
      <c r="F43" s="490"/>
      <c r="G43" s="490"/>
      <c r="H43" s="490"/>
      <c r="I43" s="490"/>
      <c r="J43" s="490"/>
      <c r="K43" s="779"/>
      <c r="L43" s="1140"/>
      <c r="M43" s="1128"/>
      <c r="N43" s="1128"/>
      <c r="O43" s="1141"/>
      <c r="P43" s="3151" t="str">
        <f>A43</f>
        <v>估价对象XX用房的比较价值（楼面单价，元/平方米）</v>
      </c>
      <c r="Q43" s="3152"/>
      <c r="R43" s="3214" t="e">
        <f>ROUND(AVERAGE(R42:V42),0)</f>
        <v>#DIV/0!</v>
      </c>
      <c r="S43" s="3214"/>
      <c r="T43" s="3214"/>
      <c r="U43" s="3214"/>
      <c r="V43" s="3214"/>
      <c r="W43" s="3214"/>
      <c r="X43" s="753"/>
      <c r="Y43" s="753"/>
      <c r="Z43" s="753"/>
      <c r="AA43" s="753"/>
      <c r="AB43" s="753"/>
      <c r="AC43" s="753"/>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28"/>
      <c r="N46" s="1128"/>
      <c r="O46" s="1141"/>
    </row>
    <row r="47" spans="1:29" ht="13.5" customHeight="1">
      <c r="A47" s="1141"/>
      <c r="B47" s="1141"/>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1"/>
      <c r="N47" s="1141"/>
      <c r="O47" s="1141"/>
    </row>
    <row r="48" spans="1:29" s="498" customFormat="1" ht="13.5" customHeight="1">
      <c r="A48" s="1142"/>
      <c r="B48" s="1142"/>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5"/>
      <c r="L48" s="1146"/>
      <c r="M48" s="1142"/>
      <c r="N48" s="1142"/>
      <c r="O48" s="1142"/>
    </row>
    <row r="49" spans="1:17" s="498" customFormat="1" ht="15" thickBot="1">
      <c r="A49" s="1142"/>
      <c r="B49" s="1143"/>
      <c r="C49" s="756"/>
      <c r="D49" s="754"/>
      <c r="E49" s="754"/>
      <c r="F49" s="754"/>
      <c r="G49" s="754"/>
      <c r="H49" s="754"/>
      <c r="I49" s="754"/>
      <c r="J49" s="754"/>
      <c r="K49" s="1145"/>
      <c r="L49" s="1146"/>
      <c r="M49" s="1142"/>
      <c r="N49" s="1142"/>
      <c r="O49" s="1142"/>
    </row>
    <row r="50" spans="1:17" ht="27">
      <c r="A50" s="680" t="s">
        <v>2743</v>
      </c>
      <c r="B50" s="681" t="s">
        <v>2744</v>
      </c>
      <c r="C50" s="2701" t="s">
        <v>2745</v>
      </c>
      <c r="D50" s="2702" t="s">
        <v>2746</v>
      </c>
      <c r="E50" s="682" t="s">
        <v>2747</v>
      </c>
      <c r="F50" s="683" t="s">
        <v>2748</v>
      </c>
      <c r="G50" s="3169" t="s">
        <v>2749</v>
      </c>
      <c r="H50" s="3215"/>
      <c r="I50" s="1811" t="s">
        <v>2785</v>
      </c>
      <c r="J50" s="1811">
        <f>项目基本情况!F35</f>
        <v>0</v>
      </c>
      <c r="K50" s="2704" t="s">
        <v>2751</v>
      </c>
      <c r="L50" s="1103"/>
      <c r="M50" s="1141"/>
      <c r="N50" s="1141"/>
      <c r="O50" s="1141"/>
    </row>
    <row r="51" spans="1:17" s="688" customFormat="1">
      <c r="A51" s="684" t="s">
        <v>2752</v>
      </c>
      <c r="B51" s="685" t="e">
        <f>C43</f>
        <v>#DIV/0!</v>
      </c>
      <c r="C51" s="686">
        <v>1</v>
      </c>
      <c r="D51" s="1160">
        <v>1</v>
      </c>
      <c r="E51" s="686">
        <f>'数据-汇总表'!E8+'数据-汇总表'!E9</f>
        <v>143507.00000000003</v>
      </c>
      <c r="F51" s="687" t="e">
        <f t="shared" ref="F51:F60" si="15">ROUND(B51*E51/10000,0)</f>
        <v>#DIV/0!</v>
      </c>
      <c r="G51" s="3165"/>
      <c r="H51" s="3154"/>
      <c r="I51" s="939">
        <v>1</v>
      </c>
      <c r="J51" s="939">
        <v>1</v>
      </c>
      <c r="K51" s="1142"/>
      <c r="L51" s="938"/>
      <c r="M51" s="938"/>
      <c r="N51" s="938"/>
      <c r="O51" s="938"/>
    </row>
    <row r="52" spans="1:17" s="688" customFormat="1">
      <c r="A52" s="689" t="s">
        <v>2753</v>
      </c>
      <c r="B52" s="258" t="e">
        <f>ROUND($C$43*C52*D52,0)</f>
        <v>#DIV/0!</v>
      </c>
      <c r="C52" s="196">
        <f t="shared" ref="C52:C60" si="16">IF($C$50="北京市系数",I52,J52)</f>
        <v>0.6</v>
      </c>
      <c r="D52" s="1161">
        <v>0.25</v>
      </c>
      <c r="E52" s="690"/>
      <c r="F52" s="687" t="e">
        <f t="shared" si="15"/>
        <v>#DIV/0!</v>
      </c>
      <c r="G52" s="3216" t="s">
        <v>2754</v>
      </c>
      <c r="H52" s="1101" t="str">
        <f>项目基本情况!B37</f>
        <v>九级</v>
      </c>
      <c r="I52" s="939">
        <f>SUMIF(修正!A45:A56,H52,修正!B45:B56)</f>
        <v>0.6</v>
      </c>
      <c r="J52" s="940"/>
      <c r="K52" s="1141"/>
      <c r="L52" s="938"/>
      <c r="M52" s="938"/>
      <c r="N52" s="938"/>
      <c r="O52" s="938"/>
    </row>
    <row r="53" spans="1:17" s="688" customFormat="1">
      <c r="A53" s="689" t="s">
        <v>2755</v>
      </c>
      <c r="B53" s="258" t="e">
        <f t="shared" ref="B53:B60" si="17">ROUND($C$43*C53*D53,0)</f>
        <v>#DIV/0!</v>
      </c>
      <c r="C53" s="196">
        <f t="shared" si="16"/>
        <v>0.3</v>
      </c>
      <c r="D53" s="1161">
        <v>0.25</v>
      </c>
      <c r="E53" s="690"/>
      <c r="F53" s="687" t="e">
        <f t="shared" si="15"/>
        <v>#DIV/0!</v>
      </c>
      <c r="G53" s="3216"/>
      <c r="H53" s="1101" t="str">
        <f>项目基本情况!B37</f>
        <v>九级</v>
      </c>
      <c r="I53" s="939">
        <f>SUMIF(修正!A45:A56,H53,修正!C45:C56)</f>
        <v>0.3</v>
      </c>
      <c r="J53" s="940"/>
      <c r="K53" s="1142"/>
      <c r="L53" s="938"/>
      <c r="M53" s="938"/>
      <c r="N53" s="938"/>
      <c r="O53" s="938"/>
    </row>
    <row r="54" spans="1:17" s="688" customFormat="1">
      <c r="A54" s="689" t="s">
        <v>2756</v>
      </c>
      <c r="B54" s="258" t="e">
        <f t="shared" si="17"/>
        <v>#DIV/0!</v>
      </c>
      <c r="C54" s="196">
        <f t="shared" si="16"/>
        <v>0.2</v>
      </c>
      <c r="D54" s="1161">
        <v>0.25</v>
      </c>
      <c r="E54" s="690"/>
      <c r="F54" s="687" t="e">
        <f t="shared" si="15"/>
        <v>#DIV/0!</v>
      </c>
      <c r="G54" s="3216"/>
      <c r="H54" s="1101" t="str">
        <f>项目基本情况!B37</f>
        <v>九级</v>
      </c>
      <c r="I54" s="939">
        <f>SUMIF(修正!A45:A56,H54,修正!D45:D56)</f>
        <v>0.2</v>
      </c>
      <c r="J54" s="940"/>
      <c r="K54" s="1141"/>
      <c r="L54" s="938"/>
      <c r="M54" s="938"/>
      <c r="N54" s="938"/>
      <c r="O54" s="938"/>
    </row>
    <row r="55" spans="1:17" s="688" customFormat="1">
      <c r="A55" s="689" t="s">
        <v>2757</v>
      </c>
      <c r="B55" s="258" t="e">
        <f t="shared" si="17"/>
        <v>#DIV/0!</v>
      </c>
      <c r="C55" s="196">
        <f t="shared" si="16"/>
        <v>0.2</v>
      </c>
      <c r="D55" s="1161">
        <v>0.25</v>
      </c>
      <c r="E55" s="690"/>
      <c r="F55" s="687" t="e">
        <f t="shared" si="15"/>
        <v>#DIV/0!</v>
      </c>
      <c r="G55" s="3216"/>
      <c r="H55" s="1101" t="str">
        <f>项目基本情况!B37</f>
        <v>九级</v>
      </c>
      <c r="I55" s="939">
        <f>SUMIF(修正!A45:A56,H55,修正!E45:E56)</f>
        <v>0.2</v>
      </c>
      <c r="J55" s="940"/>
      <c r="K55" s="1142"/>
      <c r="L55" s="938"/>
      <c r="M55" s="938"/>
      <c r="N55" s="938"/>
      <c r="O55" s="938"/>
    </row>
    <row r="56" spans="1:17" s="688" customFormat="1">
      <c r="A56" s="689" t="s">
        <v>2758</v>
      </c>
      <c r="B56" s="258" t="e">
        <f t="shared" si="17"/>
        <v>#DIV/0!</v>
      </c>
      <c r="C56" s="196">
        <f t="shared" si="16"/>
        <v>0.2</v>
      </c>
      <c r="D56" s="1161">
        <v>0.25</v>
      </c>
      <c r="E56" s="257">
        <f>'数据-汇总表'!E11</f>
        <v>0</v>
      </c>
      <c r="F56" s="687" t="e">
        <f t="shared" si="15"/>
        <v>#DIV/0!</v>
      </c>
      <c r="G56" s="2705" t="s">
        <v>2759</v>
      </c>
      <c r="H56" s="1101" t="str">
        <f>项目基本情况!C37</f>
        <v>九级</v>
      </c>
      <c r="I56" s="939">
        <f>SUMIF(修正!A45:A56,H56,修正!F45:F56)</f>
        <v>0.2</v>
      </c>
      <c r="J56" s="940"/>
      <c r="K56" s="1141"/>
      <c r="L56" s="938"/>
      <c r="M56" s="938"/>
      <c r="N56" s="938"/>
      <c r="O56" s="938"/>
    </row>
    <row r="57" spans="1:17" s="688" customFormat="1">
      <c r="A57" s="689" t="s">
        <v>2760</v>
      </c>
      <c r="B57" s="258" t="e">
        <f t="shared" si="17"/>
        <v>#DIV/0!</v>
      </c>
      <c r="C57" s="196">
        <f t="shared" si="16"/>
        <v>0.2</v>
      </c>
      <c r="D57" s="1161">
        <v>0.25</v>
      </c>
      <c r="E57" s="257">
        <f>'数据-汇总表'!E12</f>
        <v>0</v>
      </c>
      <c r="F57" s="687" t="e">
        <f t="shared" si="15"/>
        <v>#DIV/0!</v>
      </c>
      <c r="G57" s="1106" t="s">
        <v>2761</v>
      </c>
      <c r="H57" s="1101" t="str">
        <f>IF(G57="商业",项目基本情况!B37,IF(G57="办公",项目基本情况!C37,IF(G57="住宅",项目基本情况!D37,项目基本情况!E37)))</f>
        <v>九级</v>
      </c>
      <c r="I57" s="939">
        <f>SUMIF(修正!A45:A56,H57,修正!G45:G56)</f>
        <v>0.2</v>
      </c>
      <c r="J57" s="940"/>
      <c r="K57" s="1142"/>
      <c r="L57" s="938"/>
      <c r="M57" s="938"/>
      <c r="N57" s="938"/>
      <c r="O57" s="938"/>
    </row>
    <row r="58" spans="1:17" s="688" customFormat="1">
      <c r="A58" s="689" t="s">
        <v>2762</v>
      </c>
      <c r="B58" s="258" t="e">
        <f t="shared" si="17"/>
        <v>#DIV/0!</v>
      </c>
      <c r="C58" s="196">
        <f t="shared" si="16"/>
        <v>0</v>
      </c>
      <c r="D58" s="1161">
        <v>0.25</v>
      </c>
      <c r="E58" s="257">
        <f>'数据-汇总表'!E13</f>
        <v>0</v>
      </c>
      <c r="F58" s="687" t="e">
        <f t="shared" si="15"/>
        <v>#DIV/0!</v>
      </c>
      <c r="G58" s="1106" t="s">
        <v>2763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8" customFormat="1">
      <c r="A59" s="689" t="s">
        <v>2764</v>
      </c>
      <c r="B59" s="258" t="e">
        <f t="shared" si="17"/>
        <v>#DIV/0!</v>
      </c>
      <c r="C59" s="196">
        <f t="shared" si="16"/>
        <v>0.15</v>
      </c>
      <c r="D59" s="1161">
        <v>0.25</v>
      </c>
      <c r="E59" s="257">
        <f>'数据-汇总表'!E14</f>
        <v>0</v>
      </c>
      <c r="F59" s="687" t="e">
        <f t="shared" si="15"/>
        <v>#DIV/0!</v>
      </c>
      <c r="G59" s="2705" t="s">
        <v>2754</v>
      </c>
      <c r="H59" s="1101" t="str">
        <f>项目基本情况!B37</f>
        <v>九级</v>
      </c>
      <c r="I59" s="939">
        <f>SUMIF(修正!A45:A56,H59,修正!H45:H56)</f>
        <v>0.15</v>
      </c>
      <c r="J59" s="940"/>
      <c r="K59" s="1142"/>
      <c r="L59" s="938"/>
      <c r="M59" s="938"/>
      <c r="N59" s="938"/>
      <c r="O59" s="938"/>
    </row>
    <row r="60" spans="1:17" s="688" customFormat="1" ht="15" thickBot="1">
      <c r="A60" s="689" t="s">
        <v>2765</v>
      </c>
      <c r="B60" s="258" t="e">
        <f t="shared" si="17"/>
        <v>#DIV/0!</v>
      </c>
      <c r="C60" s="196">
        <f t="shared" si="16"/>
        <v>0.15</v>
      </c>
      <c r="D60" s="1161">
        <v>0.25</v>
      </c>
      <c r="E60" s="257">
        <f>'数据-汇总表'!E15</f>
        <v>35129</v>
      </c>
      <c r="F60" s="687" t="e">
        <f t="shared" si="15"/>
        <v>#DIV/0!</v>
      </c>
      <c r="G60" s="2706" t="s">
        <v>2759</v>
      </c>
      <c r="H60" s="1111" t="str">
        <f>项目基本情况!C37</f>
        <v>九级</v>
      </c>
      <c r="I60" s="939">
        <f>SUMIF(修正!A45:A56,H60,修正!H45:H56)</f>
        <v>0.15</v>
      </c>
      <c r="J60" s="940"/>
      <c r="K60" s="1141"/>
      <c r="L60" s="938"/>
      <c r="M60" s="938"/>
      <c r="N60" s="938"/>
      <c r="O60" s="938"/>
    </row>
    <row r="61" spans="1:17" s="688" customFormat="1" ht="15" thickBot="1">
      <c r="A61" s="691" t="s">
        <v>2766</v>
      </c>
      <c r="B61" s="692" t="s">
        <v>28</v>
      </c>
      <c r="C61" s="692" t="s">
        <v>29</v>
      </c>
      <c r="D61" s="692" t="s">
        <v>1029</v>
      </c>
      <c r="E61" s="692">
        <f>IF(B41="楼面地价",SUM(E51:E60),'数据-汇总表'!D3)</f>
        <v>43974.38</v>
      </c>
      <c r="F61" s="693"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5" t="str">
        <f>YEAR(C7)&amp;"-"&amp;MONTH(C7)&amp;"-1"</f>
        <v>2018-5-1</v>
      </c>
      <c r="D63" s="755">
        <f>EDATE(C63,-3)</f>
        <v>43132</v>
      </c>
      <c r="E63" s="755">
        <f>EDATE(D63,-3)</f>
        <v>43040</v>
      </c>
      <c r="F63" s="755">
        <f t="shared" ref="F63:O63" si="18">EDATE(E63,-3)</f>
        <v>42948</v>
      </c>
      <c r="G63" s="755">
        <f t="shared" si="18"/>
        <v>42856</v>
      </c>
      <c r="H63" s="755">
        <f t="shared" si="18"/>
        <v>42767</v>
      </c>
      <c r="I63" s="755">
        <f t="shared" si="18"/>
        <v>42675</v>
      </c>
      <c r="J63" s="755">
        <f t="shared" si="18"/>
        <v>42583</v>
      </c>
      <c r="K63" s="755">
        <f t="shared" si="18"/>
        <v>42491</v>
      </c>
      <c r="L63" s="755">
        <f t="shared" si="18"/>
        <v>42401</v>
      </c>
      <c r="M63" s="755">
        <f t="shared" si="18"/>
        <v>42309</v>
      </c>
      <c r="N63" s="755">
        <f t="shared" si="18"/>
        <v>42217</v>
      </c>
      <c r="O63" s="755">
        <f t="shared" si="18"/>
        <v>42125</v>
      </c>
    </row>
    <row r="64" spans="1:17" ht="21.75" thickBot="1">
      <c r="A64" s="757" t="s">
        <v>2659</v>
      </c>
      <c r="B64" s="753"/>
      <c r="C64" s="758"/>
      <c r="D64" s="758"/>
      <c r="E64" s="758"/>
      <c r="F64" s="759"/>
      <c r="G64" s="759"/>
      <c r="H64" s="758"/>
      <c r="I64" s="758"/>
      <c r="J64" s="758"/>
      <c r="K64" s="760"/>
      <c r="L64" s="761"/>
      <c r="M64" s="758"/>
      <c r="N64" s="758"/>
      <c r="O64" s="1156"/>
      <c r="P64" s="499"/>
      <c r="Q64" s="500"/>
    </row>
    <row r="65" spans="1:17" s="504" customFormat="1" ht="15">
      <c r="A65" s="2707" t="s">
        <v>2767</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3"/>
    </row>
    <row r="66" spans="1:17" s="114" customFormat="1" ht="30.75" customHeight="1">
      <c r="A66" s="2712" t="s">
        <v>2786</v>
      </c>
      <c r="B66" s="328" t="str">
        <f>"北京市平均增长率"&amp;TEXT(基准地价修正!P24,"0.00%")</f>
        <v>北京市平均增长率1.35%</v>
      </c>
      <c r="C66" s="599">
        <v>100</v>
      </c>
      <c r="D66" s="591"/>
      <c r="E66" s="591"/>
      <c r="F66" s="591"/>
      <c r="G66" s="591"/>
      <c r="H66" s="591"/>
      <c r="I66" s="591"/>
      <c r="J66" s="591"/>
      <c r="K66" s="591"/>
      <c r="L66" s="591"/>
      <c r="M66" s="1564"/>
      <c r="N66" s="1564"/>
      <c r="O66" s="1566"/>
      <c r="P66" s="500"/>
    </row>
    <row r="67" spans="1:17" s="114" customFormat="1" ht="15.75" thickBot="1">
      <c r="A67" s="511" t="s">
        <v>2570</v>
      </c>
      <c r="B67" s="512"/>
      <c r="C67" s="513"/>
      <c r="D67" s="514"/>
      <c r="E67" s="514"/>
      <c r="F67" s="514"/>
      <c r="G67" s="514"/>
      <c r="H67" s="514"/>
      <c r="I67" s="514"/>
      <c r="J67" s="514"/>
      <c r="K67" s="514"/>
      <c r="L67" s="514"/>
      <c r="M67" s="515"/>
      <c r="N67" s="515"/>
      <c r="O67" s="516"/>
      <c r="P67" s="500"/>
      <c r="Q67" s="500"/>
    </row>
    <row r="68" spans="1:17" s="114" customFormat="1" ht="15">
      <c r="A68" s="517" t="s">
        <v>2535</v>
      </c>
      <c r="B68" s="506"/>
      <c r="C68" s="518" t="s">
        <v>2637</v>
      </c>
      <c r="D68" s="519"/>
      <c r="E68" s="519"/>
      <c r="F68" s="519"/>
      <c r="G68" s="519"/>
      <c r="H68" s="519"/>
      <c r="I68" s="519"/>
      <c r="J68" s="519"/>
      <c r="K68" s="519"/>
      <c r="L68" s="520"/>
      <c r="M68" s="521"/>
      <c r="N68" s="1148"/>
      <c r="O68" s="1148"/>
      <c r="P68" s="522"/>
      <c r="Q68" s="500"/>
    </row>
    <row r="69" spans="1:17" s="114" customFormat="1" ht="15.75" thickBot="1">
      <c r="A69" s="517"/>
      <c r="B69" s="506"/>
      <c r="C69" s="635">
        <v>100</v>
      </c>
      <c r="D69" s="508"/>
      <c r="E69" s="508"/>
      <c r="F69" s="508"/>
      <c r="G69" s="508"/>
      <c r="H69" s="508"/>
      <c r="I69" s="508"/>
      <c r="J69" s="508"/>
      <c r="K69" s="508"/>
      <c r="L69" s="508"/>
      <c r="M69" s="510"/>
      <c r="N69" s="1148"/>
      <c r="O69" s="1148"/>
      <c r="P69" s="500"/>
      <c r="Q69" s="500"/>
    </row>
    <row r="70" spans="1:17">
      <c r="A70" s="523" t="s">
        <v>2573</v>
      </c>
      <c r="B70" s="524" t="s">
        <v>2539</v>
      </c>
      <c r="C70" s="526"/>
      <c r="D70" s="526"/>
      <c r="E70" s="526"/>
      <c r="F70" s="526"/>
      <c r="G70" s="526"/>
      <c r="H70" s="526"/>
      <c r="I70" s="526"/>
      <c r="J70" s="526"/>
      <c r="K70" s="527"/>
      <c r="L70" s="528"/>
      <c r="M70" s="529"/>
      <c r="N70" s="1149"/>
      <c r="O70" s="1149"/>
      <c r="P70" s="45"/>
      <c r="Q70" s="500"/>
    </row>
    <row r="71" spans="1:17" ht="15.75" thickBot="1">
      <c r="A71" s="530"/>
      <c r="B71" s="531"/>
      <c r="C71" s="532"/>
      <c r="D71" s="532"/>
      <c r="E71" s="532"/>
      <c r="F71" s="532"/>
      <c r="G71" s="532"/>
      <c r="H71" s="532"/>
      <c r="I71" s="532"/>
      <c r="J71" s="532"/>
      <c r="K71" s="532"/>
      <c r="L71" s="532"/>
      <c r="M71" s="533"/>
      <c r="N71" s="1150"/>
      <c r="O71" s="1150"/>
      <c r="P71" s="45"/>
      <c r="Q71" s="500"/>
    </row>
    <row r="72" spans="1:17" ht="27.75" thickTop="1">
      <c r="A72" s="530"/>
      <c r="B72" s="534" t="s">
        <v>2542</v>
      </c>
      <c r="C72" s="535"/>
      <c r="D72" s="535"/>
      <c r="E72" s="535"/>
      <c r="F72" s="535"/>
      <c r="G72" s="535"/>
      <c r="H72" s="535"/>
      <c r="I72" s="535"/>
      <c r="J72" s="535"/>
      <c r="K72" s="536"/>
      <c r="L72" s="537"/>
      <c r="M72" s="538"/>
      <c r="N72" s="1149"/>
      <c r="O72" s="1149"/>
      <c r="P72" s="45"/>
      <c r="Q72" s="500"/>
    </row>
    <row r="73" spans="1:17" ht="15.75" thickBot="1">
      <c r="A73" s="530"/>
      <c r="B73" s="539"/>
      <c r="C73" s="540"/>
      <c r="D73" s="540"/>
      <c r="E73" s="540"/>
      <c r="F73" s="540"/>
      <c r="G73" s="540"/>
      <c r="H73" s="540"/>
      <c r="I73" s="540"/>
      <c r="J73" s="540"/>
      <c r="K73" s="540"/>
      <c r="L73" s="540"/>
      <c r="M73" s="541"/>
      <c r="N73" s="1150"/>
      <c r="O73" s="1150"/>
      <c r="P73" s="45"/>
      <c r="Q73" s="500"/>
    </row>
    <row r="74" spans="1:17" ht="15.75" thickTop="1">
      <c r="A74" s="530"/>
      <c r="B74" s="542" t="s">
        <v>2543</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0"/>
      <c r="O74" s="1150"/>
      <c r="P74" s="45"/>
      <c r="Q74" s="500"/>
    </row>
    <row r="75" spans="1:17" ht="15">
      <c r="A75" s="530"/>
      <c r="B75" s="544"/>
      <c r="C75" s="545"/>
      <c r="D75" s="545"/>
      <c r="E75" s="545"/>
      <c r="F75" s="545"/>
      <c r="G75" s="545"/>
      <c r="H75" s="545"/>
      <c r="I75" s="545"/>
      <c r="J75" s="545"/>
      <c r="K75" s="546"/>
      <c r="L75" s="547"/>
      <c r="M75" s="548"/>
      <c r="N75" s="1149"/>
      <c r="O75" s="1149"/>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0"/>
      <c r="O76" s="1150"/>
      <c r="P76" s="45"/>
      <c r="Q76" s="500"/>
    </row>
    <row r="77" spans="1:17" s="467" customFormat="1" ht="15.75" thickTop="1">
      <c r="A77" s="549"/>
      <c r="B77" s="534">
        <f>B12</f>
        <v>111</v>
      </c>
      <c r="C77" s="550"/>
      <c r="D77" s="550"/>
      <c r="E77" s="550"/>
      <c r="F77" s="550"/>
      <c r="G77" s="550"/>
      <c r="H77" s="551"/>
      <c r="I77" s="551"/>
      <c r="J77" s="551"/>
      <c r="K77" s="551"/>
      <c r="L77" s="552"/>
      <c r="M77" s="553"/>
      <c r="N77" s="1151"/>
      <c r="O77" s="1151"/>
      <c r="P77" s="554"/>
      <c r="Q77" s="555"/>
    </row>
    <row r="78" spans="1:17" s="467" customFormat="1" ht="15.75" thickBot="1">
      <c r="A78" s="549"/>
      <c r="B78" s="539"/>
      <c r="C78" s="556"/>
      <c r="D78" s="532"/>
      <c r="E78" s="532"/>
      <c r="F78" s="532"/>
      <c r="G78" s="532"/>
      <c r="H78" s="532"/>
      <c r="I78" s="532"/>
      <c r="J78" s="532"/>
      <c r="K78" s="532"/>
      <c r="L78" s="532"/>
      <c r="M78" s="533"/>
      <c r="N78" s="1150"/>
      <c r="O78" s="1150"/>
      <c r="P78" s="554"/>
      <c r="Q78" s="555"/>
    </row>
    <row r="79" spans="1:17" s="467" customFormat="1" ht="15.75" thickTop="1">
      <c r="A79" s="549"/>
      <c r="B79" s="534">
        <f>B13</f>
        <v>111</v>
      </c>
      <c r="C79" s="550"/>
      <c r="D79" s="550"/>
      <c r="E79" s="550"/>
      <c r="F79" s="550"/>
      <c r="G79" s="550"/>
      <c r="H79" s="551"/>
      <c r="I79" s="551"/>
      <c r="J79" s="551"/>
      <c r="K79" s="551"/>
      <c r="L79" s="552"/>
      <c r="M79" s="553"/>
      <c r="N79" s="1151"/>
      <c r="O79" s="1151"/>
      <c r="P79" s="466"/>
      <c r="Q79" s="557"/>
    </row>
    <row r="80" spans="1:17" s="467" customFormat="1" ht="15.75" thickBot="1">
      <c r="A80" s="549"/>
      <c r="B80" s="539"/>
      <c r="C80" s="556"/>
      <c r="D80" s="556"/>
      <c r="E80" s="556"/>
      <c r="F80" s="556"/>
      <c r="G80" s="556"/>
      <c r="H80" s="558"/>
      <c r="I80" s="558"/>
      <c r="J80" s="558"/>
      <c r="K80" s="558"/>
      <c r="L80" s="558"/>
      <c r="M80" s="559"/>
      <c r="N80" s="1151"/>
      <c r="O80" s="1151"/>
      <c r="P80" s="554"/>
      <c r="Q80" s="555"/>
    </row>
    <row r="81" spans="1:17" s="467" customFormat="1" ht="15.75" thickTop="1">
      <c r="A81" s="549"/>
      <c r="B81" s="542">
        <f>B14</f>
        <v>111</v>
      </c>
      <c r="C81" s="519"/>
      <c r="D81" s="519"/>
      <c r="E81" s="519"/>
      <c r="F81" s="519"/>
      <c r="G81" s="519"/>
      <c r="H81" s="560"/>
      <c r="I81" s="560"/>
      <c r="J81" s="560"/>
      <c r="K81" s="560"/>
      <c r="L81" s="561"/>
      <c r="M81" s="562"/>
      <c r="N81" s="1151"/>
      <c r="O81" s="1151"/>
      <c r="P81" s="563"/>
      <c r="Q81" s="555"/>
    </row>
    <row r="82" spans="1:17" s="467" customFormat="1" ht="15.75" thickBot="1">
      <c r="A82" s="564"/>
      <c r="B82" s="565"/>
      <c r="C82" s="566"/>
      <c r="D82" s="566"/>
      <c r="E82" s="566"/>
      <c r="F82" s="566"/>
      <c r="G82" s="566"/>
      <c r="H82" s="567"/>
      <c r="I82" s="567"/>
      <c r="J82" s="567"/>
      <c r="K82" s="567"/>
      <c r="L82" s="567"/>
      <c r="M82" s="568"/>
      <c r="N82" s="1151"/>
      <c r="O82" s="1151"/>
      <c r="P82" s="554"/>
      <c r="Q82" s="555"/>
    </row>
    <row r="83" spans="1:17">
      <c r="A83" s="523" t="s">
        <v>2544</v>
      </c>
      <c r="B83" s="524" t="s">
        <v>2690</v>
      </c>
      <c r="C83" s="569" t="s">
        <v>2582</v>
      </c>
      <c r="D83" s="569" t="s">
        <v>2583</v>
      </c>
      <c r="E83" s="569" t="s">
        <v>2584</v>
      </c>
      <c r="F83" s="569" t="s">
        <v>2585</v>
      </c>
      <c r="G83" s="569" t="s">
        <v>2586</v>
      </c>
      <c r="H83" s="525"/>
      <c r="I83" s="525"/>
      <c r="J83" s="525"/>
      <c r="K83" s="570"/>
      <c r="L83" s="571"/>
      <c r="M83" s="572"/>
      <c r="N83" s="1149"/>
      <c r="O83" s="1149"/>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0"/>
      <c r="O84" s="1150"/>
      <c r="P84" s="45"/>
      <c r="Q84" s="500"/>
    </row>
    <row r="85" spans="1:17" ht="15.75" thickTop="1">
      <c r="A85" s="530"/>
      <c r="B85" s="534" t="s">
        <v>2587</v>
      </c>
      <c r="C85" s="574" t="s">
        <v>2582</v>
      </c>
      <c r="D85" s="574" t="s">
        <v>2583</v>
      </c>
      <c r="E85" s="574" t="s">
        <v>2584</v>
      </c>
      <c r="F85" s="574" t="s">
        <v>2585</v>
      </c>
      <c r="G85" s="574" t="s">
        <v>2586</v>
      </c>
      <c r="H85" s="535"/>
      <c r="I85" s="535"/>
      <c r="J85" s="535"/>
      <c r="K85" s="536"/>
      <c r="L85" s="537"/>
      <c r="M85" s="538"/>
      <c r="N85" s="1149"/>
      <c r="O85" s="1149"/>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0"/>
      <c r="O86" s="1150"/>
      <c r="P86" s="45"/>
      <c r="Q86" s="500"/>
    </row>
    <row r="87" spans="1:17" s="114" customFormat="1" ht="15.75" thickTop="1">
      <c r="A87" s="575"/>
      <c r="B87" s="534" t="s">
        <v>2769</v>
      </c>
      <c r="C87" s="569" t="s">
        <v>2582</v>
      </c>
      <c r="D87" s="569" t="s">
        <v>2583</v>
      </c>
      <c r="E87" s="569" t="s">
        <v>2584</v>
      </c>
      <c r="F87" s="569" t="s">
        <v>2585</v>
      </c>
      <c r="G87" s="569" t="s">
        <v>2586</v>
      </c>
      <c r="H87" s="574"/>
      <c r="I87" s="574"/>
      <c r="J87" s="574"/>
      <c r="K87" s="574"/>
      <c r="L87" s="694"/>
      <c r="M87" s="618"/>
      <c r="N87" s="1148"/>
      <c r="O87" s="1148"/>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50"/>
      <c r="O88" s="1150"/>
      <c r="P88" s="45"/>
      <c r="Q88" s="500"/>
    </row>
    <row r="89" spans="1:17" s="114" customFormat="1" ht="27.75" thickTop="1">
      <c r="A89" s="575"/>
      <c r="B89" s="534" t="s">
        <v>2770</v>
      </c>
      <c r="C89" s="569" t="s">
        <v>2582</v>
      </c>
      <c r="D89" s="569" t="s">
        <v>2583</v>
      </c>
      <c r="E89" s="569" t="s">
        <v>2584</v>
      </c>
      <c r="F89" s="569" t="s">
        <v>2585</v>
      </c>
      <c r="G89" s="569" t="s">
        <v>2586</v>
      </c>
      <c r="H89" s="574"/>
      <c r="I89" s="574"/>
      <c r="J89" s="574"/>
      <c r="K89" s="574"/>
      <c r="L89" s="574"/>
      <c r="M89" s="618"/>
      <c r="N89" s="1148"/>
      <c r="O89" s="1148"/>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50"/>
      <c r="O90" s="1150"/>
      <c r="P90" s="45"/>
      <c r="Q90" s="500"/>
    </row>
    <row r="91" spans="1:17" s="467" customFormat="1" ht="15.75" thickTop="1">
      <c r="A91" s="549"/>
      <c r="B91" s="534" t="s">
        <v>2639</v>
      </c>
      <c r="C91" s="569" t="s">
        <v>2582</v>
      </c>
      <c r="D91" s="569" t="s">
        <v>2583</v>
      </c>
      <c r="E91" s="569" t="s">
        <v>2584</v>
      </c>
      <c r="F91" s="569" t="s">
        <v>2585</v>
      </c>
      <c r="G91" s="569" t="s">
        <v>2586</v>
      </c>
      <c r="H91" s="596"/>
      <c r="I91" s="596"/>
      <c r="J91" s="596"/>
      <c r="K91" s="596"/>
      <c r="L91" s="597"/>
      <c r="M91" s="598"/>
      <c r="N91" s="1151"/>
      <c r="O91" s="1151"/>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1"/>
      <c r="O92" s="1151"/>
      <c r="P92" s="554"/>
      <c r="Q92" s="555"/>
    </row>
    <row r="93" spans="1:17" s="467" customFormat="1" ht="15.75" thickTop="1">
      <c r="A93" s="549"/>
      <c r="B93" s="542" t="s">
        <v>2787</v>
      </c>
      <c r="C93" s="656" t="s">
        <v>2660</v>
      </c>
      <c r="D93" s="656" t="s">
        <v>2661</v>
      </c>
      <c r="E93" s="656" t="s">
        <v>2662</v>
      </c>
      <c r="F93" s="656" t="s">
        <v>2663</v>
      </c>
      <c r="G93" s="656" t="s">
        <v>2664</v>
      </c>
      <c r="H93" s="596"/>
      <c r="I93" s="596"/>
      <c r="J93" s="596"/>
      <c r="K93" s="596"/>
      <c r="L93" s="596"/>
      <c r="M93" s="598"/>
      <c r="N93" s="1151"/>
      <c r="O93" s="1151"/>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2"/>
      <c r="N94" s="1151"/>
      <c r="O94" s="1151"/>
      <c r="P94" s="554"/>
      <c r="Q94" s="555"/>
    </row>
    <row r="95" spans="1:17" ht="15.75" thickTop="1">
      <c r="A95" s="530"/>
      <c r="B95" s="534" t="str">
        <f>B27</f>
        <v>临街状况</v>
      </c>
      <c r="C95" s="535" t="s">
        <v>2771</v>
      </c>
      <c r="D95" s="535" t="s">
        <v>2772</v>
      </c>
      <c r="E95" s="535" t="s">
        <v>2773</v>
      </c>
      <c r="F95" s="535" t="s">
        <v>2774</v>
      </c>
      <c r="G95" s="535"/>
      <c r="H95" s="535"/>
      <c r="I95" s="535"/>
      <c r="J95" s="535"/>
      <c r="K95" s="536"/>
      <c r="L95" s="537"/>
      <c r="M95" s="538"/>
      <c r="N95" s="1149"/>
      <c r="O95" s="1149"/>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0"/>
      <c r="O96" s="1150"/>
      <c r="P96" s="45"/>
      <c r="Q96" s="500"/>
    </row>
    <row r="97" spans="1:17" ht="27.75" thickTop="1">
      <c r="A97" s="530"/>
      <c r="B97" s="534" t="s">
        <v>2676</v>
      </c>
      <c r="C97" s="550"/>
      <c r="D97" s="550"/>
      <c r="E97" s="550"/>
      <c r="F97" s="550"/>
      <c r="G97" s="550"/>
      <c r="H97" s="579"/>
      <c r="I97" s="579"/>
      <c r="J97" s="579"/>
      <c r="K97" s="580"/>
      <c r="L97" s="581"/>
      <c r="M97" s="582"/>
      <c r="N97" s="1149"/>
      <c r="O97" s="1149"/>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0"/>
      <c r="O98" s="1150"/>
      <c r="P98" s="45"/>
      <c r="Q98" s="500"/>
    </row>
    <row r="99" spans="1:17" ht="15.75" thickTop="1">
      <c r="A99" s="530"/>
      <c r="B99" s="534" t="s">
        <v>2735</v>
      </c>
      <c r="C99" s="579"/>
      <c r="D99" s="579"/>
      <c r="E99" s="579"/>
      <c r="F99" s="579"/>
      <c r="G99" s="579"/>
      <c r="H99" s="579"/>
      <c r="I99" s="579"/>
      <c r="J99" s="579"/>
      <c r="K99" s="580"/>
      <c r="L99" s="581"/>
      <c r="M99" s="582"/>
      <c r="N99" s="1149"/>
      <c r="O99" s="1149"/>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0"/>
      <c r="O100" s="1150"/>
      <c r="P100" s="45"/>
      <c r="Q100" s="500"/>
    </row>
    <row r="101" spans="1:17" ht="15.75" thickTop="1">
      <c r="A101" s="530"/>
      <c r="B101" s="542">
        <f>B31</f>
        <v>111</v>
      </c>
      <c r="C101" s="550"/>
      <c r="D101" s="550"/>
      <c r="E101" s="550"/>
      <c r="F101" s="550"/>
      <c r="G101" s="583"/>
      <c r="H101" s="583"/>
      <c r="I101" s="583"/>
      <c r="J101" s="583"/>
      <c r="K101" s="584"/>
      <c r="L101" s="585"/>
      <c r="M101" s="586"/>
      <c r="N101" s="1149"/>
      <c r="O101" s="1149"/>
      <c r="P101" s="45"/>
      <c r="Q101" s="500"/>
    </row>
    <row r="102" spans="1:17" ht="15.75" thickBot="1">
      <c r="A102" s="530"/>
      <c r="B102" s="565"/>
      <c r="C102" s="556"/>
      <c r="D102" s="532"/>
      <c r="E102" s="532"/>
      <c r="F102" s="532"/>
      <c r="G102" s="587"/>
      <c r="H102" s="587"/>
      <c r="I102" s="587"/>
      <c r="J102" s="587"/>
      <c r="K102" s="587"/>
      <c r="L102" s="587"/>
      <c r="M102" s="588"/>
      <c r="N102" s="1150"/>
      <c r="O102" s="1150"/>
      <c r="P102" s="45"/>
      <c r="Q102" s="500"/>
    </row>
    <row r="103" spans="1:17" ht="15" thickTop="1">
      <c r="A103" s="671"/>
      <c r="B103" s="534">
        <f>B32</f>
        <v>111</v>
      </c>
      <c r="C103" s="550"/>
      <c r="D103" s="550"/>
      <c r="E103" s="550"/>
      <c r="F103" s="550"/>
      <c r="G103" s="579"/>
      <c r="H103" s="579"/>
      <c r="I103" s="579"/>
      <c r="J103" s="579"/>
      <c r="K103" s="580"/>
      <c r="L103" s="581"/>
      <c r="M103" s="582"/>
      <c r="N103" s="1149"/>
      <c r="O103" s="1149"/>
      <c r="P103" s="45"/>
      <c r="Q103" s="500"/>
    </row>
    <row r="104" spans="1:17" ht="15.75" thickBot="1">
      <c r="A104" s="530"/>
      <c r="B104" s="539"/>
      <c r="C104" s="556"/>
      <c r="D104" s="556"/>
      <c r="E104" s="556"/>
      <c r="F104" s="556"/>
      <c r="G104" s="532"/>
      <c r="H104" s="532"/>
      <c r="I104" s="532"/>
      <c r="J104" s="532"/>
      <c r="K104" s="532"/>
      <c r="L104" s="532"/>
      <c r="M104" s="533"/>
      <c r="N104" s="1150"/>
      <c r="O104" s="1150"/>
      <c r="P104" s="45"/>
      <c r="Q104" s="500"/>
    </row>
    <row r="105" spans="1:17" s="467" customFormat="1" ht="15" thickTop="1">
      <c r="A105" s="589"/>
      <c r="B105" s="590">
        <f>B33</f>
        <v>111</v>
      </c>
      <c r="C105" s="519"/>
      <c r="D105" s="519"/>
      <c r="E105" s="519"/>
      <c r="F105" s="519"/>
      <c r="G105" s="591"/>
      <c r="H105" s="591"/>
      <c r="I105" s="591"/>
      <c r="J105" s="592"/>
      <c r="K105" s="592"/>
      <c r="L105" s="593"/>
      <c r="M105" s="594"/>
      <c r="N105" s="1151"/>
      <c r="O105" s="1151"/>
      <c r="P105" s="554"/>
      <c r="Q105" s="555"/>
    </row>
    <row r="106" spans="1:17" s="467" customFormat="1" ht="15.75" thickBot="1">
      <c r="A106" s="549"/>
      <c r="B106" s="542"/>
      <c r="C106" s="566"/>
      <c r="D106" s="566"/>
      <c r="E106" s="566"/>
      <c r="F106" s="566"/>
      <c r="G106" s="673"/>
      <c r="H106" s="673"/>
      <c r="I106" s="673"/>
      <c r="J106" s="673"/>
      <c r="K106" s="673"/>
      <c r="L106" s="673"/>
      <c r="M106" s="695"/>
      <c r="N106" s="1150"/>
      <c r="O106" s="1150"/>
      <c r="P106" s="554"/>
      <c r="Q106" s="555"/>
    </row>
    <row r="107" spans="1:17">
      <c r="A107" s="523" t="s">
        <v>2548</v>
      </c>
      <c r="B107" s="524" t="s">
        <v>2775</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3" t="str">
        <f t="shared" si="25"/>
        <v>(含)-</v>
      </c>
      <c r="L107" s="1763" t="str">
        <f t="shared" si="25"/>
        <v>(含)-</v>
      </c>
      <c r="M107" s="1764" t="str">
        <f>M108&amp;"(含)"&amp;"-"&amp;P108</f>
        <v>(含)-</v>
      </c>
      <c r="N107" s="1149"/>
      <c r="O107" s="1149"/>
      <c r="P107" s="45"/>
      <c r="Q107" s="500"/>
    </row>
    <row r="108" spans="1:17" ht="15">
      <c r="A108" s="530"/>
      <c r="B108" s="542"/>
      <c r="C108" s="591"/>
      <c r="D108" s="591"/>
      <c r="E108" s="591"/>
      <c r="F108" s="591"/>
      <c r="G108" s="591"/>
      <c r="H108" s="591"/>
      <c r="I108" s="591"/>
      <c r="J108" s="592"/>
      <c r="K108" s="592"/>
      <c r="L108" s="593"/>
      <c r="M108" s="594"/>
      <c r="N108" s="1149"/>
      <c r="O108" s="1149"/>
      <c r="P108" s="45"/>
      <c r="Q108" s="500"/>
    </row>
    <row r="109" spans="1:17" ht="15.75" thickBot="1">
      <c r="A109" s="530"/>
      <c r="B109" s="539"/>
      <c r="C109" s="566"/>
      <c r="D109" s="587"/>
      <c r="E109" s="587"/>
      <c r="F109" s="587"/>
      <c r="G109" s="587"/>
      <c r="H109" s="587"/>
      <c r="I109" s="587"/>
      <c r="J109" s="587"/>
      <c r="K109" s="587"/>
      <c r="L109" s="587"/>
      <c r="M109" s="588"/>
      <c r="N109" s="1150"/>
      <c r="O109" s="1150"/>
      <c r="P109" s="45"/>
      <c r="Q109" s="500"/>
    </row>
    <row r="110" spans="1:17" ht="15" thickTop="1">
      <c r="A110" s="595"/>
      <c r="B110" s="534" t="s">
        <v>2776</v>
      </c>
      <c r="C110" s="579"/>
      <c r="D110" s="579"/>
      <c r="E110" s="579"/>
      <c r="F110" s="579"/>
      <c r="G110" s="579"/>
      <c r="H110" s="579"/>
      <c r="I110" s="579"/>
      <c r="J110" s="579"/>
      <c r="K110" s="580"/>
      <c r="L110" s="581"/>
      <c r="M110" s="582"/>
      <c r="N110" s="1149"/>
      <c r="O110" s="1149"/>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0"/>
      <c r="O111" s="1150"/>
      <c r="P111" s="45"/>
      <c r="Q111" s="500"/>
    </row>
    <row r="112" spans="1:17" s="467" customFormat="1" ht="15" thickTop="1">
      <c r="A112" s="589"/>
      <c r="B112" s="534" t="s">
        <v>2778</v>
      </c>
      <c r="C112" s="550"/>
      <c r="D112" s="550"/>
      <c r="E112" s="550"/>
      <c r="F112" s="550"/>
      <c r="G112" s="550"/>
      <c r="H112" s="579"/>
      <c r="I112" s="579"/>
      <c r="J112" s="579"/>
      <c r="K112" s="580"/>
      <c r="L112" s="581"/>
      <c r="M112" s="582"/>
      <c r="N112" s="1151"/>
      <c r="O112" s="1151"/>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1"/>
      <c r="O113" s="1151"/>
      <c r="P113" s="554"/>
      <c r="Q113" s="555"/>
    </row>
    <row r="114" spans="1:17" ht="15" thickTop="1">
      <c r="A114" s="595"/>
      <c r="B114" s="534" t="s">
        <v>2779</v>
      </c>
      <c r="C114" s="550"/>
      <c r="D114" s="550"/>
      <c r="E114" s="579"/>
      <c r="F114" s="579"/>
      <c r="G114" s="579"/>
      <c r="H114" s="579"/>
      <c r="I114" s="579"/>
      <c r="J114" s="579"/>
      <c r="K114" s="580"/>
      <c r="L114" s="581"/>
      <c r="M114" s="582"/>
      <c r="N114" s="1149"/>
      <c r="O114" s="1149"/>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0"/>
      <c r="O115" s="1150"/>
      <c r="P115" s="45"/>
      <c r="Q115" s="500"/>
    </row>
    <row r="116" spans="1:17" ht="15" thickTop="1">
      <c r="A116" s="595"/>
      <c r="B116" s="534">
        <f>B38</f>
        <v>111</v>
      </c>
      <c r="C116" s="550"/>
      <c r="D116" s="550"/>
      <c r="E116" s="550"/>
      <c r="F116" s="550"/>
      <c r="G116" s="550"/>
      <c r="H116" s="579"/>
      <c r="I116" s="579"/>
      <c r="J116" s="579"/>
      <c r="K116" s="580"/>
      <c r="L116" s="581"/>
      <c r="M116" s="582"/>
      <c r="N116" s="1149"/>
      <c r="O116" s="1149"/>
      <c r="P116" s="45"/>
      <c r="Q116" s="500"/>
    </row>
    <row r="117" spans="1:17" ht="15.75" thickBot="1">
      <c r="A117" s="530"/>
      <c r="B117" s="539"/>
      <c r="C117" s="556"/>
      <c r="D117" s="532"/>
      <c r="E117" s="532"/>
      <c r="F117" s="532"/>
      <c r="G117" s="532"/>
      <c r="H117" s="532"/>
      <c r="I117" s="532"/>
      <c r="J117" s="532"/>
      <c r="K117" s="532"/>
      <c r="L117" s="532"/>
      <c r="M117" s="533"/>
      <c r="N117" s="1150"/>
      <c r="O117" s="1150"/>
      <c r="P117" s="45"/>
      <c r="Q117" s="500"/>
    </row>
    <row r="118" spans="1:17" ht="15" thickTop="1">
      <c r="A118" s="595"/>
      <c r="B118" s="534">
        <f>B39</f>
        <v>111</v>
      </c>
      <c r="C118" s="550"/>
      <c r="D118" s="550"/>
      <c r="E118" s="550"/>
      <c r="F118" s="550"/>
      <c r="G118" s="579"/>
      <c r="H118" s="579"/>
      <c r="I118" s="579"/>
      <c r="J118" s="579"/>
      <c r="K118" s="580"/>
      <c r="L118" s="581"/>
      <c r="M118" s="582"/>
      <c r="N118" s="1149"/>
      <c r="O118" s="1149"/>
      <c r="P118" s="45"/>
      <c r="Q118" s="500"/>
    </row>
    <row r="119" spans="1:17" ht="15.75" thickBot="1">
      <c r="A119" s="530"/>
      <c r="B119" s="539"/>
      <c r="C119" s="556"/>
      <c r="D119" s="556"/>
      <c r="E119" s="556"/>
      <c r="F119" s="556"/>
      <c r="G119" s="532"/>
      <c r="H119" s="532"/>
      <c r="I119" s="532"/>
      <c r="J119" s="532"/>
      <c r="K119" s="532"/>
      <c r="L119" s="532"/>
      <c r="M119" s="533"/>
      <c r="N119" s="1150"/>
      <c r="O119" s="1150"/>
      <c r="P119" s="45"/>
      <c r="Q119" s="500"/>
    </row>
    <row r="120" spans="1:17" s="467" customFormat="1" ht="15" thickTop="1">
      <c r="A120" s="589"/>
      <c r="B120" s="534">
        <f>B40</f>
        <v>111</v>
      </c>
      <c r="C120" s="519"/>
      <c r="D120" s="519"/>
      <c r="E120" s="519"/>
      <c r="F120" s="519"/>
      <c r="G120" s="551"/>
      <c r="H120" s="551"/>
      <c r="I120" s="551"/>
      <c r="J120" s="551"/>
      <c r="K120" s="551"/>
      <c r="L120" s="552"/>
      <c r="M120" s="553"/>
      <c r="N120" s="1151"/>
      <c r="O120" s="1151"/>
      <c r="P120" s="554"/>
      <c r="Q120" s="555"/>
    </row>
    <row r="121" spans="1:17" s="467" customFormat="1" ht="15.75" thickBot="1">
      <c r="A121" s="564"/>
      <c r="B121" s="696"/>
      <c r="C121" s="566"/>
      <c r="D121" s="566"/>
      <c r="E121" s="566"/>
      <c r="F121" s="566"/>
      <c r="G121" s="587"/>
      <c r="H121" s="587"/>
      <c r="I121" s="587"/>
      <c r="J121" s="587"/>
      <c r="K121" s="587"/>
      <c r="L121" s="587"/>
      <c r="M121" s="588"/>
      <c r="N121" s="1151"/>
      <c r="O121" s="1151"/>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9" customWidth="1"/>
    <col min="33" max="36" width="9.375" style="2792" customWidth="1"/>
    <col min="37" max="38" width="9.375" style="2716" customWidth="1"/>
    <col min="39" max="16384" width="12" style="2716"/>
  </cols>
  <sheetData>
    <row r="1" spans="1:36" ht="28.5">
      <c r="A1" s="236" t="s">
        <v>2788</v>
      </c>
      <c r="B1" s="237"/>
      <c r="C1" s="241" t="s">
        <v>2789</v>
      </c>
      <c r="D1" s="384">
        <f>SUM(D29:D30,D33:D39)</f>
        <v>0</v>
      </c>
      <c r="E1" s="2713"/>
      <c r="F1" s="2713"/>
      <c r="G1" s="2713"/>
      <c r="H1" s="2713"/>
      <c r="I1" s="2713"/>
      <c r="J1" s="2713"/>
      <c r="K1" s="1367"/>
      <c r="L1" s="2714" t="s">
        <v>2790</v>
      </c>
      <c r="M1" s="1077">
        <f>SUMPRODUCT((区片价!B5:B9=I2)*(区片价!C3:F3=E2)*(区片价!C5:F9))</f>
        <v>0</v>
      </c>
      <c r="N1" s="1080">
        <f>SUMPRODUCT((因素修正幅度!B5:B9=I2)*(因素修正幅度!C3:F3=E2)*(因素修正幅度!C5:F9))</f>
        <v>0</v>
      </c>
      <c r="O1" s="2715"/>
      <c r="P1" s="2715"/>
      <c r="Q1" s="1367"/>
      <c r="R1" s="1599" t="s">
        <v>2791</v>
      </c>
      <c r="S1" s="1599" t="s">
        <v>2792</v>
      </c>
      <c r="T1" s="1599" t="s">
        <v>2793</v>
      </c>
      <c r="U1" s="1599" t="s">
        <v>2794</v>
      </c>
      <c r="V1" s="1599" t="s">
        <v>2795</v>
      </c>
      <c r="W1" s="1603"/>
      <c r="X1" s="1603"/>
      <c r="Y1" s="1603"/>
      <c r="Z1" s="1603"/>
      <c r="AA1" s="1603"/>
      <c r="AB1" s="1603"/>
      <c r="AC1" s="1604"/>
      <c r="AD1" s="1605"/>
      <c r="AE1" s="1605"/>
      <c r="AF1" s="1605"/>
      <c r="AG1" s="1605"/>
      <c r="AH1" s="1605"/>
      <c r="AI1" s="1605"/>
      <c r="AJ1" s="1606"/>
    </row>
    <row r="2" spans="1:36" ht="15.75">
      <c r="A2" s="241" t="s">
        <v>2796</v>
      </c>
      <c r="B2" s="244"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67"/>
      <c r="L2" s="2722" t="s">
        <v>2801</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3" t="s">
        <v>2802</v>
      </c>
      <c r="B3" s="244" t="e">
        <f>ROUND(B2*10000/D1,0)</f>
        <v>#DIV/0!</v>
      </c>
      <c r="C3" s="2717" t="s">
        <v>2803</v>
      </c>
      <c r="D3" s="2718" t="s">
        <v>2804</v>
      </c>
      <c r="E3" s="2723"/>
      <c r="F3" s="2724" t="s">
        <v>2805</v>
      </c>
      <c r="G3" s="910">
        <f>IF(F3="宗地容积率",'数据-汇总表'!I4,IF(F3="估价对象容积率",'数据-汇总表'!I6,'数据-汇总表'!I7))</f>
        <v>3</v>
      </c>
      <c r="H3" s="194" t="s">
        <v>2806</v>
      </c>
      <c r="I3" s="941"/>
      <c r="J3" s="2721" t="s">
        <v>2807</v>
      </c>
      <c r="K3" s="1367"/>
      <c r="L3" s="2722" t="s">
        <v>2808</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24"/>
      <c r="B4" s="3225"/>
      <c r="C4" s="3225"/>
      <c r="D4" s="3226"/>
      <c r="E4" s="3226"/>
      <c r="F4" s="3226"/>
      <c r="G4" s="3226"/>
      <c r="H4" s="3226"/>
      <c r="I4" s="3226"/>
      <c r="J4" s="3227"/>
      <c r="K4" s="1367"/>
      <c r="L4" s="2722" t="s">
        <v>2809</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2810</v>
      </c>
      <c r="C5" s="911" t="e">
        <f>ROUND(IF(E2="商业",IF(F16="增加",C6*C7+C16,C6*C7-C16),IF(E2="住宅",IF(F16="增加",C6*C12+C16,C6*C12-C16),IF(F16="增加",C6+C16,C6-C16))),0)</f>
        <v>#DIV/0!</v>
      </c>
      <c r="D5" s="1784">
        <f>ROUND(IF(E2="商业",IF(F16="增加",C6+C16,C6-C16)),0)</f>
        <v>0</v>
      </c>
      <c r="E5" s="2727"/>
      <c r="F5" s="2727"/>
      <c r="G5" s="2728"/>
      <c r="H5" s="2728"/>
      <c r="I5" s="2728"/>
      <c r="J5" s="2729"/>
      <c r="K5" s="2730"/>
      <c r="L5" s="2722" t="s">
        <v>2811</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1"/>
      <c r="AD5" s="2732"/>
      <c r="AE5" s="2732"/>
      <c r="AF5" s="2732"/>
      <c r="AG5" s="2732"/>
      <c r="AH5" s="2732"/>
      <c r="AI5" s="2732"/>
      <c r="AJ5" s="2733"/>
    </row>
    <row r="6" spans="1:36" ht="15.75" thickBot="1">
      <c r="A6" s="2735" t="s">
        <v>2812</v>
      </c>
      <c r="B6" s="2736" t="s">
        <v>2813</v>
      </c>
      <c r="C6" s="912">
        <f>SUMIF(L1:L12,G2,M1:M12)</f>
        <v>0</v>
      </c>
      <c r="D6" s="2737" t="s">
        <v>2814</v>
      </c>
      <c r="E6" s="2738"/>
      <c r="F6" s="2738"/>
      <c r="G6" s="2739"/>
      <c r="H6" s="2739"/>
      <c r="I6" s="2739"/>
      <c r="J6" s="2740"/>
      <c r="K6" s="1839"/>
      <c r="L6" s="2722" t="s">
        <v>2815</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1"/>
      <c r="AD6" s="2732"/>
      <c r="AE6" s="2732"/>
      <c r="AF6" s="2732"/>
      <c r="AG6" s="2732"/>
      <c r="AH6" s="2732"/>
      <c r="AI6" s="2732"/>
      <c r="AJ6" s="2733"/>
    </row>
    <row r="7" spans="1:36" ht="24">
      <c r="A7" s="3228" t="str">
        <f>IF(E2="商业",IF(C8="不临58条商业街","",2),"")</f>
        <v/>
      </c>
      <c r="B7" s="2741" t="s">
        <v>2816</v>
      </c>
      <c r="C7" s="913" t="e">
        <f>IF(C8="不临58条商业街",1,ROUND(1+(1.6*E8+1.2*E9+0.8*E10+0.4*E11)*C9,4))</f>
        <v>#DIV/0!</v>
      </c>
      <c r="D7" s="2742" t="s">
        <v>2817</v>
      </c>
      <c r="E7" s="942"/>
      <c r="F7" s="2743"/>
      <c r="G7" s="2744"/>
      <c r="H7" s="2744"/>
      <c r="I7" s="2744"/>
      <c r="J7" s="2745"/>
      <c r="K7" s="1839"/>
      <c r="L7" s="2722" t="s">
        <v>2818</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2819</v>
      </c>
      <c r="X7" s="1601">
        <f>G2</f>
        <v>0</v>
      </c>
      <c r="Y7" s="1601" t="s">
        <v>2820</v>
      </c>
      <c r="Z7" s="1602">
        <f>G3</f>
        <v>3</v>
      </c>
      <c r="AA7" s="1603"/>
      <c r="AB7" s="1603"/>
      <c r="AC7" s="1604"/>
      <c r="AD7" s="1605"/>
      <c r="AE7" s="1605"/>
      <c r="AF7" s="1605"/>
      <c r="AG7" s="1605"/>
      <c r="AH7" s="1605"/>
      <c r="AI7" s="1605"/>
      <c r="AJ7" s="1606"/>
    </row>
    <row r="8" spans="1:36" ht="15">
      <c r="A8" s="3229"/>
      <c r="B8" s="194" t="s">
        <v>2821</v>
      </c>
      <c r="C8" s="2746"/>
      <c r="D8" s="914" t="s">
        <v>139</v>
      </c>
      <c r="E8" s="915" t="e">
        <f>ROUND(C11/E7,4)</f>
        <v>#DIV/0!</v>
      </c>
      <c r="F8" s="2747" t="s">
        <v>2822</v>
      </c>
      <c r="G8" s="2748"/>
      <c r="H8" s="2748"/>
      <c r="I8" s="2748"/>
      <c r="J8" s="2749"/>
      <c r="K8" s="1367"/>
      <c r="L8" s="2722" t="s">
        <v>2823</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21" t="s">
        <v>2824</v>
      </c>
      <c r="X8" s="3222"/>
      <c r="Y8" s="1607" t="s">
        <v>2825</v>
      </c>
      <c r="Z8" s="1607" t="s">
        <v>2826</v>
      </c>
      <c r="AA8" s="1607" t="s">
        <v>2827</v>
      </c>
      <c r="AB8" s="1607" t="s">
        <v>2828</v>
      </c>
      <c r="AC8" s="1607" t="s">
        <v>2829</v>
      </c>
      <c r="AD8" s="1607" t="s">
        <v>2830</v>
      </c>
      <c r="AE8" s="1607" t="s">
        <v>2831</v>
      </c>
      <c r="AF8" s="1607" t="s">
        <v>2832</v>
      </c>
      <c r="AG8" s="1607" t="s">
        <v>2833</v>
      </c>
      <c r="AH8" s="1607" t="s">
        <v>2834</v>
      </c>
      <c r="AI8" s="1607" t="s">
        <v>2835</v>
      </c>
      <c r="AJ8" s="1607" t="s">
        <v>2836</v>
      </c>
    </row>
    <row r="9" spans="1:36" ht="15">
      <c r="A9" s="3229"/>
      <c r="B9" s="194" t="s">
        <v>2837</v>
      </c>
      <c r="C9" s="916">
        <f>SUMIF(修正!C59:C119,C8,修正!E59:E119)</f>
        <v>0</v>
      </c>
      <c r="D9" s="196" t="s">
        <v>140</v>
      </c>
      <c r="E9" s="196" t="e">
        <f>ROUND(C11/E7,4)</f>
        <v>#DIV/0!</v>
      </c>
      <c r="F9" s="2747" t="s">
        <v>2838</v>
      </c>
      <c r="G9" s="2748"/>
      <c r="H9" s="2748"/>
      <c r="I9" s="2748"/>
      <c r="J9" s="2749"/>
      <c r="K9" s="1367"/>
      <c r="L9" s="2722" t="s">
        <v>2839</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23" t="s">
        <v>2840</v>
      </c>
      <c r="X9" s="1608" t="s">
        <v>2841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29"/>
      <c r="B10" s="194" t="s">
        <v>2842</v>
      </c>
      <c r="C10" s="196">
        <f>SUMIF(修正!C59:C119,C8,修正!F59:F119)</f>
        <v>0</v>
      </c>
      <c r="D10" s="196" t="s">
        <v>141</v>
      </c>
      <c r="E10" s="196" t="e">
        <f>ROUND(C11/E7,4)</f>
        <v>#DIV/0!</v>
      </c>
      <c r="F10" s="2747" t="s">
        <v>2843</v>
      </c>
      <c r="G10" s="2748"/>
      <c r="H10" s="2748"/>
      <c r="I10" s="2748"/>
      <c r="J10" s="2749"/>
      <c r="K10" s="1367"/>
      <c r="L10" s="2722" t="s">
        <v>2844</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2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29"/>
      <c r="B11" s="2750" t="s">
        <v>2845</v>
      </c>
      <c r="C11" s="917">
        <f>C10/4</f>
        <v>0</v>
      </c>
      <c r="D11" s="917" t="s">
        <v>142</v>
      </c>
      <c r="E11" s="917" t="e">
        <f>ROUND(C11/E7,4)</f>
        <v>#DIV/0!</v>
      </c>
      <c r="F11" s="2751" t="s">
        <v>2846</v>
      </c>
      <c r="G11" s="2752"/>
      <c r="H11" s="2752"/>
      <c r="I11" s="2752"/>
      <c r="J11" s="2753"/>
      <c r="K11" s="1367"/>
      <c r="L11" s="2722" t="s">
        <v>2847</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23" t="s">
        <v>2848</v>
      </c>
      <c r="X11" s="1611" t="s">
        <v>2849</v>
      </c>
      <c r="Y11" s="1612">
        <f>$G$3</f>
        <v>3</v>
      </c>
      <c r="Z11" s="1612">
        <f t="shared" ref="Z11:AJ11" si="3">$G$3</f>
        <v>3</v>
      </c>
      <c r="AA11" s="1612">
        <f t="shared" si="3"/>
        <v>3</v>
      </c>
      <c r="AB11" s="1612">
        <f t="shared" si="3"/>
        <v>3</v>
      </c>
      <c r="AC11" s="1612">
        <f t="shared" si="3"/>
        <v>3</v>
      </c>
      <c r="AD11" s="1612">
        <f t="shared" si="3"/>
        <v>3</v>
      </c>
      <c r="AE11" s="1612">
        <f t="shared" si="3"/>
        <v>3</v>
      </c>
      <c r="AF11" s="1612">
        <f t="shared" si="3"/>
        <v>3</v>
      </c>
      <c r="AG11" s="1612">
        <f t="shared" si="3"/>
        <v>3</v>
      </c>
      <c r="AH11" s="1612">
        <f t="shared" si="3"/>
        <v>3</v>
      </c>
      <c r="AI11" s="1612">
        <f t="shared" si="3"/>
        <v>3</v>
      </c>
      <c r="AJ11" s="1612">
        <f t="shared" si="3"/>
        <v>3</v>
      </c>
    </row>
    <row r="12" spans="1:36" ht="25.5" thickBot="1">
      <c r="A12" s="3228" t="s">
        <v>2850</v>
      </c>
      <c r="B12" s="2754" t="s">
        <v>2851</v>
      </c>
      <c r="C12" s="913">
        <f>ROUND(C15*D15*E15*F15*G15*H15*I15*J15,4)</f>
        <v>1</v>
      </c>
      <c r="D12" s="2755" t="s">
        <v>2852</v>
      </c>
      <c r="E12" s="2756"/>
      <c r="F12" s="2756"/>
      <c r="G12" s="2757"/>
      <c r="H12" s="2757"/>
      <c r="I12" s="2757"/>
      <c r="J12" s="2758"/>
      <c r="K12" s="1367"/>
      <c r="L12" s="2759" t="s">
        <v>2853</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23"/>
      <c r="X12" s="1613" t="s">
        <v>2854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30"/>
      <c r="B13" s="2760" t="s">
        <v>2855</v>
      </c>
      <c r="C13" s="2761" t="s">
        <v>2856</v>
      </c>
      <c r="D13" s="1805" t="s">
        <v>2857</v>
      </c>
      <c r="E13" s="1805" t="s">
        <v>2858</v>
      </c>
      <c r="F13" s="30" t="s">
        <v>2859</v>
      </c>
      <c r="G13" s="2762" t="s">
        <v>2860</v>
      </c>
      <c r="H13" s="2762" t="s">
        <v>2860</v>
      </c>
      <c r="I13" s="2762" t="s">
        <v>2860</v>
      </c>
      <c r="J13" s="2763" t="s">
        <v>2860</v>
      </c>
      <c r="K13" s="1367"/>
      <c r="L13" s="1367"/>
      <c r="M13" s="1367"/>
      <c r="N13" s="1367"/>
      <c r="O13" s="1367"/>
      <c r="P13" s="1367"/>
      <c r="Q13" s="1367"/>
      <c r="R13" s="1599">
        <v>12</v>
      </c>
      <c r="S13" s="1600"/>
      <c r="T13" s="1599" t="e">
        <f t="shared" si="0"/>
        <v>#DIV/0!</v>
      </c>
      <c r="U13" s="1600"/>
      <c r="V13" s="1599" t="e">
        <f t="shared" si="1"/>
        <v>#DIV/0!</v>
      </c>
      <c r="W13" s="3223"/>
      <c r="X13" s="1613"/>
      <c r="Y13" s="1610">
        <f>(-0.163*(Y12^2)-0.59*Y12+7617)*(10^(-4))/Y11</f>
        <v>0.25390000000000001</v>
      </c>
      <c r="Z13" s="1610">
        <f t="shared" ref="Z13:AJ13" si="5">(-0.163*(Z12^2)-0.59*Z12+7617)*(10^(-4))/Z11</f>
        <v>0.25390000000000001</v>
      </c>
      <c r="AA13" s="1610">
        <f t="shared" si="5"/>
        <v>0.25390000000000001</v>
      </c>
      <c r="AB13" s="1610">
        <f t="shared" si="5"/>
        <v>0.25390000000000001</v>
      </c>
      <c r="AC13" s="1610">
        <f t="shared" si="5"/>
        <v>0.25390000000000001</v>
      </c>
      <c r="AD13" s="1610">
        <f t="shared" si="5"/>
        <v>0.25390000000000001</v>
      </c>
      <c r="AE13" s="1610">
        <f t="shared" si="5"/>
        <v>0.25390000000000001</v>
      </c>
      <c r="AF13" s="1610">
        <f t="shared" si="5"/>
        <v>0.25390000000000001</v>
      </c>
      <c r="AG13" s="1610">
        <f t="shared" si="5"/>
        <v>0.25390000000000001</v>
      </c>
      <c r="AH13" s="1610">
        <f t="shared" si="5"/>
        <v>0.25390000000000001</v>
      </c>
      <c r="AI13" s="1610">
        <f t="shared" si="5"/>
        <v>0.25390000000000001</v>
      </c>
      <c r="AJ13" s="1610">
        <f t="shared" si="5"/>
        <v>0.25390000000000001</v>
      </c>
    </row>
    <row r="14" spans="1:36" ht="15">
      <c r="A14" s="3230"/>
      <c r="B14" s="2764"/>
      <c r="C14" s="2765"/>
      <c r="D14" s="2766"/>
      <c r="E14" s="2766"/>
      <c r="F14" s="2767"/>
      <c r="G14" s="2768" t="s">
        <v>2861</v>
      </c>
      <c r="H14" s="2769"/>
      <c r="I14" s="2770"/>
      <c r="J14" s="2771"/>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31"/>
      <c r="B15" s="2772" t="s">
        <v>2862</v>
      </c>
      <c r="C15" s="225">
        <f>IF(C14="有",1.1,1)</f>
        <v>1</v>
      </c>
      <c r="D15" s="225">
        <f>IF(D14="有",1.1,1)</f>
        <v>1</v>
      </c>
      <c r="E15" s="225">
        <f>IF(E14="有",1.1,1)</f>
        <v>1</v>
      </c>
      <c r="F15" s="225">
        <f>IF(F14="500米范围内",1.2,IF(F14="500-1000米",1.1,1))</f>
        <v>1</v>
      </c>
      <c r="G15" s="943">
        <v>1</v>
      </c>
      <c r="H15" s="943">
        <v>1</v>
      </c>
      <c r="I15" s="943">
        <v>1</v>
      </c>
      <c r="J15" s="944">
        <v>1</v>
      </c>
      <c r="K15" s="1367"/>
      <c r="L15" s="2773" t="s">
        <v>2798</v>
      </c>
      <c r="M15" s="914" t="s">
        <v>2863</v>
      </c>
      <c r="N15" s="914" t="s">
        <v>2864</v>
      </c>
      <c r="O15" s="914" t="s">
        <v>2865</v>
      </c>
      <c r="P15" s="2774" t="s">
        <v>2866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28" t="s">
        <v>2867</v>
      </c>
      <c r="B16" s="2741" t="s">
        <v>2868</v>
      </c>
      <c r="C16" s="1798" t="e">
        <f>ROUND(SUM(G17:J17)/C17,0)</f>
        <v>#DIV/0!</v>
      </c>
      <c r="D16" s="2775" t="s">
        <v>2869</v>
      </c>
      <c r="E16" s="2776"/>
      <c r="F16" s="2777"/>
      <c r="G16" s="2778"/>
      <c r="H16" s="2778"/>
      <c r="I16" s="2778"/>
      <c r="J16" s="2779"/>
      <c r="K16" s="1367"/>
      <c r="L16" s="2780" t="s">
        <v>2870</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29"/>
      <c r="B17" s="2781" t="s">
        <v>2871</v>
      </c>
      <c r="C17" s="918">
        <f>SUMPRODUCT((修正!A2:A5=E2)*(修正!B1:M1=G2)*(修正!B2:M5))</f>
        <v>0</v>
      </c>
      <c r="D17" s="2782"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3" t="s">
        <v>2874</v>
      </c>
      <c r="M17" s="207">
        <f ca="1">ROUND($E$20*(1+M16),3)</f>
        <v>5.3999999999999999E-2</v>
      </c>
      <c r="N17" s="207">
        <f ca="1">ROUND($E$20*(1+N16),3)</f>
        <v>5.1999999999999998E-2</v>
      </c>
      <c r="O17" s="207">
        <f ca="1">ROUND($E$20*(1+O16),3)</f>
        <v>0.05</v>
      </c>
      <c r="P17" s="1370">
        <f ca="1">ROUND($E$20*(1+P16),3)</f>
        <v>4.8000000000000001E-2</v>
      </c>
      <c r="Q17" s="1367"/>
      <c r="R17" s="1367"/>
      <c r="S17" s="1367"/>
      <c r="T17" s="1367"/>
      <c r="U17" s="1367"/>
      <c r="V17" s="1367"/>
      <c r="W17" s="1367"/>
      <c r="X17" s="1367"/>
      <c r="Y17" s="1367"/>
      <c r="Z17" s="1368"/>
      <c r="AE17" s="2784"/>
      <c r="AF17" s="2784"/>
      <c r="AG17" s="2716"/>
      <c r="AH17" s="2716"/>
      <c r="AI17" s="2716"/>
      <c r="AJ17" s="2716"/>
    </row>
    <row r="18" spans="1:37" s="2734" customFormat="1" ht="15.75" thickBot="1">
      <c r="A18" s="2785" t="s">
        <v>808</v>
      </c>
      <c r="B18" s="2786" t="s">
        <v>2875</v>
      </c>
      <c r="C18" s="920">
        <f>SUMIF(修正!C18:C39,E3,修正!E18:E39)</f>
        <v>0</v>
      </c>
      <c r="D18" s="2787"/>
      <c r="E18" s="2788"/>
      <c r="F18" s="2789"/>
      <c r="G18" s="2790"/>
      <c r="H18" s="2790"/>
      <c r="I18" s="2790"/>
      <c r="J18" s="2791"/>
      <c r="K18" s="1374"/>
      <c r="O18" s="1372"/>
      <c r="P18" s="1372"/>
      <c r="Q18" s="1373"/>
      <c r="R18" s="1373"/>
      <c r="S18" s="1373"/>
      <c r="T18" s="1368"/>
      <c r="U18" s="1368"/>
      <c r="V18" s="1368"/>
      <c r="W18" s="1367"/>
      <c r="X18" s="1367"/>
      <c r="Y18" s="1367"/>
      <c r="Z18" s="1374"/>
      <c r="AA18" s="1375"/>
      <c r="AB18" s="1375"/>
      <c r="AC18" s="1375"/>
      <c r="AD18" s="1375"/>
      <c r="AE18" s="1369"/>
      <c r="AF18" s="1369"/>
      <c r="AG18" s="2792"/>
      <c r="AH18" s="2792"/>
      <c r="AI18" s="2792"/>
    </row>
    <row r="19" spans="1:37" s="2734" customFormat="1" ht="27.75" thickBot="1">
      <c r="A19" s="2785" t="s">
        <v>809</v>
      </c>
      <c r="B19" s="2786" t="s">
        <v>2876</v>
      </c>
      <c r="C19" s="921" t="e">
        <f>ROUND(IF(H19="按公示增长率计算",SUMPRODUCT((地价!A3:A22=YEAR(G19)&amp;"-"&amp;ROUNDUP(MONTH(G19)/3,0))*(地价!X2:AB2=E2)*(地价!X3:AB22)),IF(H19="地价指数",M20/M19,(1+I19)^O19)),4)</f>
        <v>#DIV/0!</v>
      </c>
      <c r="D19" s="2793" t="s">
        <v>2877</v>
      </c>
      <c r="E19" s="922">
        <v>41640</v>
      </c>
      <c r="F19" s="2793" t="s">
        <v>2878</v>
      </c>
      <c r="G19" s="923">
        <f>'数据-取费表'!B2</f>
        <v>43237</v>
      </c>
      <c r="H19" s="2794" t="s">
        <v>2879</v>
      </c>
      <c r="I19" s="924" t="str">
        <f>IF(H19="季度增幅（自定义）",SUMIF(N21:N24,E2,O21:O24),"")</f>
        <v/>
      </c>
      <c r="J19" s="2791"/>
      <c r="K19" s="1374"/>
      <c r="L19" s="2795" t="s">
        <v>2880</v>
      </c>
      <c r="M19" s="1731">
        <f>ROUND(SUMIF(地价!B2:F2,E2,地价!B22:F22),0)</f>
        <v>0</v>
      </c>
      <c r="N19" s="2796" t="s">
        <v>2881</v>
      </c>
      <c r="O19" s="925">
        <f>ROUNDDOWN(DATEDIF(E19,G19,"M")/3,0)</f>
        <v>17</v>
      </c>
      <c r="P19" s="1371"/>
      <c r="Q19" s="1373"/>
      <c r="R19" s="1373"/>
      <c r="S19" s="1373"/>
      <c r="T19" s="1368"/>
      <c r="U19" s="1368"/>
      <c r="V19" s="1368"/>
      <c r="W19" s="1367"/>
      <c r="X19" s="1367"/>
      <c r="Y19" s="1367"/>
      <c r="Z19" s="1374"/>
      <c r="AA19" s="1375"/>
      <c r="AB19" s="1375"/>
      <c r="AC19" s="1375"/>
      <c r="AD19" s="1375"/>
      <c r="AE19" s="1375"/>
      <c r="AF19" s="2797"/>
      <c r="AG19" s="2798"/>
      <c r="AH19" s="2792"/>
      <c r="AI19" s="2799"/>
      <c r="AJ19" s="2799"/>
      <c r="AK19" s="2799"/>
    </row>
    <row r="20" spans="1:37" s="2734" customFormat="1" ht="27.75" thickBot="1">
      <c r="A20" s="2800" t="s">
        <v>810</v>
      </c>
      <c r="B20" s="2801" t="s">
        <v>2882</v>
      </c>
      <c r="C20" s="926" t="e">
        <f>ROUND(POWER(1+G20,J20-I20)*(POWER(1+G20,I20)-1)/(POWER(1+G20,J20)-1),4)</f>
        <v>#DIV/0!</v>
      </c>
      <c r="D20" s="2802" t="s">
        <v>2883</v>
      </c>
      <c r="E20" s="1765">
        <f ca="1">存贷款利率!D4/100</f>
        <v>4.3499999999999997E-2</v>
      </c>
      <c r="F20" s="2802" t="s">
        <v>2874</v>
      </c>
      <c r="G20" s="931">
        <f>SUMIF(M15:P15,E2,M17:P17)</f>
        <v>0</v>
      </c>
      <c r="H20" s="2802" t="s">
        <v>2884</v>
      </c>
      <c r="I20" s="932" t="e">
        <f>SUMIF('数据-取费表'!C6:C15,E2,'数据-取费表'!F6:F15)/COUNTIF('数据-取费表'!C6:C15,E2)</f>
        <v>#DIV/0!</v>
      </c>
      <c r="J20" s="933">
        <f>IF(E2="住宅",70,IF(E2="商业",40,50))</f>
        <v>50</v>
      </c>
      <c r="K20" s="1374"/>
      <c r="L20" s="2803" t="s">
        <v>2885</v>
      </c>
      <c r="M20" s="1732">
        <f>ROUND(SUMPRODUCT((地价!A4:A22=YEAR(G19)&amp;"-"&amp;ROUNDUP(MONTH(G19)/3,0))*(地价!B2:F2=E2)*(地价!B4:F22)),0)</f>
        <v>0</v>
      </c>
      <c r="N20" s="2804" t="s">
        <v>2886</v>
      </c>
      <c r="O20" s="2805" t="s">
        <v>2887</v>
      </c>
      <c r="P20" s="2806" t="s">
        <v>2888</v>
      </c>
      <c r="R20" s="1373"/>
      <c r="S20" s="1373"/>
      <c r="T20" s="1368"/>
      <c r="U20" s="1368"/>
      <c r="V20" s="1368"/>
      <c r="W20" s="1367"/>
      <c r="X20" s="1367"/>
      <c r="Y20" s="1367"/>
      <c r="Z20" s="1374"/>
      <c r="AA20" s="1375"/>
      <c r="AB20" s="1375"/>
      <c r="AC20" s="1375"/>
      <c r="AD20" s="1375"/>
      <c r="AE20" s="1375"/>
      <c r="AF20" s="1375"/>
    </row>
    <row r="21" spans="1:37" s="2734" customFormat="1" ht="15">
      <c r="A21" s="2807" t="s">
        <v>811</v>
      </c>
      <c r="B21" s="2808" t="s">
        <v>2889</v>
      </c>
      <c r="C21" s="934">
        <f>IF(B21="容积率修正",IF(G3&lt;=10,D22,J22),C23)</f>
        <v>0</v>
      </c>
      <c r="D21" s="2809"/>
      <c r="E21" s="2809"/>
      <c r="F21" s="2809"/>
      <c r="G21" s="2809"/>
      <c r="H21" s="2809"/>
      <c r="I21" s="2809"/>
      <c r="J21" s="2810"/>
      <c r="K21" s="1374"/>
      <c r="N21" s="2811" t="s">
        <v>2890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4" customFormat="1" ht="14.25">
      <c r="A22" s="2660" t="s">
        <v>2891</v>
      </c>
      <c r="B22" s="2812" t="s">
        <v>2892</v>
      </c>
      <c r="C22" s="1807" t="s">
        <v>2893</v>
      </c>
      <c r="D22" s="1807" t="b">
        <f>IF(E22=G22,F22,IF(G3&lt;=10,ROUND(F22+(H22-F22)*(G3-E22)/(G22-E22),4),"——"))</f>
        <v>0</v>
      </c>
      <c r="E22" s="910">
        <f>ROUNDDOWN(G3,1)</f>
        <v>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11" t="s">
        <v>2894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0" t="s">
        <v>2895</v>
      </c>
      <c r="B23" s="2813" t="s">
        <v>2896</v>
      </c>
      <c r="C23" s="1010">
        <f>ROUND(IF(G3&gt;1,IF(I3&lt;7,SUMPRODUCT((B93:B98=I3)*(C92:N92=G2)*(C93:N98)),SUMIF(C92:N92,G2,C100:N100)),IF(I3&lt;7,SUMPRODUCT((B102:B107=I3)*(C92:N92=G2)*(C102:N107)),SUMIF(C92:N92,G2,C109:N109))),4)</f>
        <v>0</v>
      </c>
      <c r="D23" s="2769"/>
      <c r="E23" s="2769"/>
      <c r="F23" s="2814"/>
      <c r="G23" s="2815"/>
      <c r="H23" s="2816"/>
      <c r="I23" s="2817"/>
      <c r="J23" s="2818"/>
      <c r="K23" s="1367"/>
      <c r="N23" s="2811" t="s">
        <v>2897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2"/>
    </row>
    <row r="24" spans="1:37" s="2734" customFormat="1" ht="15.75" thickBot="1">
      <c r="A24" s="2800" t="s">
        <v>812</v>
      </c>
      <c r="B24" s="2786" t="s">
        <v>2898</v>
      </c>
      <c r="C24" s="921">
        <f>SUMIF(A45:A88,E2,B45:B88)</f>
        <v>0</v>
      </c>
      <c r="D24" s="2789"/>
      <c r="E24" s="2819"/>
      <c r="F24" s="2819"/>
      <c r="G24" s="2819"/>
      <c r="H24" s="2819"/>
      <c r="I24" s="2819"/>
      <c r="J24" s="2820"/>
      <c r="K24" s="1374"/>
      <c r="N24" s="2821" t="s">
        <v>2899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0" t="s">
        <v>813</v>
      </c>
      <c r="B25" s="2822" t="s">
        <v>2900</v>
      </c>
      <c r="C25" s="927"/>
      <c r="D25" s="2744"/>
      <c r="E25" s="2744"/>
      <c r="F25" s="2823"/>
      <c r="G25" s="2744"/>
      <c r="H25" s="2744"/>
      <c r="I25" s="2744"/>
      <c r="J25" s="2745"/>
      <c r="K25" s="1367"/>
      <c r="N25" s="2824" t="s">
        <v>2901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5"/>
      <c r="B26" s="2812" t="s">
        <v>2902</v>
      </c>
      <c r="C26" s="202" t="e">
        <f>E29+SUM(E33:E39)</f>
        <v>#DIV/0!</v>
      </c>
      <c r="D26" s="2826"/>
      <c r="E26" s="2769"/>
      <c r="F26" s="2827"/>
      <c r="G26" s="2769"/>
      <c r="H26" s="2769"/>
      <c r="I26" s="2769"/>
      <c r="J26" s="2828"/>
      <c r="K26" s="1367"/>
      <c r="R26" s="1373"/>
      <c r="S26" s="1373"/>
      <c r="T26" s="1368"/>
      <c r="U26" s="1368"/>
      <c r="V26" s="1368"/>
      <c r="W26" s="1367"/>
      <c r="X26" s="1367"/>
      <c r="Y26" s="1367"/>
      <c r="Z26" s="1374"/>
      <c r="AA26" s="1375"/>
      <c r="AB26" s="1375"/>
      <c r="AC26" s="1375"/>
      <c r="AD26" s="1375"/>
    </row>
    <row r="27" spans="1:37" ht="15.75" thickBot="1">
      <c r="A27" s="2825"/>
      <c r="B27" s="2829" t="s">
        <v>2903</v>
      </c>
      <c r="C27" s="928" t="e">
        <f>E30+SUM(I33:I39)</f>
        <v>#DIV/0!</v>
      </c>
      <c r="D27" s="2830"/>
      <c r="E27" s="2831"/>
      <c r="F27" s="2832"/>
      <c r="G27" s="2831"/>
      <c r="H27" s="2831"/>
      <c r="I27" s="2831"/>
      <c r="J27" s="2833"/>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4"/>
      <c r="B28" s="2835" t="s">
        <v>2904</v>
      </c>
      <c r="C28" s="2836" t="s">
        <v>2905</v>
      </c>
      <c r="D28" s="2836" t="s">
        <v>2906</v>
      </c>
      <c r="E28" s="2837" t="s">
        <v>2907</v>
      </c>
      <c r="F28" s="2838"/>
      <c r="G28" s="2757"/>
      <c r="H28" s="2757"/>
      <c r="I28" s="2757"/>
      <c r="J28" s="2758"/>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9"/>
      <c r="B29" s="2840" t="s">
        <v>2908</v>
      </c>
      <c r="C29" s="202" t="e">
        <f>ROUND(C5*C18*C19*C20*C21*C24,0)</f>
        <v>#DIV/0!</v>
      </c>
      <c r="D29" s="2841"/>
      <c r="E29" s="939" t="e">
        <f>ROUND(C29*D29/10000,0)</f>
        <v>#DIV/0!</v>
      </c>
      <c r="F29" s="2842" t="s">
        <v>2909</v>
      </c>
      <c r="G29" s="2843"/>
      <c r="H29" s="2843"/>
      <c r="I29" s="2843"/>
      <c r="J29" s="2844"/>
      <c r="K29" s="1367"/>
      <c r="L29" s="1367"/>
      <c r="M29" s="1367"/>
      <c r="N29" s="1367"/>
      <c r="O29" s="1372"/>
      <c r="P29" s="1372"/>
      <c r="Q29" s="1373"/>
      <c r="R29" s="1373"/>
      <c r="S29" s="1373"/>
      <c r="T29" s="1368"/>
      <c r="U29" s="1368"/>
      <c r="V29" s="1368"/>
      <c r="W29" s="1367"/>
      <c r="X29" s="1367"/>
      <c r="Y29" s="1367"/>
      <c r="Z29" s="1374"/>
      <c r="AA29" s="1375"/>
      <c r="AB29" s="1375"/>
      <c r="AC29" s="1375"/>
      <c r="AD29" s="1375"/>
      <c r="AE29" s="2784"/>
      <c r="AF29" s="2784"/>
      <c r="AG29" s="2716"/>
      <c r="AH29" s="2716"/>
      <c r="AI29" s="2716"/>
      <c r="AJ29" s="2716"/>
    </row>
    <row r="30" spans="1:37" ht="25.5" thickBot="1">
      <c r="A30" s="2845"/>
      <c r="B30" s="2846" t="s">
        <v>2910</v>
      </c>
      <c r="C30" s="225" t="e">
        <f>ROUND(IF(E2="工业",C29*M39,C29*M38),0)</f>
        <v>#DIV/0!</v>
      </c>
      <c r="D30" s="2847"/>
      <c r="E30" s="939" t="e">
        <f>ROUND(C30*D30/10000,0)</f>
        <v>#DIV/0!</v>
      </c>
      <c r="F30" s="2848" t="s">
        <v>2911</v>
      </c>
      <c r="G30" s="2849"/>
      <c r="H30" s="2849"/>
      <c r="I30" s="2849"/>
      <c r="J30" s="2850"/>
      <c r="K30" s="1367"/>
      <c r="L30" s="1367"/>
      <c r="M30" s="1367"/>
      <c r="N30" s="1367"/>
      <c r="O30" s="1372"/>
      <c r="P30" s="1372"/>
      <c r="Q30" s="1373"/>
      <c r="R30" s="1373"/>
      <c r="S30" s="1373"/>
      <c r="T30" s="1368"/>
      <c r="U30" s="1368"/>
      <c r="V30" s="1368"/>
      <c r="W30" s="1367"/>
      <c r="X30" s="1367"/>
      <c r="Y30" s="1367"/>
      <c r="Z30" s="1374"/>
      <c r="AA30" s="1375"/>
      <c r="AB30" s="1375"/>
      <c r="AC30" s="1375"/>
      <c r="AD30" s="1375"/>
      <c r="AE30" s="2784"/>
      <c r="AF30" s="2784"/>
      <c r="AG30" s="2716"/>
      <c r="AH30" s="2716"/>
      <c r="AI30" s="2716"/>
      <c r="AJ30" s="2716"/>
    </row>
    <row r="31" spans="1:37" ht="14.25">
      <c r="A31" s="2851"/>
      <c r="B31" s="2852" t="s">
        <v>2912</v>
      </c>
      <c r="C31" s="2853" t="s">
        <v>2913</v>
      </c>
      <c r="D31" s="2757"/>
      <c r="E31" s="2853"/>
      <c r="F31" s="2853"/>
      <c r="G31" s="2755" t="s">
        <v>2914</v>
      </c>
      <c r="H31" s="2757"/>
      <c r="I31" s="2854"/>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84"/>
      <c r="AF31" s="2784"/>
      <c r="AG31" s="2716"/>
      <c r="AH31" s="2716"/>
      <c r="AI31" s="2716"/>
      <c r="AJ31" s="2716"/>
    </row>
    <row r="32" spans="1:37" ht="24">
      <c r="A32" s="2839"/>
      <c r="B32" s="2855"/>
      <c r="C32" s="497" t="s">
        <v>2905</v>
      </c>
      <c r="D32" s="494" t="s">
        <v>2906</v>
      </c>
      <c r="E32" s="494" t="s">
        <v>2907</v>
      </c>
      <c r="F32" s="384" t="s">
        <v>2915</v>
      </c>
      <c r="G32" s="2856" t="s">
        <v>2905</v>
      </c>
      <c r="H32" s="2856" t="s">
        <v>2906</v>
      </c>
      <c r="I32" s="2856" t="s">
        <v>2907</v>
      </c>
      <c r="J32" s="283"/>
      <c r="K32" s="1367"/>
      <c r="L32" s="1367"/>
      <c r="M32" s="1367"/>
      <c r="N32" s="1367"/>
      <c r="O32" s="1372"/>
      <c r="P32" s="1372"/>
      <c r="Q32" s="1373"/>
      <c r="R32" s="1373"/>
      <c r="S32" s="1373"/>
      <c r="T32" s="1368"/>
      <c r="U32" s="1368"/>
      <c r="V32" s="1368"/>
      <c r="W32" s="1367"/>
      <c r="X32" s="1367"/>
      <c r="Y32" s="1367"/>
      <c r="Z32" s="1374"/>
      <c r="AA32" s="1375"/>
      <c r="AB32" s="1375"/>
      <c r="AC32" s="1375"/>
      <c r="AD32" s="1375"/>
      <c r="AE32" s="2784"/>
      <c r="AF32" s="2784"/>
      <c r="AG32" s="2716"/>
      <c r="AH32" s="2716"/>
      <c r="AI32" s="2716"/>
      <c r="AJ32" s="2716"/>
    </row>
    <row r="33" spans="1:37" ht="36" customHeight="1">
      <c r="A33" s="3238" t="s">
        <v>2916</v>
      </c>
      <c r="B33" s="2857" t="s">
        <v>2917</v>
      </c>
      <c r="C33" s="202" t="e">
        <f>ROUND(D5*C19*C20*C24*F33,0)</f>
        <v>#DIV/0!</v>
      </c>
      <c r="D33" s="2841"/>
      <c r="E33" s="196" t="e">
        <f>ROUND(C33*D33/10000,0)</f>
        <v>#DIV/0!</v>
      </c>
      <c r="F33" s="196">
        <f>SUMIF(修正!A45:A56,G2,修正!B45:B56)</f>
        <v>0</v>
      </c>
      <c r="G33" s="196" t="e">
        <f t="shared" ref="G33:G39" si="6">ROUND(IF(E2="工业",C33*$M$39,C33*$M$38),0)</f>
        <v>#DIV/0!</v>
      </c>
      <c r="H33" s="196">
        <f>D33</f>
        <v>0</v>
      </c>
      <c r="I33" s="196" t="e">
        <f>ROUND(G33*H33/10000,0)</f>
        <v>#DIV/0!</v>
      </c>
      <c r="J33" s="285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39"/>
      <c r="B34" s="2761" t="s">
        <v>2918</v>
      </c>
      <c r="C34" s="202" t="e">
        <f>ROUND(D5*C19*C20*C24*F34,0)</f>
        <v>#DIV/0!</v>
      </c>
      <c r="D34" s="2841"/>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39"/>
      <c r="B35" s="2761" t="s">
        <v>2919</v>
      </c>
      <c r="C35" s="202" t="e">
        <f>ROUND(D5*C19*C20*C24*F35,0)</f>
        <v>#DIV/0!</v>
      </c>
      <c r="D35" s="2841"/>
      <c r="E35" s="196" t="e">
        <f t="shared" si="7"/>
        <v>#DIV/0!</v>
      </c>
      <c r="F35" s="196">
        <f>SUMIF(修正!A45:A56,G2,修正!D45:D56)</f>
        <v>0</v>
      </c>
      <c r="G35" s="196" t="e">
        <f t="shared" si="6"/>
        <v>#DIV/0!</v>
      </c>
      <c r="H35" s="196">
        <f t="shared" si="8"/>
        <v>0</v>
      </c>
      <c r="I35" s="196" t="e">
        <f t="shared" si="9"/>
        <v>#DIV/0!</v>
      </c>
      <c r="J35" s="2858"/>
      <c r="K35" s="1367"/>
      <c r="L35" s="1367"/>
      <c r="M35" s="1367"/>
      <c r="N35" s="1367"/>
      <c r="O35" s="1367"/>
      <c r="P35" s="1367"/>
      <c r="Q35" s="1367"/>
      <c r="R35" s="1367"/>
      <c r="S35" s="1367"/>
      <c r="T35" s="1367"/>
      <c r="U35" s="1367"/>
      <c r="V35" s="1367"/>
      <c r="W35" s="1367"/>
      <c r="X35" s="1367"/>
      <c r="Y35" s="1367"/>
      <c r="Z35" s="1368"/>
    </row>
    <row r="36" spans="1:37" ht="13.5" thickBot="1">
      <c r="A36" s="3240"/>
      <c r="B36" s="2761" t="s">
        <v>2920</v>
      </c>
      <c r="C36" s="202" t="e">
        <f>ROUND(D5*C19*C20*C24*F36,0)</f>
        <v>#DIV/0!</v>
      </c>
      <c r="D36" s="2841"/>
      <c r="E36" s="196" t="e">
        <f t="shared" si="7"/>
        <v>#DIV/0!</v>
      </c>
      <c r="F36" s="196">
        <f>SUMIF(修正!A45:A56,G2,修正!E45:E56)</f>
        <v>0</v>
      </c>
      <c r="G36" s="196" t="e">
        <f t="shared" si="6"/>
        <v>#DIV/0!</v>
      </c>
      <c r="H36" s="196">
        <f t="shared" si="8"/>
        <v>0</v>
      </c>
      <c r="I36" s="196" t="e">
        <f t="shared" si="9"/>
        <v>#DIV/0!</v>
      </c>
      <c r="J36" s="2858"/>
      <c r="K36" s="1367"/>
      <c r="L36" s="2715"/>
      <c r="M36" s="2715"/>
      <c r="N36" s="1367"/>
      <c r="O36" s="1367"/>
      <c r="P36" s="1367"/>
      <c r="Q36" s="1367"/>
      <c r="R36" s="1367"/>
      <c r="S36" s="1367"/>
      <c r="T36" s="1367"/>
      <c r="U36" s="1367"/>
      <c r="V36" s="1367"/>
      <c r="W36" s="1367"/>
      <c r="X36" s="1367"/>
      <c r="Y36" s="1367"/>
      <c r="Z36" s="1368"/>
    </row>
    <row r="37" spans="1:37">
      <c r="A37" s="2859"/>
      <c r="B37" s="2761" t="s">
        <v>2921</v>
      </c>
      <c r="C37" s="196" t="e">
        <f>ROUND(C5*C19*C20*C24*F37,0)</f>
        <v>#DIV/0!</v>
      </c>
      <c r="D37" s="2841"/>
      <c r="E37" s="196" t="e">
        <f t="shared" si="7"/>
        <v>#DIV/0!</v>
      </c>
      <c r="F37" s="202">
        <f>SUMIF(修正!A45:A56,G2,修正!F45:F56)</f>
        <v>0</v>
      </c>
      <c r="G37" s="196" t="e">
        <f t="shared" si="6"/>
        <v>#DIV/0!</v>
      </c>
      <c r="H37" s="196">
        <f t="shared" si="8"/>
        <v>0</v>
      </c>
      <c r="I37" s="196" t="e">
        <f t="shared" si="9"/>
        <v>#DIV/0!</v>
      </c>
      <c r="J37" s="2858"/>
      <c r="K37" s="1367"/>
      <c r="L37" s="2860" t="s">
        <v>2922</v>
      </c>
      <c r="M37" s="2861"/>
      <c r="N37" s="1367"/>
      <c r="O37" s="1367"/>
      <c r="P37" s="1367"/>
      <c r="Q37" s="1367"/>
      <c r="R37" s="1367"/>
      <c r="S37" s="1367"/>
      <c r="T37" s="1367"/>
      <c r="U37" s="1367"/>
      <c r="V37" s="1367"/>
      <c r="W37" s="1367"/>
      <c r="X37" s="1367"/>
      <c r="Y37" s="1367"/>
      <c r="Z37" s="1368"/>
    </row>
    <row r="38" spans="1:37">
      <c r="A38" s="2859"/>
      <c r="B38" s="2761" t="s">
        <v>2923</v>
      </c>
      <c r="C38" s="196" t="e">
        <f>ROUND(C5*C19*C20*C24*F38,0)</f>
        <v>#DIV/0!</v>
      </c>
      <c r="D38" s="2841"/>
      <c r="E38" s="196" t="e">
        <f t="shared" si="7"/>
        <v>#DIV/0!</v>
      </c>
      <c r="F38" s="202">
        <f>SUMIF(修正!A45:A56,G2,修正!G45:G56)</f>
        <v>0</v>
      </c>
      <c r="G38" s="196" t="e">
        <f t="shared" si="6"/>
        <v>#DIV/0!</v>
      </c>
      <c r="H38" s="196">
        <f t="shared" si="8"/>
        <v>0</v>
      </c>
      <c r="I38" s="196" t="e">
        <f t="shared" si="9"/>
        <v>#DIV/0!</v>
      </c>
      <c r="J38" s="2858"/>
      <c r="K38" s="1367"/>
      <c r="L38" s="1884" t="s">
        <v>2924</v>
      </c>
      <c r="M38" s="2862">
        <v>0.25</v>
      </c>
      <c r="N38" s="1367"/>
      <c r="O38" s="1367"/>
      <c r="P38" s="1367"/>
      <c r="Q38" s="1367"/>
      <c r="R38" s="1367"/>
      <c r="S38" s="1367"/>
      <c r="T38" s="1367"/>
      <c r="U38" s="1367"/>
      <c r="V38" s="1367"/>
      <c r="W38" s="1367"/>
      <c r="X38" s="1367"/>
      <c r="Y38" s="1367"/>
      <c r="Z38" s="1368"/>
    </row>
    <row r="39" spans="1:37" ht="13.5" thickBot="1">
      <c r="A39" s="2845"/>
      <c r="B39" s="2863" t="s">
        <v>2925</v>
      </c>
      <c r="C39" s="225" t="e">
        <f>ROUND(C5*C19*C20*C24*F39,0)</f>
        <v>#DIV/0!</v>
      </c>
      <c r="D39" s="2847"/>
      <c r="E39" s="225" t="e">
        <f t="shared" si="7"/>
        <v>#DIV/0!</v>
      </c>
      <c r="F39" s="929">
        <f>SUMIF(修正!A45:A56,G2,修正!H45:H56)</f>
        <v>0</v>
      </c>
      <c r="G39" s="225" t="e">
        <f t="shared" si="6"/>
        <v>#DIV/0!</v>
      </c>
      <c r="H39" s="225">
        <f t="shared" si="8"/>
        <v>0</v>
      </c>
      <c r="I39" s="225" t="e">
        <f t="shared" si="9"/>
        <v>#DIV/0!</v>
      </c>
      <c r="J39" s="2864"/>
      <c r="K39" s="1367"/>
      <c r="L39" s="2865" t="s">
        <v>2866</v>
      </c>
      <c r="M39" s="286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7"/>
      <c r="Z41" s="1368"/>
      <c r="AA41" s="1368"/>
      <c r="AB41" s="1368"/>
      <c r="AC41" s="1368"/>
      <c r="AD41" s="1368"/>
      <c r="AE41" s="1368"/>
      <c r="AF41" s="1368"/>
      <c r="AG41" s="1368"/>
      <c r="AH41" s="1368"/>
      <c r="AI41" s="1368"/>
      <c r="AJ41" s="1368"/>
    </row>
    <row r="42" spans="1:37" s="1367" customFormat="1">
      <c r="A42" s="1368"/>
      <c r="B42" s="2867"/>
      <c r="Z42" s="1368"/>
      <c r="AA42" s="1368"/>
      <c r="AB42" s="1368"/>
      <c r="AC42" s="1368"/>
      <c r="AD42" s="1368"/>
      <c r="AE42" s="1368"/>
      <c r="AF42" s="1368"/>
      <c r="AG42" s="1368"/>
      <c r="AH42" s="1368"/>
      <c r="AI42" s="1368"/>
      <c r="AJ42" s="1368"/>
    </row>
    <row r="43" spans="1:37" s="1367" customFormat="1">
      <c r="A43" s="1368"/>
      <c r="B43" s="2867"/>
      <c r="Z43" s="1368"/>
      <c r="AA43" s="1368"/>
      <c r="AB43" s="1368"/>
      <c r="AC43" s="1368"/>
      <c r="AD43" s="1368"/>
      <c r="AE43" s="1368"/>
      <c r="AF43" s="1368"/>
      <c r="AG43" s="1368"/>
      <c r="AH43" s="1368"/>
      <c r="AI43" s="1368"/>
      <c r="AJ43" s="1368"/>
    </row>
    <row r="44" spans="1:37" s="1367" customFormat="1">
      <c r="A44" s="1368"/>
      <c r="B44" s="2867"/>
      <c r="Z44" s="1368"/>
      <c r="AA44" s="1368"/>
      <c r="AB44" s="1368"/>
      <c r="AC44" s="1368"/>
      <c r="AD44" s="1368"/>
      <c r="AE44" s="1368"/>
      <c r="AF44" s="1368"/>
      <c r="AG44" s="1368"/>
      <c r="AH44" s="1368"/>
      <c r="AI44" s="1368"/>
      <c r="AJ44" s="1368"/>
    </row>
    <row r="45" spans="1:37" s="1367" customFormat="1" ht="15.75" thickBot="1">
      <c r="A45" s="2868" t="s">
        <v>2926</v>
      </c>
      <c r="B45" s="2869"/>
      <c r="C45" s="7"/>
      <c r="D45" s="7"/>
      <c r="E45" s="7"/>
      <c r="F45" s="6"/>
      <c r="G45" s="6"/>
      <c r="H45" s="6"/>
      <c r="I45" s="7"/>
      <c r="J45" s="7"/>
      <c r="K45" s="7"/>
      <c r="L45" s="7"/>
      <c r="M45" s="7"/>
      <c r="N45" s="2784"/>
      <c r="Z45" s="1368"/>
      <c r="AA45" s="1368"/>
      <c r="AB45" s="1368"/>
      <c r="AC45" s="1368"/>
      <c r="AD45" s="1368"/>
      <c r="AE45" s="1368"/>
      <c r="AF45" s="1368"/>
      <c r="AG45" s="1368"/>
      <c r="AH45" s="1368"/>
      <c r="AI45" s="1368"/>
      <c r="AJ45" s="1368"/>
    </row>
    <row r="46" spans="1:37" s="1367" customFormat="1" ht="15">
      <c r="A46" s="2870" t="s">
        <v>2927</v>
      </c>
      <c r="B46" s="2871">
        <f>1+E48</f>
        <v>1</v>
      </c>
      <c r="C46" s="2872"/>
      <c r="D46" s="808"/>
      <c r="E46" s="809"/>
      <c r="F46" s="2873"/>
      <c r="G46" s="6"/>
      <c r="H46" s="7"/>
      <c r="I46" s="7"/>
      <c r="J46" s="7"/>
      <c r="K46" s="7"/>
      <c r="L46" s="7"/>
      <c r="M46" s="7"/>
      <c r="N46" s="2784"/>
      <c r="Z46" s="1368"/>
      <c r="AA46" s="1368"/>
      <c r="AB46" s="1368"/>
      <c r="AC46" s="1368"/>
      <c r="AD46" s="1368"/>
      <c r="AE46" s="1368"/>
      <c r="AF46" s="1368"/>
      <c r="AG46" s="1368"/>
      <c r="AH46" s="1368"/>
      <c r="AI46" s="1368"/>
      <c r="AJ46" s="1368"/>
    </row>
    <row r="47" spans="1:37" s="1367" customFormat="1" ht="24.75">
      <c r="A47" s="2874" t="s">
        <v>2928</v>
      </c>
      <c r="B47" s="1806" t="s">
        <v>2929</v>
      </c>
      <c r="C47" s="1806" t="s">
        <v>2930</v>
      </c>
      <c r="D47" s="1806" t="s">
        <v>2931</v>
      </c>
      <c r="E47" s="813" t="s">
        <v>2932</v>
      </c>
      <c r="F47" s="2875" t="s">
        <v>2933</v>
      </c>
      <c r="G47" s="1806" t="s">
        <v>754</v>
      </c>
      <c r="H47" s="2876" t="s">
        <v>2934</v>
      </c>
      <c r="I47" s="1806" t="s">
        <v>2935</v>
      </c>
      <c r="J47" s="599" t="s">
        <v>2582</v>
      </c>
      <c r="K47" s="599" t="s">
        <v>2583</v>
      </c>
      <c r="L47" s="599" t="s">
        <v>2584</v>
      </c>
      <c r="M47" s="599" t="s">
        <v>2585</v>
      </c>
      <c r="N47" s="599" t="s">
        <v>2586</v>
      </c>
      <c r="AA47" s="1368"/>
      <c r="AB47" s="1368"/>
      <c r="AC47" s="1368"/>
      <c r="AD47" s="1368"/>
      <c r="AE47" s="1368"/>
      <c r="AF47" s="1368"/>
      <c r="AG47" s="1368"/>
      <c r="AH47" s="1368"/>
      <c r="AI47" s="1368"/>
      <c r="AJ47" s="1368"/>
      <c r="AK47" s="1368"/>
    </row>
    <row r="48" spans="1:37" s="1367" customFormat="1" ht="38.25">
      <c r="A48" s="2874" t="s">
        <v>2936</v>
      </c>
      <c r="B48" s="2877" t="str">
        <f>估价对象房地状况!C4</f>
        <v>估价对象周边2公里无购物中心，仅有少量住宅配套商业，人流量较小，商业繁华度一般</v>
      </c>
      <c r="C48" s="2766"/>
      <c r="D48" s="1283">
        <f t="shared" ref="D48:D56" si="10">SUMIF($J$47:$N$47,C48,J48:N48)</f>
        <v>0</v>
      </c>
      <c r="E48" s="815">
        <f>ROUND(SUM(D48:D56),4)</f>
        <v>0</v>
      </c>
      <c r="F48" s="2497"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4" t="s">
        <v>2937</v>
      </c>
      <c r="B49" s="2878" t="str">
        <f>估价对象房地状况!C18</f>
        <v>估价对象周边仅有829、兴52路公交线路，综合评价交通便捷度一般</v>
      </c>
      <c r="C49" s="2766"/>
      <c r="D49" s="1283">
        <f t="shared" si="10"/>
        <v>0</v>
      </c>
      <c r="E49" s="816"/>
      <c r="F49" s="2497"/>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4" t="s">
        <v>2938</v>
      </c>
      <c r="B50" s="2878" t="str">
        <f>估价对象房地状况!C19</f>
        <v>较好</v>
      </c>
      <c r="C50" s="2766"/>
      <c r="D50" s="1283">
        <f t="shared" si="10"/>
        <v>0</v>
      </c>
      <c r="E50" s="816"/>
      <c r="F50" s="2497"/>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4" t="s">
        <v>2939</v>
      </c>
      <c r="B51" s="2879" t="s">
        <v>2940</v>
      </c>
      <c r="C51" s="2766"/>
      <c r="D51" s="1283">
        <f t="shared" si="10"/>
        <v>0</v>
      </c>
      <c r="E51" s="816"/>
      <c r="F51" s="2497"/>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4" t="s">
        <v>2941</v>
      </c>
      <c r="B52" s="2878" t="str">
        <f>估价对象房地状况!C24</f>
        <v>城市次干道——春林大街</v>
      </c>
      <c r="C52" s="2766"/>
      <c r="D52" s="1283">
        <f t="shared" si="10"/>
        <v>0</v>
      </c>
      <c r="E52" s="816"/>
      <c r="F52" s="2497"/>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4" t="s">
        <v>2942</v>
      </c>
      <c r="B53" s="2880" t="s">
        <v>2943</v>
      </c>
      <c r="C53" s="2766"/>
      <c r="D53" s="1283">
        <f t="shared" si="10"/>
        <v>0</v>
      </c>
      <c r="E53" s="816"/>
      <c r="F53" s="2497"/>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1" t="s">
        <v>2944</v>
      </c>
      <c r="B54" s="1722" t="str">
        <f>估价对象房地状况!C21</f>
        <v>估价对象所在区域公共配套设施齐备度一般</v>
      </c>
      <c r="C54" s="2766"/>
      <c r="D54" s="1283">
        <f t="shared" si="10"/>
        <v>0</v>
      </c>
      <c r="E54" s="816"/>
      <c r="F54" s="2497"/>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1" t="s">
        <v>2945</v>
      </c>
      <c r="B55" s="2878" t="str">
        <f>估价对象房地状况!C22</f>
        <v>估价对象所在区域基础设施水平达七通</v>
      </c>
      <c r="C55" s="2766"/>
      <c r="D55" s="1283">
        <f t="shared" si="10"/>
        <v>0</v>
      </c>
      <c r="E55" s="816"/>
      <c r="F55" s="2497"/>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2" t="s">
        <v>2946</v>
      </c>
      <c r="B56" s="2883" t="str">
        <f>估价对象房地状况!C20</f>
        <v>周边仅有住宅配套绿化，无大型公园及高等教育机构；综合评价环境状况较差</v>
      </c>
      <c r="C56" s="2766"/>
      <c r="D56" s="1283">
        <f t="shared" si="10"/>
        <v>0</v>
      </c>
      <c r="E56" s="819"/>
      <c r="F56" s="2497"/>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0" t="s">
        <v>2947</v>
      </c>
      <c r="B57" s="2871">
        <f>1+E59</f>
        <v>1</v>
      </c>
      <c r="C57" s="808"/>
      <c r="D57" s="808"/>
      <c r="E57" s="809"/>
      <c r="F57" s="287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4" t="s">
        <v>2928</v>
      </c>
      <c r="B58" s="1806"/>
      <c r="C58" s="1806" t="s">
        <v>2930</v>
      </c>
      <c r="D58" s="1806" t="s">
        <v>2931</v>
      </c>
      <c r="E58" s="813" t="s">
        <v>2932</v>
      </c>
      <c r="F58" s="2875" t="s">
        <v>2948</v>
      </c>
      <c r="G58" s="1806" t="s">
        <v>754</v>
      </c>
      <c r="H58" s="2876" t="s">
        <v>2934</v>
      </c>
      <c r="I58" s="1806" t="s">
        <v>2935</v>
      </c>
      <c r="J58" s="599" t="s">
        <v>2582</v>
      </c>
      <c r="K58" s="599" t="s">
        <v>2583</v>
      </c>
      <c r="L58" s="599" t="s">
        <v>2584</v>
      </c>
      <c r="M58" s="599" t="s">
        <v>2585</v>
      </c>
      <c r="N58" s="599" t="s">
        <v>2586</v>
      </c>
      <c r="AA58" s="1368"/>
      <c r="AB58" s="1368"/>
      <c r="AC58" s="1368"/>
      <c r="AD58" s="1368"/>
      <c r="AE58" s="1368"/>
      <c r="AF58" s="1368"/>
      <c r="AG58" s="1368"/>
      <c r="AH58" s="1368"/>
      <c r="AI58" s="1368"/>
      <c r="AJ58" s="1368"/>
      <c r="AK58" s="1368"/>
    </row>
    <row r="59" spans="1:37" s="1367" customFormat="1" ht="38.25">
      <c r="A59" s="2874" t="s">
        <v>2949</v>
      </c>
      <c r="B59" s="2877" t="str">
        <f>估价对象房地状况!C17</f>
        <v>估价对象周边2公里办公项目有绿地启航国际、世农大厦等少量办公项目，办公集聚程度较差</v>
      </c>
      <c r="C59" s="2766"/>
      <c r="D59" s="1283">
        <f t="shared" ref="D59:D67" si="15">SUMIF($J$58:$N$58,C59,J59:N59)</f>
        <v>0</v>
      </c>
      <c r="E59" s="815">
        <f>ROUND(SUM(D59:D67),4)</f>
        <v>0</v>
      </c>
      <c r="F59" s="2497"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4" t="s">
        <v>2937</v>
      </c>
      <c r="B60" s="2878" t="str">
        <f>估价对象房地状况!C18</f>
        <v>估价对象周边仅有829、兴52路公交线路，综合评价交通便捷度一般</v>
      </c>
      <c r="C60" s="2766"/>
      <c r="D60" s="1283">
        <f t="shared" si="15"/>
        <v>0</v>
      </c>
      <c r="E60" s="816"/>
      <c r="F60" s="2497"/>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4" t="s">
        <v>2938</v>
      </c>
      <c r="B61" s="2878" t="str">
        <f>估价对象房地状况!C19</f>
        <v>较好</v>
      </c>
      <c r="C61" s="2766"/>
      <c r="D61" s="1283">
        <f t="shared" si="15"/>
        <v>0</v>
      </c>
      <c r="E61" s="816"/>
      <c r="F61" s="2497"/>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4" t="s">
        <v>2939</v>
      </c>
      <c r="B62" s="2879" t="s">
        <v>2940</v>
      </c>
      <c r="C62" s="2766"/>
      <c r="D62" s="1283">
        <f t="shared" si="15"/>
        <v>0</v>
      </c>
      <c r="E62" s="816"/>
      <c r="F62" s="2497"/>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4" t="s">
        <v>2941</v>
      </c>
      <c r="B63" s="2878" t="str">
        <f>估价对象房地状况!C24</f>
        <v>城市次干道——春林大街</v>
      </c>
      <c r="C63" s="2766"/>
      <c r="D63" s="1283">
        <f t="shared" si="15"/>
        <v>0</v>
      </c>
      <c r="E63" s="816"/>
      <c r="F63" s="2497"/>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4" t="s">
        <v>2942</v>
      </c>
      <c r="B64" s="2880" t="s">
        <v>2943</v>
      </c>
      <c r="C64" s="2766"/>
      <c r="D64" s="1283">
        <f t="shared" si="15"/>
        <v>0</v>
      </c>
      <c r="E64" s="816"/>
      <c r="F64" s="2497"/>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4" t="s">
        <v>2944</v>
      </c>
      <c r="B65" s="1722" t="str">
        <f>估价对象房地状况!C21</f>
        <v>估价对象所在区域公共配套设施齐备度一般</v>
      </c>
      <c r="C65" s="2766"/>
      <c r="D65" s="1283">
        <f t="shared" si="15"/>
        <v>0</v>
      </c>
      <c r="E65" s="816"/>
      <c r="F65" s="2497"/>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4" t="s">
        <v>2945</v>
      </c>
      <c r="B66" s="1722" t="str">
        <f>估价对象房地状况!C22</f>
        <v>估价对象所在区域基础设施水平达七通</v>
      </c>
      <c r="C66" s="2766"/>
      <c r="D66" s="1283">
        <f t="shared" si="15"/>
        <v>0</v>
      </c>
      <c r="E66" s="816"/>
      <c r="F66" s="2497"/>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2" t="s">
        <v>2946</v>
      </c>
      <c r="B67" s="2884" t="str">
        <f>估价对象房地状况!C20</f>
        <v>周边仅有住宅配套绿化，无大型公园及高等教育机构；综合评价环境状况较差</v>
      </c>
      <c r="C67" s="2766"/>
      <c r="D67" s="1283">
        <f t="shared" si="15"/>
        <v>0</v>
      </c>
      <c r="E67" s="819"/>
      <c r="F67" s="2497"/>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0" t="s">
        <v>2950</v>
      </c>
      <c r="B68" s="2871">
        <f>1+E70</f>
        <v>1</v>
      </c>
      <c r="C68" s="808"/>
      <c r="D68" s="808"/>
      <c r="E68" s="809"/>
      <c r="F68" s="287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4" t="s">
        <v>2928</v>
      </c>
      <c r="B69" s="1806"/>
      <c r="C69" s="1806" t="s">
        <v>2930</v>
      </c>
      <c r="D69" s="1806" t="s">
        <v>2931</v>
      </c>
      <c r="E69" s="813" t="s">
        <v>2932</v>
      </c>
      <c r="F69" s="2875" t="s">
        <v>2948</v>
      </c>
      <c r="G69" s="1806" t="s">
        <v>754</v>
      </c>
      <c r="H69" s="2876" t="s">
        <v>2934</v>
      </c>
      <c r="I69" s="1806" t="s">
        <v>2935</v>
      </c>
      <c r="J69" s="599" t="s">
        <v>2582</v>
      </c>
      <c r="K69" s="599" t="s">
        <v>2583</v>
      </c>
      <c r="L69" s="599" t="s">
        <v>2584</v>
      </c>
      <c r="M69" s="599" t="s">
        <v>2585</v>
      </c>
      <c r="N69" s="599" t="s">
        <v>2586</v>
      </c>
      <c r="AA69" s="1368"/>
      <c r="AB69" s="1368"/>
      <c r="AC69" s="1368"/>
      <c r="AD69" s="1368"/>
      <c r="AE69" s="1368"/>
      <c r="AF69" s="1368"/>
      <c r="AG69" s="1368"/>
      <c r="AH69" s="1368"/>
      <c r="AI69" s="1368"/>
      <c r="AJ69" s="1368"/>
      <c r="AK69" s="1368"/>
    </row>
    <row r="70" spans="1:37" s="1367" customFormat="1" ht="51">
      <c r="A70" s="2874" t="s">
        <v>2951</v>
      </c>
      <c r="B70" s="2877">
        <f>估价对象房地状况!C15</f>
        <v>0</v>
      </c>
      <c r="C70" s="2766"/>
      <c r="D70" s="1283">
        <f t="shared" ref="D70:D78" si="20">SUMIF($J$69:$N$69,C70,J70:N70)</f>
        <v>0</v>
      </c>
      <c r="E70" s="815">
        <f>ROUND(SUM(D70:D78),4)</f>
        <v>0</v>
      </c>
      <c r="F70" s="2497"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4" t="s">
        <v>2937</v>
      </c>
      <c r="B71" s="2878" t="str">
        <f>估价对象房地状况!C18</f>
        <v>估价对象周边仅有829、兴52路公交线路，综合评价交通便捷度一般</v>
      </c>
      <c r="C71" s="2766"/>
      <c r="D71" s="1283">
        <f t="shared" si="20"/>
        <v>0</v>
      </c>
      <c r="E71" s="820"/>
      <c r="F71" s="2497"/>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4" t="s">
        <v>2938</v>
      </c>
      <c r="B72" s="2878" t="str">
        <f>估价对象房地状况!C19</f>
        <v>较好</v>
      </c>
      <c r="C72" s="2766"/>
      <c r="D72" s="1283">
        <f t="shared" si="20"/>
        <v>0</v>
      </c>
      <c r="E72" s="820"/>
      <c r="F72" s="2497"/>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4" t="s">
        <v>2952</v>
      </c>
      <c r="B73" s="2878" t="str">
        <f>估价对象房地状况!C24</f>
        <v>城市次干道——春林大街</v>
      </c>
      <c r="C73" s="2766"/>
      <c r="D73" s="1283">
        <f t="shared" si="20"/>
        <v>0</v>
      </c>
      <c r="E73" s="820"/>
      <c r="F73" s="2497"/>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4" t="s">
        <v>2944</v>
      </c>
      <c r="B74" s="1722" t="str">
        <f>估价对象房地状况!C21</f>
        <v>估价对象所在区域公共配套设施齐备度一般</v>
      </c>
      <c r="C74" s="2766"/>
      <c r="D74" s="1283">
        <f t="shared" si="20"/>
        <v>0</v>
      </c>
      <c r="E74" s="820"/>
      <c r="F74" s="2497"/>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4" t="s">
        <v>2945</v>
      </c>
      <c r="B75" s="1722" t="str">
        <f>估价对象房地状况!C22</f>
        <v>估价对象所在区域基础设施水平达七通</v>
      </c>
      <c r="C75" s="2766"/>
      <c r="D75" s="1283">
        <f t="shared" si="20"/>
        <v>0</v>
      </c>
      <c r="E75" s="820"/>
      <c r="F75" s="2497"/>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74" t="s">
        <v>2942</v>
      </c>
      <c r="B76" s="2880" t="s">
        <v>2943</v>
      </c>
      <c r="C76" s="2766"/>
      <c r="D76" s="1283">
        <f t="shared" si="20"/>
        <v>0</v>
      </c>
      <c r="E76" s="820"/>
      <c r="F76" s="2497"/>
      <c r="G76" s="1281"/>
      <c r="H76" s="1285" t="str">
        <f t="shared" si="21"/>
        <v>——</v>
      </c>
      <c r="I76" s="814">
        <v>0.05</v>
      </c>
      <c r="J76" s="1282">
        <f t="shared" si="22"/>
        <v>0</v>
      </c>
      <c r="K76" s="1282">
        <f t="shared" si="23"/>
        <v>0</v>
      </c>
      <c r="L76" s="1282">
        <v>0</v>
      </c>
      <c r="M76" s="1282">
        <f t="shared" si="24"/>
        <v>0</v>
      </c>
      <c r="N76" s="1282">
        <f t="shared" si="24"/>
        <v>0</v>
      </c>
      <c r="AA76" s="2885"/>
      <c r="AB76" s="1368"/>
      <c r="AC76" s="1368"/>
      <c r="AD76" s="1368"/>
      <c r="AE76" s="1368"/>
      <c r="AF76" s="1368"/>
      <c r="AG76" s="1368"/>
      <c r="AH76" s="2885"/>
      <c r="AI76" s="2885"/>
      <c r="AJ76" s="2885"/>
      <c r="AK76" s="2885"/>
    </row>
    <row r="77" spans="1:37" ht="38.25">
      <c r="A77" s="2874" t="s">
        <v>2946</v>
      </c>
      <c r="B77" s="2877" t="str">
        <f>估价对象房地状况!C20</f>
        <v>周边仅有住宅配套绿化，无大型公园及高等教育机构；综合评价环境状况较差</v>
      </c>
      <c r="C77" s="2766"/>
      <c r="D77" s="1283">
        <f t="shared" si="20"/>
        <v>0</v>
      </c>
      <c r="E77" s="820"/>
      <c r="F77" s="2497"/>
      <c r="G77" s="1281"/>
      <c r="H77" s="1285" t="str">
        <f t="shared" si="21"/>
        <v>——</v>
      </c>
      <c r="I77" s="814">
        <v>0.15</v>
      </c>
      <c r="J77" s="1282">
        <f t="shared" si="22"/>
        <v>0</v>
      </c>
      <c r="K77" s="1282">
        <f t="shared" si="23"/>
        <v>0</v>
      </c>
      <c r="L77" s="1282">
        <v>0</v>
      </c>
      <c r="M77" s="1282">
        <f t="shared" si="24"/>
        <v>0</v>
      </c>
      <c r="N77" s="1282">
        <f t="shared" si="24"/>
        <v>0</v>
      </c>
      <c r="Z77" s="2716"/>
      <c r="AA77" s="2792"/>
      <c r="AG77" s="1369"/>
      <c r="AK77" s="2792"/>
    </row>
    <row r="78" spans="1:37" ht="24.75" thickBot="1">
      <c r="A78" s="2882" t="s">
        <v>2953</v>
      </c>
      <c r="B78" s="2886"/>
      <c r="C78" s="2766"/>
      <c r="D78" s="1283">
        <f t="shared" si="20"/>
        <v>0</v>
      </c>
      <c r="E78" s="821"/>
      <c r="F78" s="2497"/>
      <c r="G78" s="1281"/>
      <c r="H78" s="1285" t="str">
        <f t="shared" si="21"/>
        <v>——</v>
      </c>
      <c r="I78" s="818">
        <v>0.04</v>
      </c>
      <c r="J78" s="1282">
        <f t="shared" si="22"/>
        <v>0</v>
      </c>
      <c r="K78" s="1282">
        <f t="shared" si="23"/>
        <v>0</v>
      </c>
      <c r="L78" s="1282">
        <v>0</v>
      </c>
      <c r="M78" s="1282">
        <f t="shared" si="24"/>
        <v>0</v>
      </c>
      <c r="N78" s="1282">
        <f t="shared" si="24"/>
        <v>0</v>
      </c>
      <c r="Z78" s="2716"/>
      <c r="AA78" s="2792"/>
      <c r="AG78" s="1369"/>
      <c r="AK78" s="2792"/>
    </row>
    <row r="79" spans="1:37" ht="15">
      <c r="A79" s="2870" t="s">
        <v>2954</v>
      </c>
      <c r="B79" s="2871">
        <f>1+E81</f>
        <v>1</v>
      </c>
      <c r="C79" s="808"/>
      <c r="D79" s="808"/>
      <c r="E79" s="809"/>
      <c r="F79" s="2873"/>
      <c r="G79" s="6"/>
      <c r="H79" s="6"/>
      <c r="I79" s="6"/>
      <c r="J79" s="7"/>
      <c r="K79" s="7"/>
      <c r="L79" s="7"/>
      <c r="M79" s="7"/>
      <c r="N79" s="7"/>
      <c r="Z79" s="2716"/>
      <c r="AA79" s="2792"/>
      <c r="AG79" s="1369"/>
      <c r="AK79" s="2792"/>
    </row>
    <row r="80" spans="1:37" ht="24.75">
      <c r="A80" s="2874" t="s">
        <v>2928</v>
      </c>
      <c r="B80" s="1806"/>
      <c r="C80" s="1806" t="s">
        <v>2930</v>
      </c>
      <c r="D80" s="1806" t="s">
        <v>2931</v>
      </c>
      <c r="E80" s="813" t="s">
        <v>2932</v>
      </c>
      <c r="F80" s="2875" t="s">
        <v>2948</v>
      </c>
      <c r="G80" s="1806" t="s">
        <v>754</v>
      </c>
      <c r="H80" s="2876" t="s">
        <v>2934</v>
      </c>
      <c r="I80" s="1806" t="s">
        <v>2935</v>
      </c>
      <c r="J80" s="599" t="s">
        <v>2582</v>
      </c>
      <c r="K80" s="599" t="s">
        <v>2583</v>
      </c>
      <c r="L80" s="599" t="s">
        <v>2584</v>
      </c>
      <c r="M80" s="599" t="s">
        <v>2585</v>
      </c>
      <c r="N80" s="599" t="s">
        <v>2586</v>
      </c>
      <c r="Z80" s="2716"/>
      <c r="AA80" s="2792"/>
      <c r="AG80" s="1369"/>
      <c r="AK80" s="2792"/>
    </row>
    <row r="81" spans="1:37" ht="38.25">
      <c r="A81" s="2874" t="s">
        <v>2955</v>
      </c>
      <c r="B81" s="2878">
        <f>估价对象房地状况!G15</f>
        <v>0</v>
      </c>
      <c r="C81" s="2766"/>
      <c r="D81" s="1283">
        <f t="shared" ref="D81:D88" si="25">SUMIF($J$80:$N$80,C81,J81:N81)</f>
        <v>0</v>
      </c>
      <c r="E81" s="815">
        <f>ROUND(SUM(D81:D88),4)</f>
        <v>0</v>
      </c>
      <c r="F81" s="2497"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6"/>
      <c r="AA81" s="2792"/>
      <c r="AG81" s="1369"/>
      <c r="AK81" s="2792"/>
    </row>
    <row r="82" spans="1:37" ht="51">
      <c r="A82" s="2874" t="s">
        <v>2937</v>
      </c>
      <c r="B82" s="2878">
        <f>估价对象房地状况!G16</f>
        <v>0</v>
      </c>
      <c r="C82" s="2766"/>
      <c r="D82" s="1283">
        <f t="shared" si="25"/>
        <v>0</v>
      </c>
      <c r="E82" s="820"/>
      <c r="F82" s="2497"/>
      <c r="G82" s="1281"/>
      <c r="H82" s="1285" t="str">
        <f t="shared" si="26"/>
        <v>——</v>
      </c>
      <c r="I82" s="814">
        <v>0.33</v>
      </c>
      <c r="J82" s="1282">
        <f t="shared" si="27"/>
        <v>0</v>
      </c>
      <c r="K82" s="1282">
        <f t="shared" si="28"/>
        <v>0</v>
      </c>
      <c r="L82" s="1282">
        <v>0</v>
      </c>
      <c r="M82" s="1282">
        <f t="shared" si="29"/>
        <v>0</v>
      </c>
      <c r="N82" s="1282">
        <f t="shared" si="29"/>
        <v>0</v>
      </c>
      <c r="Z82" s="2716"/>
      <c r="AA82" s="2792"/>
      <c r="AG82" s="1369"/>
      <c r="AK82" s="2792"/>
    </row>
    <row r="83" spans="1:37" ht="24">
      <c r="A83" s="2874" t="s">
        <v>2938</v>
      </c>
      <c r="B83" s="2878">
        <f>估价对象房地状况!G17</f>
        <v>0</v>
      </c>
      <c r="C83" s="2766"/>
      <c r="D83" s="1283">
        <f t="shared" si="25"/>
        <v>0</v>
      </c>
      <c r="E83" s="820"/>
      <c r="F83" s="2497"/>
      <c r="G83" s="1281"/>
      <c r="H83" s="1285" t="str">
        <f t="shared" si="26"/>
        <v>——</v>
      </c>
      <c r="I83" s="814">
        <v>0.05</v>
      </c>
      <c r="J83" s="1282">
        <f t="shared" si="27"/>
        <v>0</v>
      </c>
      <c r="K83" s="1282">
        <f t="shared" si="28"/>
        <v>0</v>
      </c>
      <c r="L83" s="1282">
        <v>0</v>
      </c>
      <c r="M83" s="1282">
        <f t="shared" si="29"/>
        <v>0</v>
      </c>
      <c r="N83" s="1282">
        <f t="shared" si="29"/>
        <v>0</v>
      </c>
      <c r="Z83" s="2716"/>
      <c r="AA83" s="2792"/>
      <c r="AG83" s="1369"/>
      <c r="AK83" s="2792"/>
    </row>
    <row r="84" spans="1:37" ht="14.25">
      <c r="A84" s="2874" t="s">
        <v>2952</v>
      </c>
      <c r="B84" s="2878">
        <f>估价对象房地状况!G22</f>
        <v>0</v>
      </c>
      <c r="C84" s="2766"/>
      <c r="D84" s="1283">
        <f t="shared" si="25"/>
        <v>0</v>
      </c>
      <c r="E84" s="820"/>
      <c r="F84" s="2497"/>
      <c r="G84" s="1281"/>
      <c r="H84" s="1285" t="str">
        <f t="shared" si="26"/>
        <v>——</v>
      </c>
      <c r="I84" s="814">
        <v>0.04</v>
      </c>
      <c r="J84" s="1282">
        <f t="shared" si="27"/>
        <v>0</v>
      </c>
      <c r="K84" s="1282">
        <f t="shared" si="28"/>
        <v>0</v>
      </c>
      <c r="L84" s="1282">
        <v>0</v>
      </c>
      <c r="M84" s="1282">
        <f t="shared" si="29"/>
        <v>0</v>
      </c>
      <c r="N84" s="1282">
        <f t="shared" si="29"/>
        <v>0</v>
      </c>
      <c r="Z84" s="2716"/>
      <c r="AA84" s="2792"/>
      <c r="AG84" s="1369"/>
      <c r="AK84" s="2792"/>
    </row>
    <row r="85" spans="1:37" ht="25.5">
      <c r="A85" s="2874" t="s">
        <v>2944</v>
      </c>
      <c r="B85" s="1722">
        <f>估价对象房地状况!G19</f>
        <v>0</v>
      </c>
      <c r="C85" s="2766"/>
      <c r="D85" s="1283">
        <f t="shared" si="25"/>
        <v>0</v>
      </c>
      <c r="E85" s="820"/>
      <c r="F85" s="2497"/>
      <c r="G85" s="1281"/>
      <c r="H85" s="1285" t="str">
        <f t="shared" si="26"/>
        <v>——</v>
      </c>
      <c r="I85" s="814">
        <v>0.06</v>
      </c>
      <c r="J85" s="1282">
        <f t="shared" si="27"/>
        <v>0</v>
      </c>
      <c r="K85" s="1282">
        <f t="shared" si="28"/>
        <v>0</v>
      </c>
      <c r="L85" s="1282">
        <v>0</v>
      </c>
      <c r="M85" s="1282">
        <f t="shared" si="29"/>
        <v>0</v>
      </c>
      <c r="N85" s="1282">
        <f t="shared" si="29"/>
        <v>0</v>
      </c>
      <c r="Z85" s="2716"/>
      <c r="AA85" s="2792"/>
      <c r="AG85" s="1369"/>
      <c r="AK85" s="2792"/>
    </row>
    <row r="86" spans="1:37" ht="25.5">
      <c r="A86" s="2874" t="s">
        <v>2945</v>
      </c>
      <c r="B86" s="1722">
        <f>估价对象房地状况!G20</f>
        <v>0</v>
      </c>
      <c r="C86" s="2766"/>
      <c r="D86" s="1283">
        <f t="shared" si="25"/>
        <v>0</v>
      </c>
      <c r="E86" s="820"/>
      <c r="F86" s="2497"/>
      <c r="G86" s="1281"/>
      <c r="H86" s="1285" t="str">
        <f t="shared" si="26"/>
        <v>——</v>
      </c>
      <c r="I86" s="814">
        <v>0.15</v>
      </c>
      <c r="J86" s="1282">
        <f t="shared" si="27"/>
        <v>0</v>
      </c>
      <c r="K86" s="1282">
        <f t="shared" si="28"/>
        <v>0</v>
      </c>
      <c r="L86" s="1282">
        <v>0</v>
      </c>
      <c r="M86" s="1282">
        <f t="shared" si="29"/>
        <v>0</v>
      </c>
      <c r="N86" s="1282">
        <f t="shared" si="29"/>
        <v>0</v>
      </c>
      <c r="Z86" s="2716"/>
      <c r="AA86" s="2792"/>
      <c r="AG86" s="1369"/>
      <c r="AK86" s="2792"/>
    </row>
    <row r="87" spans="1:37" ht="24">
      <c r="A87" s="2874" t="s">
        <v>2942</v>
      </c>
      <c r="B87" s="2880" t="s">
        <v>2956</v>
      </c>
      <c r="C87" s="2766"/>
      <c r="D87" s="1283">
        <f t="shared" si="25"/>
        <v>0</v>
      </c>
      <c r="E87" s="820"/>
      <c r="F87" s="2497"/>
      <c r="G87" s="1281"/>
      <c r="H87" s="1285" t="str">
        <f t="shared" si="26"/>
        <v>——</v>
      </c>
      <c r="I87" s="814">
        <v>0.05</v>
      </c>
      <c r="J87" s="1282">
        <f t="shared" si="27"/>
        <v>0</v>
      </c>
      <c r="K87" s="1282">
        <f t="shared" si="28"/>
        <v>0</v>
      </c>
      <c r="L87" s="1282">
        <v>0</v>
      </c>
      <c r="M87" s="1282">
        <f t="shared" si="29"/>
        <v>0</v>
      </c>
      <c r="N87" s="1282">
        <f t="shared" si="29"/>
        <v>0</v>
      </c>
      <c r="Z87" s="2716"/>
      <c r="AA87" s="2792"/>
      <c r="AG87" s="1369"/>
      <c r="AK87" s="2792"/>
    </row>
    <row r="88" spans="1:37" ht="39" thickBot="1">
      <c r="A88" s="2882" t="s">
        <v>2957</v>
      </c>
      <c r="B88" s="2887">
        <f>估价对象房地状况!G18</f>
        <v>0</v>
      </c>
      <c r="C88" s="2766"/>
      <c r="D88" s="1283">
        <f t="shared" si="25"/>
        <v>0</v>
      </c>
      <c r="E88" s="821"/>
      <c r="F88" s="2497"/>
      <c r="G88" s="1281"/>
      <c r="H88" s="1285" t="str">
        <f t="shared" si="26"/>
        <v>——</v>
      </c>
      <c r="I88" s="818">
        <v>0.06</v>
      </c>
      <c r="J88" s="1282">
        <f t="shared" si="27"/>
        <v>0</v>
      </c>
      <c r="K88" s="1282">
        <f t="shared" si="28"/>
        <v>0</v>
      </c>
      <c r="L88" s="1282">
        <v>0</v>
      </c>
      <c r="M88" s="1282">
        <f t="shared" si="29"/>
        <v>0</v>
      </c>
      <c r="N88" s="1282">
        <f t="shared" si="29"/>
        <v>0</v>
      </c>
      <c r="Z88" s="2716"/>
      <c r="AA88" s="2792"/>
      <c r="AG88" s="1369"/>
      <c r="AK88" s="2792"/>
    </row>
    <row r="90" spans="1:37">
      <c r="A90" s="3232" t="s">
        <v>2958</v>
      </c>
      <c r="B90" s="3232"/>
      <c r="C90" s="3232"/>
      <c r="D90" s="3232"/>
      <c r="E90" s="3232"/>
      <c r="F90" s="3232"/>
      <c r="G90" s="3232"/>
      <c r="H90" s="3232"/>
      <c r="I90" s="3232"/>
      <c r="J90" s="3232"/>
      <c r="K90" s="2888"/>
      <c r="L90" s="2888"/>
      <c r="M90" s="2888"/>
      <c r="N90" s="2888"/>
    </row>
    <row r="91" spans="1:37">
      <c r="A91" s="3234" t="s">
        <v>2959</v>
      </c>
      <c r="B91" s="3234" t="s">
        <v>2960</v>
      </c>
      <c r="C91" s="2842" t="s">
        <v>2961</v>
      </c>
      <c r="D91" s="2843"/>
      <c r="E91" s="2843"/>
      <c r="F91" s="2843"/>
      <c r="G91" s="2843"/>
      <c r="H91" s="2843"/>
      <c r="I91" s="2843"/>
      <c r="J91" s="2889"/>
      <c r="K91" s="2890"/>
      <c r="L91" s="2890"/>
      <c r="M91" s="2890"/>
      <c r="N91" s="2890"/>
    </row>
    <row r="92" spans="1:37">
      <c r="A92" s="3234"/>
      <c r="B92" s="3234"/>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235" t="s">
        <v>2962</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3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3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3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3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3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36"/>
      <c r="B99" s="2891" t="s">
        <v>2841</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3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35" t="s">
        <v>2963</v>
      </c>
      <c r="B101" s="2895" t="s">
        <v>2964</v>
      </c>
      <c r="C101" s="2896">
        <f>$G$3</f>
        <v>3</v>
      </c>
      <c r="D101" s="2896">
        <f t="shared" ref="D101:N101" si="31">$G$3</f>
        <v>3</v>
      </c>
      <c r="E101" s="2896">
        <f t="shared" si="31"/>
        <v>3</v>
      </c>
      <c r="F101" s="2896">
        <f t="shared" si="31"/>
        <v>3</v>
      </c>
      <c r="G101" s="2896">
        <f t="shared" si="31"/>
        <v>3</v>
      </c>
      <c r="H101" s="2896">
        <f t="shared" si="31"/>
        <v>3</v>
      </c>
      <c r="I101" s="2896">
        <f t="shared" si="31"/>
        <v>3</v>
      </c>
      <c r="J101" s="2896">
        <f t="shared" si="31"/>
        <v>3</v>
      </c>
      <c r="K101" s="2896">
        <f t="shared" si="31"/>
        <v>3</v>
      </c>
      <c r="L101" s="2896">
        <f t="shared" si="31"/>
        <v>3</v>
      </c>
      <c r="M101" s="2896">
        <f t="shared" si="31"/>
        <v>3</v>
      </c>
      <c r="N101" s="2896">
        <f t="shared" si="31"/>
        <v>3</v>
      </c>
    </row>
    <row r="102" spans="1:14">
      <c r="A102" s="3236"/>
      <c r="B102" s="2891">
        <v>1</v>
      </c>
      <c r="C102" s="2892">
        <f>1.9362/C101</f>
        <v>0.64539999999999997</v>
      </c>
      <c r="D102" s="2892">
        <f>1.9362/D101</f>
        <v>0.64539999999999997</v>
      </c>
      <c r="E102" s="2892">
        <f>1.8629/E101</f>
        <v>0.62096666666666667</v>
      </c>
      <c r="F102" s="2892">
        <f>1.8629/F101</f>
        <v>0.62096666666666667</v>
      </c>
      <c r="G102" s="2892">
        <f>1.8629/G101</f>
        <v>0.62096666666666667</v>
      </c>
      <c r="H102" s="2892">
        <f>1.8629/H101</f>
        <v>0.62096666666666667</v>
      </c>
      <c r="I102" s="2892">
        <f>1.8629/I101</f>
        <v>0.62096666666666667</v>
      </c>
      <c r="J102" s="2892">
        <f>1.942/J101</f>
        <v>0.64733333333333332</v>
      </c>
      <c r="K102" s="2892">
        <f>1.942/K101</f>
        <v>0.64733333333333332</v>
      </c>
      <c r="L102" s="2892">
        <f>1.942/L101</f>
        <v>0.64733333333333332</v>
      </c>
      <c r="M102" s="2892">
        <f>1.942/M101</f>
        <v>0.64733333333333332</v>
      </c>
      <c r="N102" s="2892">
        <f>1.942/N101</f>
        <v>0.64733333333333332</v>
      </c>
    </row>
    <row r="103" spans="1:14">
      <c r="A103" s="3236"/>
      <c r="B103" s="2891">
        <v>2</v>
      </c>
      <c r="C103" s="2892">
        <f>1.4198/C101</f>
        <v>0.47326666666666667</v>
      </c>
      <c r="D103" s="2892">
        <f>1.4198/D101</f>
        <v>0.47326666666666667</v>
      </c>
      <c r="E103" s="2892">
        <f>1.3372/E101</f>
        <v>0.44573333333333331</v>
      </c>
      <c r="F103" s="2892">
        <f>1.3372/F101</f>
        <v>0.44573333333333331</v>
      </c>
      <c r="G103" s="2892">
        <f>1.3372/G101</f>
        <v>0.44573333333333331</v>
      </c>
      <c r="H103" s="2892">
        <f>1.3372/H101</f>
        <v>0.44573333333333331</v>
      </c>
      <c r="I103" s="2892">
        <f>1.3372/I101</f>
        <v>0.44573333333333331</v>
      </c>
      <c r="J103" s="2892">
        <f>1.2799/J101</f>
        <v>0.42663333333333336</v>
      </c>
      <c r="K103" s="2892">
        <f>1.2799/K101</f>
        <v>0.42663333333333336</v>
      </c>
      <c r="L103" s="2892">
        <f>1.2799/L101</f>
        <v>0.42663333333333336</v>
      </c>
      <c r="M103" s="2892">
        <f>1.2799/M101</f>
        <v>0.42663333333333336</v>
      </c>
      <c r="N103" s="2892">
        <f>1.2799/N101</f>
        <v>0.42663333333333336</v>
      </c>
    </row>
    <row r="104" spans="1:14">
      <c r="A104" s="3236"/>
      <c r="B104" s="2891">
        <v>3</v>
      </c>
      <c r="C104" s="2892">
        <f>1.1594/C101</f>
        <v>0.38646666666666668</v>
      </c>
      <c r="D104" s="2892">
        <f>1.1594/D101</f>
        <v>0.38646666666666668</v>
      </c>
      <c r="E104" s="2892">
        <f>1.0788/E101</f>
        <v>0.35959999999999998</v>
      </c>
      <c r="F104" s="2892">
        <f>1.0788/F101</f>
        <v>0.35959999999999998</v>
      </c>
      <c r="G104" s="2892">
        <f>1.0788/G101</f>
        <v>0.35959999999999998</v>
      </c>
      <c r="H104" s="2892">
        <f>1.0788/H101</f>
        <v>0.35959999999999998</v>
      </c>
      <c r="I104" s="2892">
        <f>1.0788/I101</f>
        <v>0.35959999999999998</v>
      </c>
      <c r="J104" s="2892">
        <f>1.0072/J101</f>
        <v>0.33573333333333338</v>
      </c>
      <c r="K104" s="2892">
        <f>1.0072/K101</f>
        <v>0.33573333333333338</v>
      </c>
      <c r="L104" s="2892">
        <f>1.0072/L101</f>
        <v>0.33573333333333338</v>
      </c>
      <c r="M104" s="2892">
        <f>1.0072/M101</f>
        <v>0.33573333333333338</v>
      </c>
      <c r="N104" s="2892">
        <f>1.0072/N101</f>
        <v>0.33573333333333338</v>
      </c>
    </row>
    <row r="105" spans="1:14">
      <c r="A105" s="3236"/>
      <c r="B105" s="2891">
        <v>4</v>
      </c>
      <c r="C105" s="2892">
        <f>0.9622/C101</f>
        <v>0.32073333333333337</v>
      </c>
      <c r="D105" s="2892">
        <f>0.9622/D101</f>
        <v>0.32073333333333337</v>
      </c>
      <c r="E105" s="2892">
        <f>0.8656/E101</f>
        <v>0.28853333333333336</v>
      </c>
      <c r="F105" s="2892">
        <f>0.8656/F101</f>
        <v>0.28853333333333336</v>
      </c>
      <c r="G105" s="2892">
        <f>0.8656/G101</f>
        <v>0.28853333333333336</v>
      </c>
      <c r="H105" s="2892">
        <f>0.8656/H101</f>
        <v>0.28853333333333336</v>
      </c>
      <c r="I105" s="2892">
        <f>0.8656/I101</f>
        <v>0.28853333333333336</v>
      </c>
      <c r="J105" s="2892">
        <f>0.7525/J101</f>
        <v>0.2508333333333333</v>
      </c>
      <c r="K105" s="2892">
        <f>0.7525/K101</f>
        <v>0.2508333333333333</v>
      </c>
      <c r="L105" s="2892">
        <f>0.7525/L101</f>
        <v>0.2508333333333333</v>
      </c>
      <c r="M105" s="2892">
        <f>0.7525/M101</f>
        <v>0.2508333333333333</v>
      </c>
      <c r="N105" s="2892">
        <f>0.7525/N101</f>
        <v>0.2508333333333333</v>
      </c>
    </row>
    <row r="106" spans="1:14">
      <c r="A106" s="3236"/>
      <c r="B106" s="2891">
        <v>5</v>
      </c>
      <c r="C106" s="2892">
        <f>0.8417/C101</f>
        <v>0.28056666666666669</v>
      </c>
      <c r="D106" s="2892">
        <f>0.8417/D101</f>
        <v>0.28056666666666669</v>
      </c>
      <c r="E106" s="2892">
        <f>0.7371/E101</f>
        <v>0.2457</v>
      </c>
      <c r="F106" s="2892">
        <f>0.7371/F101</f>
        <v>0.2457</v>
      </c>
      <c r="G106" s="2892">
        <f>0.7371/G101</f>
        <v>0.2457</v>
      </c>
      <c r="H106" s="2892">
        <f>0.7371/H101</f>
        <v>0.2457</v>
      </c>
      <c r="I106" s="2892">
        <f>0.7371/I101</f>
        <v>0.2457</v>
      </c>
      <c r="J106" s="2892">
        <f>0.5659/J101</f>
        <v>0.18863333333333332</v>
      </c>
      <c r="K106" s="2892">
        <f>0.5659/K101</f>
        <v>0.18863333333333332</v>
      </c>
      <c r="L106" s="2892">
        <f>0.5659/L101</f>
        <v>0.18863333333333332</v>
      </c>
      <c r="M106" s="2892">
        <f>0.5659/M101</f>
        <v>0.18863333333333332</v>
      </c>
      <c r="N106" s="2892">
        <f>0.5659/N101</f>
        <v>0.18863333333333332</v>
      </c>
    </row>
    <row r="107" spans="1:14">
      <c r="A107" s="3236"/>
      <c r="B107" s="2891">
        <v>6</v>
      </c>
      <c r="C107" s="2892">
        <f>0.7608/C101</f>
        <v>0.25359999999999999</v>
      </c>
      <c r="D107" s="2892">
        <f>0.7608/D101</f>
        <v>0.25359999999999999</v>
      </c>
      <c r="E107" s="2892">
        <f>0.6482/E101</f>
        <v>0.21606666666666666</v>
      </c>
      <c r="F107" s="2892">
        <f>0.6482/F101</f>
        <v>0.21606666666666666</v>
      </c>
      <c r="G107" s="2892">
        <f>0.6482/G101</f>
        <v>0.21606666666666666</v>
      </c>
      <c r="H107" s="2892">
        <f>0.6482/H101</f>
        <v>0.21606666666666666</v>
      </c>
      <c r="I107" s="2892">
        <f>0.6482/I101</f>
        <v>0.21606666666666666</v>
      </c>
      <c r="J107" s="2892">
        <f>0.4525/J101</f>
        <v>0.15083333333333335</v>
      </c>
      <c r="K107" s="2892">
        <f>0.4525/K101</f>
        <v>0.15083333333333335</v>
      </c>
      <c r="L107" s="2892">
        <f>0.4525/L101</f>
        <v>0.15083333333333335</v>
      </c>
      <c r="M107" s="2892">
        <f>0.4525/M101</f>
        <v>0.15083333333333335</v>
      </c>
      <c r="N107" s="2892">
        <f>0.4525/N101</f>
        <v>0.15083333333333335</v>
      </c>
    </row>
    <row r="108" spans="1:14">
      <c r="A108" s="3236"/>
      <c r="B108" s="3094" t="s">
        <v>2965</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37"/>
      <c r="B109" s="3095"/>
      <c r="C109" s="2894">
        <f>(-0.163*(C108^2)-0.59*C108+7617)*(10^(-4))/C101</f>
        <v>0.25390000000000001</v>
      </c>
      <c r="D109" s="2894">
        <f>(-0.163*(D108^2)-0.59*D108+7617)*(10^(-4))/D101</f>
        <v>0.25390000000000001</v>
      </c>
      <c r="E109" s="2894">
        <f>(-0.161*(E108^2)-7.509*E108+6533)*(10^(-4))/E101</f>
        <v>0.21776666666666666</v>
      </c>
      <c r="F109" s="2894">
        <f>(-0.161*(F108^2)-7.509*F108+6533)*(10^(-4))/F101</f>
        <v>0.21776666666666666</v>
      </c>
      <c r="G109" s="2894">
        <f>(-0.161*(G108^2)-7.509*G108+6533)*(10^(-4))/G101</f>
        <v>0.21776666666666666</v>
      </c>
      <c r="H109" s="2894">
        <f>(-0.161*(H108^2)-7.509*H108+6533)*(10^(-4))/H101</f>
        <v>0.21776666666666666</v>
      </c>
      <c r="I109" s="2894">
        <f>(-0.161*(I108^2)-7.509*I108+6533)*(10^(-4))/I101</f>
        <v>0.21776666666666666</v>
      </c>
      <c r="J109" s="2894">
        <f>(-0.214*(J108^2)-21.991*J108+4665)*(10^(-4))/J101</f>
        <v>0.1555</v>
      </c>
      <c r="K109" s="2894">
        <f>(-0.214*(K108^2)-21.991*K108+4665)*(10^(-4))/K101</f>
        <v>0.1555</v>
      </c>
      <c r="L109" s="2894">
        <f>(-0.214*(L108^2)-21.991*L108+4665)*(10^(-4))/L101</f>
        <v>0.1555</v>
      </c>
      <c r="M109" s="2894">
        <f>(-0.214*(M108^2)-21.991*M108+4665)*(10^(-4))/M101</f>
        <v>0.1555</v>
      </c>
      <c r="N109" s="2894">
        <f>(-0.214*(N108^2)-21.991*N108+4665)*(10^(-4))/N101</f>
        <v>0.1555</v>
      </c>
    </row>
    <row r="110" spans="1:14">
      <c r="A110" s="3233" t="s">
        <v>2966</v>
      </c>
      <c r="B110" s="3233"/>
      <c r="C110" s="3233"/>
      <c r="D110" s="3233"/>
      <c r="E110" s="3233"/>
      <c r="F110" s="3233"/>
      <c r="G110" s="3233"/>
      <c r="H110" s="3233"/>
      <c r="I110" s="3233"/>
      <c r="J110" s="3233"/>
      <c r="K110" s="2897"/>
      <c r="L110" s="2897"/>
      <c r="M110" s="2897"/>
      <c r="N110" s="2897"/>
    </row>
    <row r="112" spans="1:14" ht="13.5" thickBot="1"/>
    <row r="113" spans="1:13" ht="25.5" thickBot="1">
      <c r="A113" s="897" t="s">
        <v>2967</v>
      </c>
      <c r="B113" s="1284">
        <f>G3</f>
        <v>3</v>
      </c>
      <c r="C113" s="898" t="s">
        <v>2968</v>
      </c>
      <c r="D113" s="899">
        <f>SUMPRODUCT((A115:A118=F113)*(B114:M114=H113)*B115:M118)</f>
        <v>0</v>
      </c>
      <c r="E113" s="2720" t="s">
        <v>2798</v>
      </c>
      <c r="F113" s="2899">
        <f>E2</f>
        <v>0</v>
      </c>
      <c r="G113" s="2720" t="s">
        <v>2799</v>
      </c>
      <c r="H113" s="2899">
        <f>G2</f>
        <v>0</v>
      </c>
      <c r="I113" s="2720"/>
      <c r="J113" s="2900"/>
      <c r="K113" s="2900"/>
      <c r="L113" s="2900"/>
      <c r="M113" s="2900"/>
    </row>
    <row r="114" spans="1:13">
      <c r="A114" s="902"/>
      <c r="B114" s="2901" t="s">
        <v>2969</v>
      </c>
      <c r="C114" s="2901" t="s">
        <v>2970</v>
      </c>
      <c r="D114" s="2901" t="s">
        <v>2971</v>
      </c>
      <c r="E114" s="2902" t="s">
        <v>2972</v>
      </c>
      <c r="F114" s="2902" t="s">
        <v>2973</v>
      </c>
      <c r="G114" s="2902" t="s">
        <v>2974</v>
      </c>
      <c r="H114" s="2903" t="s">
        <v>2975</v>
      </c>
      <c r="I114" s="2903" t="s">
        <v>2976</v>
      </c>
      <c r="J114" s="2904" t="s">
        <v>2977</v>
      </c>
      <c r="K114" s="2904" t="s">
        <v>2978</v>
      </c>
      <c r="L114" s="2904" t="s">
        <v>2979</v>
      </c>
      <c r="M114" s="2905" t="s">
        <v>2980</v>
      </c>
    </row>
    <row r="115" spans="1:13">
      <c r="A115" s="903" t="s">
        <v>2863</v>
      </c>
      <c r="B115" s="904">
        <f>ROUND(0.9335-0.0094*B113,4)</f>
        <v>0.90529999999999999</v>
      </c>
      <c r="C115" s="904">
        <f>B115</f>
        <v>0.90529999999999999</v>
      </c>
      <c r="D115" s="904">
        <f>ROUND(0.8331-0.0109*B113,4)</f>
        <v>0.8004</v>
      </c>
      <c r="E115" s="904">
        <f>D115</f>
        <v>0.8004</v>
      </c>
      <c r="F115" s="904">
        <f>E115</f>
        <v>0.8004</v>
      </c>
      <c r="G115" s="904">
        <f>F115</f>
        <v>0.8004</v>
      </c>
      <c r="H115" s="904">
        <f>G115</f>
        <v>0.8004</v>
      </c>
      <c r="I115" s="904">
        <f>ROUND(0.689-0.0155*B113,4)</f>
        <v>0.64249999999999996</v>
      </c>
      <c r="J115" s="904">
        <f t="shared" ref="J115:M118" si="33">I115</f>
        <v>0.64249999999999996</v>
      </c>
      <c r="K115" s="904">
        <f t="shared" si="33"/>
        <v>0.64249999999999996</v>
      </c>
      <c r="L115" s="904">
        <f t="shared" si="33"/>
        <v>0.64249999999999996</v>
      </c>
      <c r="M115" s="905">
        <f t="shared" si="33"/>
        <v>0.64249999999999996</v>
      </c>
    </row>
    <row r="116" spans="1:13">
      <c r="A116" s="903" t="s">
        <v>2864</v>
      </c>
      <c r="B116" s="904">
        <f>ROUND(0.949-0.012*B113,4)</f>
        <v>0.91300000000000003</v>
      </c>
      <c r="C116" s="904">
        <f>B116</f>
        <v>0.91300000000000003</v>
      </c>
      <c r="D116" s="904">
        <f>ROUND(0.8567-0.013*B113,4)</f>
        <v>0.81769999999999998</v>
      </c>
      <c r="E116" s="904">
        <f t="shared" ref="E116:H117" si="34">D116</f>
        <v>0.81769999999999998</v>
      </c>
      <c r="F116" s="904">
        <f t="shared" si="34"/>
        <v>0.81769999999999998</v>
      </c>
      <c r="G116" s="904">
        <f t="shared" si="34"/>
        <v>0.81769999999999998</v>
      </c>
      <c r="H116" s="904">
        <f t="shared" si="34"/>
        <v>0.81769999999999998</v>
      </c>
      <c r="I116" s="904">
        <f>ROUND(0.7694-0.014*B113,4)</f>
        <v>0.72740000000000005</v>
      </c>
      <c r="J116" s="904">
        <f t="shared" si="33"/>
        <v>0.72740000000000005</v>
      </c>
      <c r="K116" s="904">
        <f t="shared" si="33"/>
        <v>0.72740000000000005</v>
      </c>
      <c r="L116" s="904">
        <f t="shared" si="33"/>
        <v>0.72740000000000005</v>
      </c>
      <c r="M116" s="905">
        <f t="shared" si="33"/>
        <v>0.72740000000000005</v>
      </c>
    </row>
    <row r="117" spans="1:13">
      <c r="A117" s="903" t="s">
        <v>2865</v>
      </c>
      <c r="B117" s="904">
        <f>ROUND(0.8808-0.006*B113,4)</f>
        <v>0.86280000000000001</v>
      </c>
      <c r="C117" s="904">
        <f>B117</f>
        <v>0.86280000000000001</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05">
        <f t="shared" si="33"/>
        <v>0.7127</v>
      </c>
    </row>
    <row r="118" spans="1:13" ht="13.5" thickBot="1">
      <c r="A118" s="710" t="s">
        <v>2866</v>
      </c>
      <c r="B118" s="906">
        <f>ROUND(0.7275-0.01*B113,4)</f>
        <v>0.69750000000000001</v>
      </c>
      <c r="C118" s="906">
        <f>B118</f>
        <v>0.69750000000000001</v>
      </c>
      <c r="D118" s="906">
        <f>ROUND(0.7043-0.012*B113,4)</f>
        <v>0.66830000000000001</v>
      </c>
      <c r="E118" s="906">
        <f>D118</f>
        <v>0.66830000000000001</v>
      </c>
      <c r="F118" s="906">
        <f>E118</f>
        <v>0.66830000000000001</v>
      </c>
      <c r="G118" s="906">
        <f>ROUND(0.6299-0.0122*B113,4)</f>
        <v>0.59330000000000005</v>
      </c>
      <c r="H118" s="906">
        <f>G118</f>
        <v>0.59330000000000005</v>
      </c>
      <c r="I118" s="906">
        <f>ROUND(0.5667-0.0136*B113,4)</f>
        <v>0.52590000000000003</v>
      </c>
      <c r="J118" s="906">
        <f t="shared" si="33"/>
        <v>0.52590000000000003</v>
      </c>
      <c r="K118" s="906">
        <f t="shared" si="33"/>
        <v>0.52590000000000003</v>
      </c>
      <c r="L118" s="906">
        <f t="shared" si="33"/>
        <v>0.52590000000000003</v>
      </c>
      <c r="M118" s="907">
        <f t="shared" si="33"/>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41" t="s">
        <v>183</v>
      </c>
      <c r="B18" s="876" t="s">
        <v>560</v>
      </c>
      <c r="C18" s="877" t="s">
        <v>561</v>
      </c>
      <c r="D18" s="878"/>
      <c r="E18" s="876">
        <v>1</v>
      </c>
      <c r="F18" s="879" t="s">
        <v>562</v>
      </c>
      <c r="G18" s="880"/>
      <c r="H18" s="872"/>
      <c r="I18" s="872"/>
    </row>
    <row r="19" spans="1:9" s="881" customFormat="1" ht="19.5" customHeight="1">
      <c r="A19" s="3241"/>
      <c r="B19" s="3241" t="s">
        <v>563</v>
      </c>
      <c r="C19" s="877" t="s">
        <v>564</v>
      </c>
      <c r="D19" s="878"/>
      <c r="E19" s="876">
        <v>0.9</v>
      </c>
      <c r="F19" s="879" t="s">
        <v>565</v>
      </c>
      <c r="G19" s="880"/>
      <c r="H19" s="872"/>
      <c r="I19" s="872"/>
    </row>
    <row r="20" spans="1:9" s="881" customFormat="1" ht="19.5" customHeight="1">
      <c r="A20" s="3241"/>
      <c r="B20" s="3241"/>
      <c r="C20" s="877" t="s">
        <v>566</v>
      </c>
      <c r="D20" s="878"/>
      <c r="E20" s="876">
        <v>1.1000000000000001</v>
      </c>
      <c r="F20" s="879" t="s">
        <v>567</v>
      </c>
      <c r="G20" s="880"/>
      <c r="H20" s="872"/>
      <c r="I20" s="872"/>
    </row>
    <row r="21" spans="1:9" s="881" customFormat="1" ht="19.5" customHeight="1">
      <c r="A21" s="3241"/>
      <c r="B21" s="3241"/>
      <c r="C21" s="877" t="s">
        <v>568</v>
      </c>
      <c r="D21" s="878"/>
      <c r="E21" s="876">
        <v>0.8</v>
      </c>
      <c r="F21" s="879" t="s">
        <v>569</v>
      </c>
      <c r="G21" s="880"/>
      <c r="H21" s="872"/>
      <c r="I21" s="872"/>
    </row>
    <row r="22" spans="1:9" s="881" customFormat="1" ht="19.5" customHeight="1">
      <c r="A22" s="3241"/>
      <c r="B22" s="3241"/>
      <c r="C22" s="877" t="s">
        <v>570</v>
      </c>
      <c r="D22" s="878"/>
      <c r="E22" s="876">
        <v>0.5</v>
      </c>
      <c r="F22" s="879"/>
      <c r="G22" s="880"/>
      <c r="H22" s="872"/>
      <c r="I22" s="872"/>
    </row>
    <row r="23" spans="1:9" s="881" customFormat="1" ht="19.5" customHeight="1">
      <c r="A23" s="3241" t="s">
        <v>184</v>
      </c>
      <c r="B23" s="876" t="s">
        <v>560</v>
      </c>
      <c r="C23" s="877" t="s">
        <v>571</v>
      </c>
      <c r="D23" s="878"/>
      <c r="E23" s="876">
        <v>1</v>
      </c>
      <c r="F23" s="879" t="s">
        <v>572</v>
      </c>
      <c r="G23" s="880"/>
      <c r="H23" s="872"/>
      <c r="I23" s="872"/>
    </row>
    <row r="24" spans="1:9" s="881" customFormat="1" ht="19.5" customHeight="1">
      <c r="A24" s="3241"/>
      <c r="B24" s="3241" t="s">
        <v>563</v>
      </c>
      <c r="C24" s="877" t="s">
        <v>573</v>
      </c>
      <c r="D24" s="878"/>
      <c r="E24" s="876">
        <v>0.5</v>
      </c>
      <c r="F24" s="879"/>
      <c r="G24" s="880"/>
      <c r="H24" s="872"/>
      <c r="I24" s="872"/>
    </row>
    <row r="25" spans="1:9" s="881" customFormat="1" ht="19.5" customHeight="1">
      <c r="A25" s="3241"/>
      <c r="B25" s="3241"/>
      <c r="C25" s="877" t="s">
        <v>574</v>
      </c>
      <c r="D25" s="878"/>
      <c r="E25" s="876">
        <v>1.1000000000000001</v>
      </c>
      <c r="F25" s="879"/>
      <c r="G25" s="880"/>
      <c r="H25" s="872"/>
      <c r="I25" s="872"/>
    </row>
    <row r="26" spans="1:9" s="881" customFormat="1" ht="19.5" customHeight="1">
      <c r="A26" s="3241"/>
      <c r="B26" s="3241"/>
      <c r="C26" s="877" t="s">
        <v>575</v>
      </c>
      <c r="D26" s="878"/>
      <c r="E26" s="876">
        <v>1.1000000000000001</v>
      </c>
      <c r="F26" s="879"/>
      <c r="G26" s="880"/>
      <c r="H26" s="872"/>
      <c r="I26" s="872"/>
    </row>
    <row r="27" spans="1:9" s="881" customFormat="1" ht="19.5" customHeight="1">
      <c r="A27" s="3241"/>
      <c r="B27" s="3241"/>
      <c r="C27" s="877" t="s">
        <v>576</v>
      </c>
      <c r="D27" s="878"/>
      <c r="E27" s="876">
        <v>0.9</v>
      </c>
      <c r="F27" s="879" t="s">
        <v>577</v>
      </c>
      <c r="G27" s="880"/>
      <c r="H27" s="872"/>
      <c r="I27" s="872"/>
    </row>
    <row r="28" spans="1:9" s="881" customFormat="1" ht="19.5" customHeight="1">
      <c r="A28" s="3241"/>
      <c r="B28" s="3241"/>
      <c r="C28" s="877" t="s">
        <v>578</v>
      </c>
      <c r="D28" s="878"/>
      <c r="E28" s="876">
        <v>0.9</v>
      </c>
      <c r="F28" s="879" t="s">
        <v>579</v>
      </c>
      <c r="G28" s="880"/>
      <c r="H28" s="872"/>
      <c r="I28" s="872"/>
    </row>
    <row r="29" spans="1:9" s="881" customFormat="1" ht="19.5" customHeight="1">
      <c r="A29" s="3241"/>
      <c r="B29" s="3241"/>
      <c r="C29" s="877" t="s">
        <v>580</v>
      </c>
      <c r="D29" s="878"/>
      <c r="E29" s="876">
        <v>0.9</v>
      </c>
      <c r="F29" s="879" t="s">
        <v>581</v>
      </c>
      <c r="G29" s="880"/>
      <c r="H29" s="872"/>
      <c r="I29" s="872"/>
    </row>
    <row r="30" spans="1:9" s="881" customFormat="1" ht="19.5" customHeight="1">
      <c r="A30" s="3241"/>
      <c r="B30" s="3241"/>
      <c r="C30" s="877" t="s">
        <v>582</v>
      </c>
      <c r="D30" s="878"/>
      <c r="E30" s="876">
        <v>0.9</v>
      </c>
      <c r="F30" s="879" t="s">
        <v>583</v>
      </c>
      <c r="G30" s="880"/>
      <c r="H30" s="872"/>
      <c r="I30" s="872"/>
    </row>
    <row r="31" spans="1:9" s="881" customFormat="1" ht="19.5" customHeight="1">
      <c r="A31" s="3241"/>
      <c r="B31" s="3241"/>
      <c r="C31" s="877" t="s">
        <v>584</v>
      </c>
      <c r="D31" s="878"/>
      <c r="E31" s="876">
        <v>0.8</v>
      </c>
      <c r="F31" s="879" t="s">
        <v>585</v>
      </c>
      <c r="G31" s="880"/>
      <c r="H31" s="872"/>
      <c r="I31" s="872"/>
    </row>
    <row r="32" spans="1:9" s="881" customFormat="1" ht="19.5" customHeight="1">
      <c r="A32" s="3241"/>
      <c r="B32" s="3241"/>
      <c r="C32" s="877" t="s">
        <v>586</v>
      </c>
      <c r="D32" s="878"/>
      <c r="E32" s="876">
        <v>0.8</v>
      </c>
      <c r="F32" s="879" t="s">
        <v>587</v>
      </c>
      <c r="G32" s="880"/>
      <c r="H32" s="872"/>
      <c r="I32" s="872"/>
    </row>
    <row r="33" spans="1:9" s="881" customFormat="1" ht="19.5" customHeight="1">
      <c r="A33" s="3241" t="s">
        <v>185</v>
      </c>
      <c r="B33" s="876" t="s">
        <v>560</v>
      </c>
      <c r="C33" s="877" t="s">
        <v>588</v>
      </c>
      <c r="D33" s="878"/>
      <c r="E33" s="876">
        <v>1</v>
      </c>
      <c r="F33" s="879" t="s">
        <v>589</v>
      </c>
      <c r="G33" s="880"/>
      <c r="H33" s="872"/>
      <c r="I33" s="872"/>
    </row>
    <row r="34" spans="1:9" s="881" customFormat="1" ht="19.5" customHeight="1">
      <c r="A34" s="3241"/>
      <c r="B34" s="876" t="s">
        <v>563</v>
      </c>
      <c r="C34" s="877" t="s">
        <v>590</v>
      </c>
      <c r="D34" s="878"/>
      <c r="E34" s="876">
        <v>1.5</v>
      </c>
      <c r="F34" s="879" t="s">
        <v>591</v>
      </c>
      <c r="G34" s="880"/>
      <c r="H34" s="872"/>
      <c r="I34" s="872"/>
    </row>
    <row r="35" spans="1:9" s="881" customFormat="1" ht="19.5" customHeight="1">
      <c r="A35" s="3241" t="s">
        <v>186</v>
      </c>
      <c r="B35" s="876" t="s">
        <v>560</v>
      </c>
      <c r="C35" s="877" t="s">
        <v>592</v>
      </c>
      <c r="D35" s="878"/>
      <c r="E35" s="876">
        <v>1</v>
      </c>
      <c r="F35" s="879" t="s">
        <v>593</v>
      </c>
      <c r="G35" s="880"/>
      <c r="H35" s="872"/>
      <c r="I35" s="872"/>
    </row>
    <row r="36" spans="1:9" s="881" customFormat="1" ht="19.5" customHeight="1">
      <c r="A36" s="3241"/>
      <c r="B36" s="3241" t="s">
        <v>563</v>
      </c>
      <c r="C36" s="877" t="s">
        <v>594</v>
      </c>
      <c r="D36" s="878"/>
      <c r="E36" s="876">
        <v>1</v>
      </c>
      <c r="F36" s="879" t="s">
        <v>595</v>
      </c>
      <c r="G36" s="880"/>
      <c r="H36" s="872"/>
      <c r="I36" s="872"/>
    </row>
    <row r="37" spans="1:9" s="881" customFormat="1" ht="19.5" customHeight="1">
      <c r="A37" s="3241"/>
      <c r="B37" s="3241"/>
      <c r="C37" s="877" t="s">
        <v>596</v>
      </c>
      <c r="D37" s="878"/>
      <c r="E37" s="876">
        <v>1.5</v>
      </c>
      <c r="F37" s="879" t="s">
        <v>597</v>
      </c>
      <c r="G37" s="880"/>
      <c r="H37" s="872"/>
      <c r="I37" s="872"/>
    </row>
    <row r="38" spans="1:9" s="881" customFormat="1" ht="19.5" customHeight="1">
      <c r="A38" s="3241"/>
      <c r="B38" s="3241"/>
      <c r="C38" s="877" t="s">
        <v>598</v>
      </c>
      <c r="D38" s="878"/>
      <c r="E38" s="876">
        <v>1</v>
      </c>
      <c r="F38" s="879" t="s">
        <v>599</v>
      </c>
      <c r="G38" s="880"/>
      <c r="H38" s="872"/>
      <c r="I38" s="872"/>
    </row>
    <row r="39" spans="1:9" s="881" customFormat="1" ht="19.5" customHeight="1">
      <c r="A39" s="3241"/>
      <c r="B39" s="324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41" t="s">
        <v>614</v>
      </c>
      <c r="C61" s="812" t="s">
        <v>615</v>
      </c>
      <c r="D61" s="812" t="s">
        <v>616</v>
      </c>
      <c r="E61" s="889">
        <v>0.5</v>
      </c>
      <c r="F61" s="876">
        <v>80</v>
      </c>
    </row>
    <row r="62" spans="1:8" s="872" customFormat="1" ht="24">
      <c r="A62" s="876">
        <v>2</v>
      </c>
      <c r="B62" s="3241"/>
      <c r="C62" s="812" t="s">
        <v>617</v>
      </c>
      <c r="D62" s="812" t="s">
        <v>618</v>
      </c>
      <c r="E62" s="889">
        <v>0.5</v>
      </c>
      <c r="F62" s="876">
        <v>80</v>
      </c>
    </row>
    <row r="63" spans="1:8" s="872" customFormat="1" ht="36">
      <c r="A63" s="876">
        <v>3</v>
      </c>
      <c r="B63" s="3241"/>
      <c r="C63" s="812" t="s">
        <v>619</v>
      </c>
      <c r="D63" s="812" t="s">
        <v>620</v>
      </c>
      <c r="E63" s="889">
        <v>0.5</v>
      </c>
      <c r="F63" s="876">
        <v>80</v>
      </c>
    </row>
    <row r="64" spans="1:8" s="872" customFormat="1" ht="36">
      <c r="A64" s="876">
        <v>4</v>
      </c>
      <c r="B64" s="3241"/>
      <c r="C64" s="812" t="s">
        <v>621</v>
      </c>
      <c r="D64" s="812" t="s">
        <v>622</v>
      </c>
      <c r="E64" s="889">
        <v>0.4</v>
      </c>
      <c r="F64" s="876">
        <v>60</v>
      </c>
    </row>
    <row r="65" spans="1:6" s="872" customFormat="1" ht="36">
      <c r="A65" s="876">
        <v>5</v>
      </c>
      <c r="B65" s="3241"/>
      <c r="C65" s="812" t="s">
        <v>623</v>
      </c>
      <c r="D65" s="812" t="s">
        <v>624</v>
      </c>
      <c r="E65" s="889">
        <v>0.2</v>
      </c>
      <c r="F65" s="876">
        <v>30</v>
      </c>
    </row>
    <row r="66" spans="1:6" s="872" customFormat="1" ht="36">
      <c r="A66" s="876">
        <v>6</v>
      </c>
      <c r="B66" s="3241"/>
      <c r="C66" s="812" t="s">
        <v>625</v>
      </c>
      <c r="D66" s="812" t="s">
        <v>626</v>
      </c>
      <c r="E66" s="889">
        <v>0.3</v>
      </c>
      <c r="F66" s="876">
        <v>50</v>
      </c>
    </row>
    <row r="67" spans="1:6" s="872" customFormat="1" ht="36">
      <c r="A67" s="876">
        <v>7</v>
      </c>
      <c r="B67" s="3241"/>
      <c r="C67" s="812" t="s">
        <v>627</v>
      </c>
      <c r="D67" s="812" t="s">
        <v>628</v>
      </c>
      <c r="E67" s="889">
        <v>0.2</v>
      </c>
      <c r="F67" s="876">
        <v>30</v>
      </c>
    </row>
    <row r="68" spans="1:6" s="872" customFormat="1" ht="36">
      <c r="A68" s="876">
        <v>8</v>
      </c>
      <c r="B68" s="3241"/>
      <c r="C68" s="812" t="s">
        <v>629</v>
      </c>
      <c r="D68" s="812" t="s">
        <v>630</v>
      </c>
      <c r="E68" s="889">
        <v>0.2</v>
      </c>
      <c r="F68" s="876">
        <v>30</v>
      </c>
    </row>
    <row r="69" spans="1:6" s="872" customFormat="1" ht="36">
      <c r="A69" s="876">
        <v>9</v>
      </c>
      <c r="B69" s="3241"/>
      <c r="C69" s="812" t="s">
        <v>631</v>
      </c>
      <c r="D69" s="812" t="s">
        <v>632</v>
      </c>
      <c r="E69" s="889">
        <v>0.2</v>
      </c>
      <c r="F69" s="876">
        <v>30</v>
      </c>
    </row>
    <row r="70" spans="1:6" s="872" customFormat="1" ht="48">
      <c r="A70" s="876">
        <v>10</v>
      </c>
      <c r="B70" s="3241"/>
      <c r="C70" s="812" t="s">
        <v>633</v>
      </c>
      <c r="D70" s="812" t="s">
        <v>634</v>
      </c>
      <c r="E70" s="889">
        <v>0.2</v>
      </c>
      <c r="F70" s="876">
        <v>30</v>
      </c>
    </row>
    <row r="71" spans="1:6" s="872" customFormat="1" ht="48">
      <c r="A71" s="876">
        <v>11</v>
      </c>
      <c r="B71" s="3241"/>
      <c r="C71" s="812" t="s">
        <v>635</v>
      </c>
      <c r="D71" s="812" t="s">
        <v>636</v>
      </c>
      <c r="E71" s="889">
        <v>0.2</v>
      </c>
      <c r="F71" s="876">
        <v>30</v>
      </c>
    </row>
    <row r="72" spans="1:6" s="872" customFormat="1" ht="36">
      <c r="A72" s="876">
        <v>12</v>
      </c>
      <c r="B72" s="3241"/>
      <c r="C72" s="812" t="s">
        <v>637</v>
      </c>
      <c r="D72" s="812" t="s">
        <v>638</v>
      </c>
      <c r="E72" s="889">
        <v>0.5</v>
      </c>
      <c r="F72" s="876">
        <v>80</v>
      </c>
    </row>
    <row r="73" spans="1:6" s="872" customFormat="1" ht="24">
      <c r="A73" s="876">
        <v>13</v>
      </c>
      <c r="B73" s="3241"/>
      <c r="C73" s="812" t="s">
        <v>639</v>
      </c>
      <c r="D73" s="812" t="s">
        <v>640</v>
      </c>
      <c r="E73" s="889">
        <v>0.4</v>
      </c>
      <c r="F73" s="876">
        <v>60</v>
      </c>
    </row>
    <row r="74" spans="1:6" s="872" customFormat="1" ht="24">
      <c r="A74" s="876">
        <v>14</v>
      </c>
      <c r="B74" s="3241"/>
      <c r="C74" s="812" t="s">
        <v>641</v>
      </c>
      <c r="D74" s="812" t="s">
        <v>642</v>
      </c>
      <c r="E74" s="889">
        <v>0.2</v>
      </c>
      <c r="F74" s="876">
        <v>30</v>
      </c>
    </row>
    <row r="75" spans="1:6" s="872" customFormat="1" ht="24">
      <c r="A75" s="876">
        <v>15</v>
      </c>
      <c r="B75" s="3241"/>
      <c r="C75" s="812" t="s">
        <v>643</v>
      </c>
      <c r="D75" s="812" t="s">
        <v>644</v>
      </c>
      <c r="E75" s="889">
        <v>0.2</v>
      </c>
      <c r="F75" s="876">
        <v>30</v>
      </c>
    </row>
    <row r="76" spans="1:6" s="872" customFormat="1" ht="24">
      <c r="A76" s="876">
        <v>16</v>
      </c>
      <c r="B76" s="3241" t="s">
        <v>645</v>
      </c>
      <c r="C76" s="812" t="s">
        <v>646</v>
      </c>
      <c r="D76" s="812" t="s">
        <v>647</v>
      </c>
      <c r="E76" s="889">
        <v>0.5</v>
      </c>
      <c r="F76" s="876">
        <v>80</v>
      </c>
    </row>
    <row r="77" spans="1:6" s="872" customFormat="1" ht="24">
      <c r="A77" s="876">
        <v>17</v>
      </c>
      <c r="B77" s="3241"/>
      <c r="C77" s="812" t="s">
        <v>648</v>
      </c>
      <c r="D77" s="812" t="s">
        <v>649</v>
      </c>
      <c r="E77" s="889">
        <v>0.5</v>
      </c>
      <c r="F77" s="876">
        <v>80</v>
      </c>
    </row>
    <row r="78" spans="1:6" s="872" customFormat="1" ht="24">
      <c r="A78" s="876">
        <v>18</v>
      </c>
      <c r="B78" s="3241"/>
      <c r="C78" s="812" t="s">
        <v>650</v>
      </c>
      <c r="D78" s="812" t="s">
        <v>651</v>
      </c>
      <c r="E78" s="889">
        <v>0.2</v>
      </c>
      <c r="F78" s="876">
        <v>30</v>
      </c>
    </row>
    <row r="79" spans="1:6" s="872" customFormat="1" ht="24">
      <c r="A79" s="876">
        <v>19</v>
      </c>
      <c r="B79" s="3241"/>
      <c r="C79" s="812" t="s">
        <v>652</v>
      </c>
      <c r="D79" s="812" t="s">
        <v>653</v>
      </c>
      <c r="E79" s="889">
        <v>0.5</v>
      </c>
      <c r="F79" s="876">
        <v>80</v>
      </c>
    </row>
    <row r="80" spans="1:6" s="872" customFormat="1" ht="36">
      <c r="A80" s="876">
        <v>20</v>
      </c>
      <c r="B80" s="3241"/>
      <c r="C80" s="812" t="s">
        <v>654</v>
      </c>
      <c r="D80" s="812" t="s">
        <v>655</v>
      </c>
      <c r="E80" s="889">
        <v>0.2</v>
      </c>
      <c r="F80" s="876">
        <v>30</v>
      </c>
    </row>
    <row r="81" spans="1:6" s="872" customFormat="1" ht="36">
      <c r="A81" s="876">
        <v>21</v>
      </c>
      <c r="B81" s="3241"/>
      <c r="C81" s="812" t="s">
        <v>656</v>
      </c>
      <c r="D81" s="812" t="s">
        <v>657</v>
      </c>
      <c r="E81" s="889">
        <v>0.2</v>
      </c>
      <c r="F81" s="876">
        <v>30</v>
      </c>
    </row>
    <row r="82" spans="1:6" s="872" customFormat="1" ht="48">
      <c r="A82" s="876">
        <v>22</v>
      </c>
      <c r="B82" s="3241"/>
      <c r="C82" s="812" t="s">
        <v>658</v>
      </c>
      <c r="D82" s="812" t="s">
        <v>659</v>
      </c>
      <c r="E82" s="889">
        <v>0.2</v>
      </c>
      <c r="F82" s="876">
        <v>30</v>
      </c>
    </row>
    <row r="83" spans="1:6" s="872" customFormat="1" ht="48">
      <c r="A83" s="876">
        <v>23</v>
      </c>
      <c r="B83" s="3241"/>
      <c r="C83" s="812" t="s">
        <v>660</v>
      </c>
      <c r="D83" s="812" t="s">
        <v>661</v>
      </c>
      <c r="E83" s="889">
        <v>0.2</v>
      </c>
      <c r="F83" s="876">
        <v>30</v>
      </c>
    </row>
    <row r="84" spans="1:6" s="872" customFormat="1" ht="36">
      <c r="A84" s="876">
        <v>24</v>
      </c>
      <c r="B84" s="3241"/>
      <c r="C84" s="812" t="s">
        <v>662</v>
      </c>
      <c r="D84" s="812" t="s">
        <v>663</v>
      </c>
      <c r="E84" s="889">
        <v>0.2</v>
      </c>
      <c r="F84" s="876">
        <v>30</v>
      </c>
    </row>
    <row r="85" spans="1:6" s="872" customFormat="1" ht="36">
      <c r="A85" s="876">
        <v>25</v>
      </c>
      <c r="B85" s="3241"/>
      <c r="C85" s="812" t="s">
        <v>664</v>
      </c>
      <c r="D85" s="812" t="s">
        <v>665</v>
      </c>
      <c r="E85" s="889">
        <v>0.5</v>
      </c>
      <c r="F85" s="876">
        <v>80</v>
      </c>
    </row>
    <row r="86" spans="1:6" s="872" customFormat="1" ht="36">
      <c r="A86" s="876">
        <v>26</v>
      </c>
      <c r="B86" s="3241"/>
      <c r="C86" s="812" t="s">
        <v>666</v>
      </c>
      <c r="D86" s="812" t="s">
        <v>667</v>
      </c>
      <c r="E86" s="889">
        <v>0.2</v>
      </c>
      <c r="F86" s="876">
        <v>30</v>
      </c>
    </row>
    <row r="87" spans="1:6" s="872" customFormat="1" ht="36">
      <c r="A87" s="876">
        <v>27</v>
      </c>
      <c r="B87" s="3241"/>
      <c r="C87" s="812" t="s">
        <v>668</v>
      </c>
      <c r="D87" s="812" t="s">
        <v>669</v>
      </c>
      <c r="E87" s="889">
        <v>0.2</v>
      </c>
      <c r="F87" s="876">
        <v>30</v>
      </c>
    </row>
    <row r="88" spans="1:6" s="872" customFormat="1" ht="36">
      <c r="A88" s="876">
        <v>28</v>
      </c>
      <c r="B88" s="3241"/>
      <c r="C88" s="812" t="s">
        <v>670</v>
      </c>
      <c r="D88" s="812" t="s">
        <v>671</v>
      </c>
      <c r="E88" s="889">
        <v>0.2</v>
      </c>
      <c r="F88" s="876">
        <v>30</v>
      </c>
    </row>
    <row r="89" spans="1:6" s="872" customFormat="1" ht="24">
      <c r="A89" s="876">
        <v>29</v>
      </c>
      <c r="B89" s="3241"/>
      <c r="C89" s="812" t="s">
        <v>672</v>
      </c>
      <c r="D89" s="812" t="s">
        <v>673</v>
      </c>
      <c r="E89" s="889">
        <v>0.2</v>
      </c>
      <c r="F89" s="876">
        <v>30</v>
      </c>
    </row>
    <row r="90" spans="1:6" s="872" customFormat="1" ht="24">
      <c r="A90" s="876">
        <v>30</v>
      </c>
      <c r="B90" s="3241"/>
      <c r="C90" s="812" t="s">
        <v>674</v>
      </c>
      <c r="D90" s="812" t="s">
        <v>675</v>
      </c>
      <c r="E90" s="889">
        <v>0.2</v>
      </c>
      <c r="F90" s="876">
        <v>30</v>
      </c>
    </row>
    <row r="91" spans="1:6" s="872" customFormat="1" ht="36">
      <c r="A91" s="876">
        <v>31</v>
      </c>
      <c r="B91" s="3241"/>
      <c r="C91" s="812" t="s">
        <v>676</v>
      </c>
      <c r="D91" s="812" t="s">
        <v>677</v>
      </c>
      <c r="E91" s="889">
        <v>0.2</v>
      </c>
      <c r="F91" s="876">
        <v>30</v>
      </c>
    </row>
    <row r="92" spans="1:6" s="872" customFormat="1" ht="24">
      <c r="A92" s="876">
        <v>32</v>
      </c>
      <c r="B92" s="3241" t="s">
        <v>678</v>
      </c>
      <c r="C92" s="876" t="s">
        <v>679</v>
      </c>
      <c r="D92" s="812" t="s">
        <v>680</v>
      </c>
      <c r="E92" s="889">
        <v>0.2</v>
      </c>
      <c r="F92" s="876">
        <v>30</v>
      </c>
    </row>
    <row r="93" spans="1:6" s="872" customFormat="1" ht="36">
      <c r="A93" s="876">
        <v>33</v>
      </c>
      <c r="B93" s="3241"/>
      <c r="C93" s="876" t="s">
        <v>681</v>
      </c>
      <c r="D93" s="812" t="s">
        <v>682</v>
      </c>
      <c r="E93" s="889">
        <v>0.2</v>
      </c>
      <c r="F93" s="876">
        <v>30</v>
      </c>
    </row>
    <row r="94" spans="1:6" s="872" customFormat="1" ht="48">
      <c r="A94" s="876">
        <v>34</v>
      </c>
      <c r="B94" s="3241"/>
      <c r="C94" s="876" t="s">
        <v>683</v>
      </c>
      <c r="D94" s="812" t="s">
        <v>684</v>
      </c>
      <c r="E94" s="889">
        <v>0.2</v>
      </c>
      <c r="F94" s="876">
        <v>30</v>
      </c>
    </row>
    <row r="95" spans="1:6" s="872" customFormat="1" ht="36">
      <c r="A95" s="876">
        <v>35</v>
      </c>
      <c r="B95" s="3241"/>
      <c r="C95" s="876" t="s">
        <v>685</v>
      </c>
      <c r="D95" s="812" t="s">
        <v>686</v>
      </c>
      <c r="E95" s="889">
        <v>0.2</v>
      </c>
      <c r="F95" s="876">
        <v>30</v>
      </c>
    </row>
    <row r="96" spans="1:6" s="872" customFormat="1" ht="48">
      <c r="A96" s="876">
        <v>36</v>
      </c>
      <c r="B96" s="3241"/>
      <c r="C96" s="812" t="s">
        <v>687</v>
      </c>
      <c r="D96" s="812" t="s">
        <v>688</v>
      </c>
      <c r="E96" s="889">
        <v>0.2</v>
      </c>
      <c r="F96" s="876">
        <v>30</v>
      </c>
    </row>
    <row r="97" spans="1:6" s="872" customFormat="1" ht="36">
      <c r="A97" s="876">
        <v>37</v>
      </c>
      <c r="B97" s="3241"/>
      <c r="C97" s="876" t="s">
        <v>689</v>
      </c>
      <c r="D97" s="812" t="s">
        <v>690</v>
      </c>
      <c r="E97" s="889">
        <v>0.2</v>
      </c>
      <c r="F97" s="876">
        <v>30</v>
      </c>
    </row>
    <row r="98" spans="1:6" s="872" customFormat="1" ht="36">
      <c r="A98" s="876">
        <v>38</v>
      </c>
      <c r="B98" s="3241"/>
      <c r="C98" s="876" t="s">
        <v>691</v>
      </c>
      <c r="D98" s="812" t="s">
        <v>692</v>
      </c>
      <c r="E98" s="889">
        <v>0.2</v>
      </c>
      <c r="F98" s="876">
        <v>30</v>
      </c>
    </row>
    <row r="99" spans="1:6" s="872" customFormat="1" ht="36">
      <c r="A99" s="876">
        <v>39</v>
      </c>
      <c r="B99" s="3241" t="s">
        <v>693</v>
      </c>
      <c r="C99" s="876" t="s">
        <v>694</v>
      </c>
      <c r="D99" s="812" t="s">
        <v>695</v>
      </c>
      <c r="E99" s="889">
        <v>0.3</v>
      </c>
      <c r="F99" s="876">
        <v>50</v>
      </c>
    </row>
    <row r="100" spans="1:6" s="872" customFormat="1" ht="24">
      <c r="A100" s="876">
        <v>40</v>
      </c>
      <c r="B100" s="3241"/>
      <c r="C100" s="876" t="s">
        <v>696</v>
      </c>
      <c r="D100" s="812" t="s">
        <v>697</v>
      </c>
      <c r="E100" s="889">
        <v>0.2</v>
      </c>
      <c r="F100" s="876">
        <v>30</v>
      </c>
    </row>
    <row r="101" spans="1:6" s="872" customFormat="1" ht="36">
      <c r="A101" s="876">
        <v>41</v>
      </c>
      <c r="B101" s="324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41" t="s">
        <v>708</v>
      </c>
      <c r="C105" s="876" t="s">
        <v>709</v>
      </c>
      <c r="D105" s="812" t="s">
        <v>710</v>
      </c>
      <c r="E105" s="889">
        <v>0.2</v>
      </c>
      <c r="F105" s="876">
        <v>30</v>
      </c>
    </row>
    <row r="106" spans="1:6" s="872" customFormat="1" ht="36">
      <c r="A106" s="876">
        <v>46</v>
      </c>
      <c r="B106" s="3241"/>
      <c r="C106" s="876" t="s">
        <v>711</v>
      </c>
      <c r="D106" s="812" t="s">
        <v>712</v>
      </c>
      <c r="E106" s="889">
        <v>0.2</v>
      </c>
      <c r="F106" s="876">
        <v>30</v>
      </c>
    </row>
    <row r="107" spans="1:6" s="872" customFormat="1" ht="36">
      <c r="A107" s="876">
        <v>47</v>
      </c>
      <c r="B107" s="3241" t="s">
        <v>713</v>
      </c>
      <c r="C107" s="876" t="s">
        <v>714</v>
      </c>
      <c r="D107" s="812" t="s">
        <v>715</v>
      </c>
      <c r="E107" s="889">
        <v>0.3</v>
      </c>
      <c r="F107" s="876">
        <v>50</v>
      </c>
    </row>
    <row r="108" spans="1:6" s="872" customFormat="1" ht="36">
      <c r="A108" s="876">
        <v>48</v>
      </c>
      <c r="B108" s="324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41" t="s">
        <v>724</v>
      </c>
      <c r="C111" s="876" t="s">
        <v>725</v>
      </c>
      <c r="D111" s="812" t="s">
        <v>726</v>
      </c>
      <c r="E111" s="889">
        <v>0.2</v>
      </c>
      <c r="F111" s="876">
        <v>30</v>
      </c>
    </row>
    <row r="112" spans="1:6" s="872" customFormat="1" ht="24">
      <c r="A112" s="876">
        <v>52</v>
      </c>
      <c r="B112" s="3241"/>
      <c r="C112" s="876" t="s">
        <v>727</v>
      </c>
      <c r="D112" s="812" t="s">
        <v>728</v>
      </c>
      <c r="E112" s="889">
        <v>0.2</v>
      </c>
      <c r="F112" s="876">
        <v>30</v>
      </c>
    </row>
    <row r="113" spans="1:6" s="872" customFormat="1" ht="24">
      <c r="A113" s="876">
        <v>53</v>
      </c>
      <c r="B113" s="324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41" t="s">
        <v>737</v>
      </c>
      <c r="C116" s="876" t="s">
        <v>738</v>
      </c>
      <c r="D116" s="812" t="s">
        <v>739</v>
      </c>
      <c r="E116" s="889">
        <v>0.2</v>
      </c>
      <c r="F116" s="876">
        <v>30</v>
      </c>
    </row>
    <row r="117" spans="1:6" ht="36">
      <c r="A117" s="876">
        <v>57</v>
      </c>
      <c r="B117" s="324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2989</v>
      </c>
    </row>
    <row r="2" spans="1:5" ht="15.75">
      <c r="A2" s="2906" t="s">
        <v>2981</v>
      </c>
      <c r="B2" s="2907" t="e">
        <f ca="1">SUMIF(B6:B13,"&lt;&gt;#ref!",B6:B13)</f>
        <v>#DIV/0!</v>
      </c>
      <c r="C2" s="2906" t="s">
        <v>2982</v>
      </c>
      <c r="D2" s="2906" t="s">
        <v>2983</v>
      </c>
      <c r="E2" s="2907">
        <f ca="1">SUMIF(E6:E13,"&lt;&gt;#ref!",E6:E13)</f>
        <v>0</v>
      </c>
    </row>
    <row r="3" spans="1:5" ht="15.75">
      <c r="A3" s="2906" t="s">
        <v>2984</v>
      </c>
      <c r="B3" s="2907" t="e">
        <f ca="1">ROUND(B2*10000/E2,0)</f>
        <v>#DIV/0!</v>
      </c>
      <c r="C3" s="2906" t="s">
        <v>2990</v>
      </c>
      <c r="D3" s="2908"/>
      <c r="E3" s="2908"/>
    </row>
    <row r="4" spans="1:5" ht="15.75">
      <c r="A4" s="2909"/>
      <c r="B4" s="2908"/>
      <c r="C4" s="2908"/>
      <c r="D4" s="2908"/>
      <c r="E4" s="2908"/>
    </row>
    <row r="5" spans="1:5" ht="28.5">
      <c r="A5" s="2910" t="s">
        <v>2985</v>
      </c>
      <c r="B5" s="2906" t="s">
        <v>2986</v>
      </c>
      <c r="C5" s="2907"/>
      <c r="D5" s="2908"/>
      <c r="E5" s="2906" t="s">
        <v>2987</v>
      </c>
    </row>
    <row r="6" spans="1:5" ht="15.75">
      <c r="A6" s="2911" t="s">
        <v>2988</v>
      </c>
      <c r="B6" s="2907" t="e">
        <f ca="1">SUMIF(INDIRECT("'"&amp;A6&amp;"'"&amp;"!A:A"),"总价",INDIRECT("'"&amp;A6&amp;"'"&amp;"!B:B"))</f>
        <v>#DIV/0!</v>
      </c>
      <c r="C6" s="2906" t="s">
        <v>2982</v>
      </c>
      <c r="D6" s="2908"/>
      <c r="E6" s="2571">
        <f ca="1">SUMIF(INDIRECT("'"&amp;A6&amp;"'"&amp;"!C:C"),"建筑面积",INDIRECT("'"&amp;A6&amp;"'"&amp;"!D:D"))</f>
        <v>0</v>
      </c>
    </row>
    <row r="7" spans="1:5" ht="15.75">
      <c r="A7" s="2911"/>
      <c r="B7" s="2907" t="e">
        <f ca="1">SUMIF(INDIRECT("'"&amp;A7&amp;"'"&amp;"!A:A"),"总价",INDIRECT("'"&amp;A7&amp;"'"&amp;"!B:B"))</f>
        <v>#REF!</v>
      </c>
      <c r="C7" s="2906" t="s">
        <v>2982</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2982</v>
      </c>
      <c r="D8" s="2908"/>
      <c r="E8" s="2571" t="e">
        <f t="shared" ca="1" si="0"/>
        <v>#REF!</v>
      </c>
    </row>
    <row r="9" spans="1:5" ht="15.75">
      <c r="A9" s="2911"/>
      <c r="B9" s="2907" t="e">
        <f t="shared" ca="1" si="1"/>
        <v>#REF!</v>
      </c>
      <c r="C9" s="2906" t="s">
        <v>2982</v>
      </c>
      <c r="D9" s="2908"/>
      <c r="E9" s="2571" t="e">
        <f t="shared" ca="1" si="0"/>
        <v>#REF!</v>
      </c>
    </row>
    <row r="10" spans="1:5" ht="15.75">
      <c r="A10" s="2911"/>
      <c r="B10" s="2907" t="e">
        <f t="shared" ca="1" si="1"/>
        <v>#REF!</v>
      </c>
      <c r="C10" s="2906" t="s">
        <v>2982</v>
      </c>
      <c r="D10" s="2908"/>
      <c r="E10" s="2571" t="e">
        <f t="shared" ca="1" si="0"/>
        <v>#REF!</v>
      </c>
    </row>
    <row r="11" spans="1:5" ht="15.75">
      <c r="A11" s="2911"/>
      <c r="B11" s="2907" t="e">
        <f t="shared" ca="1" si="1"/>
        <v>#REF!</v>
      </c>
      <c r="C11" s="2906" t="s">
        <v>2982</v>
      </c>
      <c r="D11" s="2908"/>
      <c r="E11" s="2571" t="e">
        <f t="shared" ca="1" si="0"/>
        <v>#REF!</v>
      </c>
    </row>
    <row r="12" spans="1:5" ht="15.75">
      <c r="A12" s="2911"/>
      <c r="B12" s="2907" t="e">
        <f t="shared" ca="1" si="1"/>
        <v>#REF!</v>
      </c>
      <c r="C12" s="2906" t="s">
        <v>2982</v>
      </c>
      <c r="D12" s="2908"/>
      <c r="E12" s="2571" t="e">
        <f t="shared" ca="1" si="0"/>
        <v>#REF!</v>
      </c>
    </row>
    <row r="13" spans="1:5" ht="15.75">
      <c r="A13" s="2911"/>
      <c r="B13" s="2907" t="e">
        <f t="shared" ca="1" si="1"/>
        <v>#REF!</v>
      </c>
      <c r="C13" s="2906" t="s">
        <v>2982</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47" t="s">
        <v>1150</v>
      </c>
      <c r="C1" s="3247"/>
      <c r="D1" s="3247"/>
      <c r="E1" s="3247"/>
      <c r="F1" s="3247"/>
      <c r="G1" s="3246" t="s">
        <v>1151</v>
      </c>
      <c r="H1" s="3246"/>
      <c r="I1" s="3246"/>
      <c r="J1" s="3246"/>
      <c r="K1" s="3246"/>
      <c r="L1" s="3246"/>
      <c r="N1" s="3246" t="s">
        <v>1152</v>
      </c>
      <c r="O1" s="3246"/>
      <c r="P1" s="3246"/>
      <c r="Q1" s="3246"/>
      <c r="R1" s="1443"/>
      <c r="S1" s="3246" t="s">
        <v>1153</v>
      </c>
      <c r="T1" s="3246"/>
      <c r="U1" s="3246"/>
      <c r="V1" s="3246"/>
      <c r="X1" s="3245" t="s">
        <v>1154</v>
      </c>
      <c r="Y1" s="3246"/>
      <c r="Z1" s="3246"/>
      <c r="AA1" s="3246"/>
      <c r="AB1" s="3246"/>
      <c r="AD1" s="3245" t="s">
        <v>1155</v>
      </c>
      <c r="AE1" s="3246"/>
      <c r="AF1" s="3246"/>
      <c r="AG1" s="3246"/>
      <c r="AH1" s="3246"/>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5" customFormat="1" ht="14.25">
      <c r="A3" s="2934" t="s">
        <v>3024</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0" customFormat="1" ht="14.25">
      <c r="B4" s="1451"/>
      <c r="C4" s="1451"/>
      <c r="D4" s="1452"/>
      <c r="E4" s="1452"/>
      <c r="F4" s="1451"/>
      <c r="G4" s="1453"/>
      <c r="H4" s="1454"/>
      <c r="I4" s="2919"/>
      <c r="J4" s="2919"/>
      <c r="K4" s="2919"/>
      <c r="L4" s="2919"/>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3030</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5">
        <v>2018</v>
      </c>
      <c r="H5" s="1727">
        <v>2</v>
      </c>
      <c r="I5" s="2920">
        <v>0</v>
      </c>
      <c r="J5" s="2920">
        <v>0</v>
      </c>
      <c r="K5" s="2920">
        <v>0</v>
      </c>
      <c r="L5" s="2920">
        <v>0</v>
      </c>
      <c r="N5" s="1464">
        <f t="shared" ref="N5" si="7">I5/100</f>
        <v>0</v>
      </c>
      <c r="O5" s="1464">
        <f t="shared" ref="O5" si="8">J5/100</f>
        <v>0</v>
      </c>
      <c r="P5" s="1464">
        <f t="shared" ref="P5" si="9">K5/100</f>
        <v>0</v>
      </c>
      <c r="Q5" s="1464">
        <f t="shared" ref="Q5" si="10">L5/100</f>
        <v>0</v>
      </c>
      <c r="R5" s="1729"/>
      <c r="S5" s="1730"/>
      <c r="T5" s="1729"/>
      <c r="U5" s="1729"/>
      <c r="V5" s="1729"/>
      <c r="W5" s="2924" t="s">
        <v>3025</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3023</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6">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3020</v>
      </c>
      <c r="B7" s="1466">
        <v>439</v>
      </c>
      <c r="C7" s="1466">
        <v>327</v>
      </c>
      <c r="D7" s="1466">
        <f>C7</f>
        <v>327</v>
      </c>
      <c r="E7" s="1466">
        <v>627</v>
      </c>
      <c r="F7" s="1467">
        <v>283</v>
      </c>
      <c r="G7" s="2922">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3021</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8"/>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7"/>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8"/>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48">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43"/>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43"/>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44"/>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42">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43"/>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43"/>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44"/>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42">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43"/>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43"/>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44"/>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49">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50"/>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50"/>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51"/>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42">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43"/>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43"/>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44"/>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42">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43">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43">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44">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42">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43">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43">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44">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42">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43">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43">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44">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42">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43">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43">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44">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42">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43">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43">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44">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42">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43">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43">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44">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42">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43">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43">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44">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42">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43">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43">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44">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42">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43">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43">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44">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42">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43">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43">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44">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3"/>
      <c r="C2" s="2943"/>
      <c r="D2" s="2943"/>
      <c r="E2" s="2943"/>
    </row>
    <row r="3" spans="1:5" ht="18">
      <c r="A3" s="2944" t="str">
        <f>IF(项目基本情况!B9="房地产市场价值","估价结果一览表（市场价值不需“结果表-1”）","估价结果一览表")</f>
        <v>估价结果一览表</v>
      </c>
      <c r="B3" s="2944"/>
      <c r="C3" s="2944"/>
      <c r="D3" s="2944"/>
      <c r="E3" s="2944"/>
    </row>
    <row r="4" spans="1:5" ht="19.5" thickBot="1">
      <c r="A4" s="1958"/>
      <c r="B4" s="2942" t="s">
        <v>1630</v>
      </c>
      <c r="C4" s="2942"/>
      <c r="D4" s="2942"/>
      <c r="E4" s="1958"/>
    </row>
    <row r="5" spans="1:5" ht="16.5" thickTop="1">
      <c r="A5" s="1956"/>
      <c r="B5" s="2940" t="s">
        <v>1622</v>
      </c>
      <c r="C5" s="1959" t="s">
        <v>1623</v>
      </c>
      <c r="D5" s="1037">
        <f ca="1">结果表!H101</f>
        <v>280892</v>
      </c>
      <c r="E5" s="1956"/>
    </row>
    <row r="6" spans="1:5" ht="15.75">
      <c r="A6" s="1956"/>
      <c r="B6" s="2940"/>
      <c r="C6" s="1959" t="s">
        <v>1624</v>
      </c>
      <c r="D6" s="1037" t="str">
        <f ca="1">NUMBERSTRING(INT(D5*10000),2)&amp;"元整"</f>
        <v>贰拾捌亿零捌佰玖拾贰万元整</v>
      </c>
      <c r="E6" s="1956"/>
    </row>
    <row r="7" spans="1:5" ht="15.75">
      <c r="A7" s="1956"/>
      <c r="B7" s="2945"/>
      <c r="C7" s="1960" t="s">
        <v>1625</v>
      </c>
      <c r="D7" s="1038">
        <f ca="1">结果表!H102</f>
        <v>15315</v>
      </c>
      <c r="E7" s="1956"/>
    </row>
    <row r="8" spans="1:5" ht="15.75">
      <c r="A8" s="1956"/>
      <c r="B8" s="2946" t="str">
        <f>结果表!E103</f>
        <v>2.估价师知悉的法定优先受偿款</v>
      </c>
      <c r="C8" s="1961" t="s">
        <v>1626</v>
      </c>
      <c r="D8" s="1038">
        <f>结果表!H103</f>
        <v>0</v>
      </c>
      <c r="E8" s="1956"/>
    </row>
    <row r="9" spans="1:5" ht="15.75">
      <c r="A9" s="1956"/>
      <c r="B9" s="2948"/>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39" t="str">
        <f>结果表!E107</f>
        <v>3.房地产抵押价值</v>
      </c>
      <c r="C13" s="1964" t="s">
        <v>1623</v>
      </c>
      <c r="D13" s="1040">
        <f ca="1">结果表!H107</f>
        <v>280892</v>
      </c>
      <c r="E13" s="1956"/>
    </row>
    <row r="14" spans="1:5" ht="15.75">
      <c r="A14" s="1956"/>
      <c r="B14" s="2940"/>
      <c r="C14" s="1959" t="s">
        <v>1624</v>
      </c>
      <c r="D14" s="1037" t="str">
        <f ca="1">NUMBERSTRING(INT(D13*10000),2)&amp;"元整"</f>
        <v>贰拾捌亿零捌佰玖拾贰万元整</v>
      </c>
      <c r="E14" s="1956"/>
    </row>
    <row r="15" spans="1:5" ht="15">
      <c r="A15" s="1956"/>
      <c r="B15" s="2945"/>
      <c r="C15" s="1960" t="s">
        <v>1634</v>
      </c>
      <c r="D15" s="1049">
        <f ca="1">结果表!H108</f>
        <v>15315</v>
      </c>
      <c r="E15" s="1956"/>
    </row>
    <row r="16" spans="1:5" ht="15">
      <c r="A16" s="1956"/>
      <c r="B16" s="2946" t="str">
        <f>结果表!E109</f>
        <v>——</v>
      </c>
      <c r="C16" s="1964" t="s">
        <v>1635</v>
      </c>
      <c r="D16" s="1965" t="str">
        <f>结果表!H109</f>
        <v>——</v>
      </c>
      <c r="E16" s="1956"/>
    </row>
    <row r="17" spans="1:5" ht="15.75">
      <c r="A17" s="1956"/>
      <c r="B17" s="2947"/>
      <c r="C17" s="1959" t="s">
        <v>1636</v>
      </c>
      <c r="D17" s="1037" t="e">
        <f>NUMBERSTRING(INT(D16*10000),2)&amp;"元整"</f>
        <v>#VALUE!</v>
      </c>
      <c r="E17" s="1956"/>
    </row>
    <row r="18" spans="1:5" ht="15">
      <c r="A18" s="1956"/>
      <c r="B18" s="2948"/>
      <c r="C18" s="1960" t="s">
        <v>1625</v>
      </c>
      <c r="D18" s="1049" t="str">
        <f>结果表!H110</f>
        <v>——</v>
      </c>
      <c r="E18" s="1956"/>
    </row>
    <row r="19" spans="1:5" ht="15.75">
      <c r="A19" s="1956"/>
      <c r="B19" s="2939" t="str">
        <f>结果表!E111</f>
        <v>——</v>
      </c>
      <c r="C19" s="1964" t="s">
        <v>1623</v>
      </c>
      <c r="D19" s="1038" t="str">
        <f>结果表!H111</f>
        <v>——</v>
      </c>
      <c r="E19" s="1956"/>
    </row>
    <row r="20" spans="1:5" ht="15.75">
      <c r="A20" s="1956"/>
      <c r="B20" s="2940"/>
      <c r="C20" s="1959" t="s">
        <v>1636</v>
      </c>
      <c r="D20" s="1037" t="e">
        <f>NUMBERSTRING(INT(D19*10000),2)&amp;"元整"</f>
        <v>#VALUE!</v>
      </c>
      <c r="E20" s="1956"/>
    </row>
    <row r="21" spans="1:5" ht="15.75" thickBot="1">
      <c r="A21" s="1956"/>
      <c r="B21" s="2941"/>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89"/>
    <col min="46" max="16384" width="9" style="135"/>
  </cols>
  <sheetData>
    <row r="1" spans="1:45" ht="14.25" customHeight="1" thickBot="1">
      <c r="A1" s="151"/>
      <c r="B1" s="1201" t="s">
        <v>2991</v>
      </c>
      <c r="C1" s="3253" t="s">
        <v>2992</v>
      </c>
      <c r="D1" s="3254"/>
      <c r="E1" s="3254"/>
      <c r="F1" s="3254"/>
      <c r="G1" s="3254"/>
      <c r="H1" s="3254"/>
      <c r="I1" s="3254"/>
      <c r="J1" s="3254"/>
      <c r="K1" s="3254"/>
      <c r="L1" s="3254"/>
      <c r="M1" s="3254"/>
      <c r="N1" s="3254"/>
      <c r="O1" s="3254"/>
      <c r="P1" s="3254"/>
      <c r="Q1" s="3254"/>
      <c r="R1" s="3254"/>
      <c r="S1" s="3255"/>
      <c r="T1" s="1201" t="s">
        <v>2993</v>
      </c>
    </row>
    <row r="2" spans="1:45" s="703" customFormat="1">
      <c r="A2" s="1202"/>
      <c r="B2" s="699" t="s">
        <v>2994</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3" t="str">
        <f>S3&amp;"(含)"&amp;"-"</f>
        <v>(含)-</v>
      </c>
      <c r="T2" s="702"/>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4"/>
      <c r="B3" s="704"/>
      <c r="C3" s="705"/>
      <c r="D3" s="706"/>
      <c r="E3" s="706"/>
      <c r="F3" s="1701"/>
      <c r="G3" s="1701"/>
      <c r="H3" s="1701"/>
      <c r="I3" s="1701"/>
      <c r="J3" s="1701"/>
      <c r="K3" s="1701"/>
      <c r="L3" s="1702"/>
      <c r="M3" s="1703"/>
      <c r="N3" s="1703"/>
      <c r="O3" s="1701"/>
      <c r="P3" s="1701"/>
      <c r="Q3" s="1701"/>
      <c r="R3" s="1701"/>
      <c r="S3" s="1704"/>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12"/>
      <c r="B5" s="1766" t="s">
        <v>2995</v>
      </c>
      <c r="C5" s="1213"/>
      <c r="D5" s="1214"/>
      <c r="E5" s="1214"/>
      <c r="F5" s="1708"/>
      <c r="G5" s="1708"/>
      <c r="H5" s="1708"/>
      <c r="I5" s="1708"/>
      <c r="J5" s="1708"/>
      <c r="K5" s="1708"/>
      <c r="L5" s="1709"/>
      <c r="M5" s="1710"/>
      <c r="N5" s="1710"/>
      <c r="O5" s="1708"/>
      <c r="P5" s="1708"/>
      <c r="Q5" s="1708"/>
      <c r="R5" s="1708"/>
      <c r="S5" s="1711"/>
      <c r="T5" s="1216"/>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c r="A7" s="1212"/>
      <c r="B7" s="1767" t="s">
        <v>2996</v>
      </c>
      <c r="C7" s="1118"/>
      <c r="D7" s="1112"/>
      <c r="E7" s="1112"/>
      <c r="F7" s="1713"/>
      <c r="G7" s="1713"/>
      <c r="H7" s="1713"/>
      <c r="I7" s="1713"/>
      <c r="J7" s="1713"/>
      <c r="K7" s="1713"/>
      <c r="L7" s="1713"/>
      <c r="M7" s="1714"/>
      <c r="N7" s="1715"/>
      <c r="O7" s="1716"/>
      <c r="P7" s="1717"/>
      <c r="Q7" s="1718"/>
      <c r="R7" s="1719"/>
      <c r="S7" s="1720"/>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c r="A9" s="1212"/>
      <c r="B9" s="1767" t="s">
        <v>2997</v>
      </c>
      <c r="C9" s="1118"/>
      <c r="D9" s="1112"/>
      <c r="E9" s="1112"/>
      <c r="F9" s="1713"/>
      <c r="G9" s="1713"/>
      <c r="H9" s="1713"/>
      <c r="I9" s="1713"/>
      <c r="J9" s="1713"/>
      <c r="K9" s="1713"/>
      <c r="L9" s="1721"/>
      <c r="M9" s="1714"/>
      <c r="N9" s="1715"/>
      <c r="O9" s="1716"/>
      <c r="P9" s="1717"/>
      <c r="Q9" s="1718"/>
      <c r="R9" s="1719"/>
      <c r="S9" s="1720"/>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c r="A11" s="1212"/>
      <c r="B11" s="1766" t="s">
        <v>2998</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c r="A13" s="1212"/>
      <c r="B13" s="1766" t="s">
        <v>2999</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c r="A15" s="1212"/>
      <c r="B15" s="1766" t="s">
        <v>3000</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3" customFormat="1">
      <c r="A17" s="2912" t="s">
        <v>3001</v>
      </c>
      <c r="B17" s="2913" t="s">
        <v>3002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3"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4"/>
      <c r="B19" s="164"/>
      <c r="C19" s="164"/>
      <c r="D19" s="2914" t="s">
        <v>3003</v>
      </c>
      <c r="E19" s="1789"/>
      <c r="F19" s="1789"/>
      <c r="G19" s="1789"/>
      <c r="H19" s="1277"/>
      <c r="I19" s="164"/>
      <c r="J19" s="164"/>
      <c r="K19" s="164"/>
      <c r="L19" s="164"/>
      <c r="M19" s="164"/>
      <c r="N19" s="164"/>
      <c r="O19" s="164"/>
      <c r="P19" s="164"/>
      <c r="Q19" s="164"/>
      <c r="R19" s="782"/>
      <c r="S19" s="134"/>
    </row>
    <row r="20" spans="1:45" ht="16.5" thickBot="1">
      <c r="A20" s="711" t="s">
        <v>3004</v>
      </c>
      <c r="B20" s="334" t="e">
        <f ca="1">IF(D20="——",S22,S22-F20)</f>
        <v>#REF!</v>
      </c>
      <c r="C20" s="164"/>
      <c r="D20" s="2915" t="s">
        <v>3005</v>
      </c>
      <c r="E20" s="1790"/>
      <c r="F20" s="1201" t="e">
        <f ca="1">SUMIF(INDIRECT("'"&amp;H20&amp;"'"&amp;"!A:A"),"承租人权益价值",INDIRECT("'"&amp;H20&amp;"'"&amp;"!c:c"))</f>
        <v>#REF!</v>
      </c>
      <c r="G20" s="1201" t="s">
        <v>3006</v>
      </c>
      <c r="H20" s="2916"/>
      <c r="I20" s="164"/>
      <c r="J20" s="164"/>
      <c r="K20" s="164"/>
      <c r="L20" s="164"/>
      <c r="M20" s="164"/>
      <c r="N20" s="164"/>
      <c r="O20" s="164"/>
      <c r="P20" s="164"/>
      <c r="Q20" s="164"/>
      <c r="R20" s="782"/>
      <c r="S20" s="134"/>
    </row>
    <row r="21" spans="1:45" ht="15.75">
      <c r="A21" s="711" t="s">
        <v>3007</v>
      </c>
      <c r="B21" s="334">
        <f>R22</f>
        <v>10000</v>
      </c>
      <c r="C21" s="164"/>
      <c r="D21" s="164"/>
      <c r="E21" s="164"/>
      <c r="F21" s="164"/>
      <c r="G21" s="164"/>
      <c r="H21" s="164"/>
      <c r="I21" s="164"/>
      <c r="J21" s="164"/>
      <c r="K21" s="164"/>
      <c r="L21" s="164"/>
      <c r="M21" s="164"/>
      <c r="N21" s="164"/>
      <c r="O21" s="164"/>
      <c r="P21" s="164"/>
      <c r="Q21" s="164"/>
      <c r="R21" s="782"/>
      <c r="S21" s="134"/>
    </row>
    <row r="22" spans="1:45">
      <c r="A22" s="357" t="s">
        <v>3008</v>
      </c>
      <c r="B22" s="24">
        <f>SUM(B24:B10000)</f>
        <v>100</v>
      </c>
      <c r="C22" s="3116" t="s">
        <v>33</v>
      </c>
      <c r="D22" s="3117"/>
      <c r="E22" s="3117"/>
      <c r="F22" s="3117"/>
      <c r="G22" s="3117"/>
      <c r="H22" s="3117"/>
      <c r="I22" s="3117"/>
      <c r="J22" s="3117"/>
      <c r="K22" s="3117"/>
      <c r="L22" s="3117"/>
      <c r="M22" s="3117"/>
      <c r="N22" s="3117"/>
      <c r="O22" s="3117"/>
      <c r="P22" s="3117"/>
      <c r="Q22" s="3252"/>
      <c r="R22" s="712">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3" t="s">
        <v>3012</v>
      </c>
      <c r="S23" s="11" t="s">
        <v>3013</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714" t="s">
        <v>3014</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5"/>
      <c r="B25" s="57"/>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7"/>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7"/>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7"/>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7"/>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7"/>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7"/>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7"/>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7"/>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7"/>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7"/>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7"/>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7"/>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7"/>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7"/>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7"/>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7"/>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7"/>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7"/>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7"/>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7"/>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7"/>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7"/>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7"/>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7"/>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7"/>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7"/>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7"/>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7"/>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7"/>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7"/>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7"/>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7"/>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7"/>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7"/>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7"/>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7"/>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7"/>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7"/>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7"/>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7"/>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7"/>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7"/>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7"/>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7"/>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7"/>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7"/>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7"/>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7"/>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7"/>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7"/>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7"/>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7"/>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7"/>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7"/>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7"/>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7"/>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7"/>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7"/>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7"/>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7"/>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7"/>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7"/>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7"/>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7"/>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7"/>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7"/>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7"/>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7"/>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7"/>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7"/>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7"/>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7"/>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7"/>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7"/>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7"/>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7"/>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7"/>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7"/>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7"/>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7"/>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7"/>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7"/>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7"/>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7"/>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7"/>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7"/>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7"/>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7"/>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7"/>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7"/>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7"/>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7"/>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7"/>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7"/>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7"/>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7"/>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7"/>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7"/>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7"/>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7"/>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7"/>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7"/>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7"/>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7"/>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7"/>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7"/>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7"/>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7"/>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7"/>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7"/>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7"/>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7"/>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7"/>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7"/>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7"/>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7"/>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7"/>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7"/>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7"/>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7"/>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7"/>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7"/>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7"/>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7"/>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7"/>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7"/>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7"/>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7"/>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7"/>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7"/>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7"/>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7"/>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7"/>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7"/>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7"/>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7"/>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7"/>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7"/>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7"/>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7"/>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7"/>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7"/>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7"/>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7"/>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7"/>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7"/>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7"/>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7"/>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7"/>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7"/>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7"/>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7"/>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7"/>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7"/>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7"/>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7"/>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7"/>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7"/>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7"/>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7"/>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7"/>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7"/>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7"/>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7"/>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7"/>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7"/>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7"/>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7"/>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7"/>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7"/>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7"/>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7"/>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7"/>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7"/>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7"/>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7"/>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7"/>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7"/>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7"/>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7"/>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7"/>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7"/>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7"/>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7"/>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7"/>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7"/>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7"/>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7"/>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7"/>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7"/>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7"/>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7"/>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7"/>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7"/>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7"/>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7"/>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7"/>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7"/>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7"/>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7"/>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7"/>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7"/>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7"/>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7"/>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7"/>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7"/>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7"/>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7"/>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7"/>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7"/>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7"/>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7"/>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7"/>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7"/>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7"/>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7"/>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7"/>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7"/>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7"/>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7"/>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7"/>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7"/>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7"/>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7"/>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7"/>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7"/>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7"/>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7"/>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7"/>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7"/>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7"/>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7"/>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7"/>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7"/>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7"/>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7"/>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7"/>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7"/>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7"/>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7"/>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7"/>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7"/>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7"/>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7"/>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7"/>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7"/>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7"/>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7"/>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7"/>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7"/>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7"/>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7"/>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7"/>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7"/>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7"/>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7"/>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7"/>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7"/>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7"/>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7"/>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7"/>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7"/>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7"/>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7"/>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7"/>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7"/>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7"/>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7"/>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7"/>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7"/>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7"/>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7"/>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7"/>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7"/>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7"/>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7"/>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7"/>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7"/>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7"/>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7"/>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7"/>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7"/>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7"/>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7"/>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7"/>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7"/>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7"/>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7"/>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7"/>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7"/>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7"/>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7"/>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7"/>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7"/>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7"/>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7"/>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7"/>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7"/>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7"/>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7"/>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7"/>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7"/>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7"/>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7"/>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7"/>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7"/>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7"/>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7"/>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7"/>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7"/>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7"/>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7"/>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7"/>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7"/>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7"/>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7"/>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7"/>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7"/>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7"/>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7"/>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7"/>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7"/>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7"/>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7"/>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7"/>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7"/>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7"/>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7"/>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7"/>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7"/>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7"/>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7"/>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7"/>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7"/>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7"/>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7"/>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7"/>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7"/>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7"/>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7"/>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7"/>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7"/>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7"/>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7"/>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7"/>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7"/>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7"/>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7"/>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7"/>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7"/>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7"/>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7"/>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7"/>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7"/>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7"/>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7"/>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7"/>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7"/>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7"/>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7"/>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7"/>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7"/>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7"/>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7"/>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7"/>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7"/>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7"/>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7"/>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7"/>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7"/>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7"/>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7"/>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7"/>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7"/>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7"/>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7"/>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7"/>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7"/>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7"/>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7"/>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7"/>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7"/>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7"/>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7"/>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7"/>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7"/>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7"/>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7"/>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7"/>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7"/>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7"/>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7"/>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7"/>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7"/>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7"/>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7"/>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7"/>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7"/>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7"/>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7"/>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7"/>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7"/>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7"/>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7"/>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7"/>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7"/>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7"/>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7"/>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7"/>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7"/>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7"/>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7"/>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7"/>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7"/>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7"/>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7"/>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7"/>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7"/>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7"/>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7"/>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7"/>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7"/>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7"/>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7"/>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7"/>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7"/>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7"/>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7"/>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7"/>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7"/>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7"/>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7"/>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7"/>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7"/>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7"/>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7"/>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7"/>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7"/>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7"/>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7"/>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7"/>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7"/>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7"/>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7"/>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7"/>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7"/>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7"/>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7"/>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7"/>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7"/>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7"/>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7"/>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7"/>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7"/>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7"/>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7"/>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7"/>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7"/>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7"/>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7"/>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7"/>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7"/>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7"/>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7"/>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7"/>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7"/>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7"/>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7"/>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7"/>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7"/>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7"/>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7"/>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7"/>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7"/>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7"/>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7"/>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7"/>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7"/>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7"/>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7"/>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7"/>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7"/>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7"/>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7"/>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7"/>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7"/>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7"/>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7"/>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7"/>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7"/>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7"/>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7"/>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7"/>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7"/>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7"/>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7"/>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7"/>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7"/>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7"/>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69002</v>
      </c>
      <c r="C2" s="2" t="s">
        <v>133</v>
      </c>
      <c r="D2" s="239"/>
      <c r="E2" s="239"/>
      <c r="F2" s="239"/>
      <c r="G2" s="239"/>
    </row>
    <row r="3" spans="1:7" s="240" customFormat="1" ht="18" customHeight="1" thickBot="1">
      <c r="A3" s="243" t="s">
        <v>85</v>
      </c>
      <c r="B3" s="244">
        <f ca="1">ROUND(B2*10000/'数据-汇总表'!E3,0)</f>
        <v>3762</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6" t="s">
        <v>791</v>
      </c>
      <c r="B6" s="255" t="s">
        <v>91</v>
      </c>
      <c r="C6" s="256">
        <v>20000</v>
      </c>
      <c r="D6" s="257"/>
      <c r="E6" s="258"/>
      <c r="F6" s="258"/>
      <c r="G6" s="259"/>
    </row>
    <row r="7" spans="1:7" s="254" customFormat="1" ht="13.5" customHeight="1">
      <c r="A7" s="946" t="s">
        <v>792</v>
      </c>
      <c r="B7" s="255" t="s">
        <v>57</v>
      </c>
      <c r="C7" s="260">
        <f>ROUND(C6*F7,0)</f>
        <v>610</v>
      </c>
      <c r="D7" s="260"/>
      <c r="E7" s="258"/>
      <c r="F7" s="261">
        <f>'数据-取费表'!B48+'数据-取费表'!B49</f>
        <v>3.0499999999999999E-2</v>
      </c>
      <c r="G7" s="259"/>
    </row>
    <row r="8" spans="1:7" s="263" customFormat="1">
      <c r="A8" s="946" t="s">
        <v>793</v>
      </c>
      <c r="B8" s="255" t="s">
        <v>92</v>
      </c>
      <c r="C8" s="260" t="str">
        <f>IF(G8="已包含在土地购买价格中","0",'数据-取费表'!B29)</f>
        <v>0</v>
      </c>
      <c r="D8" s="262"/>
      <c r="E8" s="260"/>
      <c r="F8" s="261"/>
      <c r="G8" s="1" t="s">
        <v>1148</v>
      </c>
    </row>
    <row r="9" spans="1:7" s="254" customFormat="1" ht="13.5" customHeight="1">
      <c r="A9" s="947" t="s">
        <v>800</v>
      </c>
      <c r="B9" s="264" t="s">
        <v>93</v>
      </c>
      <c r="C9" s="265">
        <f>ROUND(D9*E9/10000,0)</f>
        <v>0</v>
      </c>
      <c r="D9" s="1029">
        <f>'数据-汇总表'!E5</f>
        <v>0</v>
      </c>
      <c r="E9" s="265">
        <f>'数据-取费表'!B27</f>
        <v>150</v>
      </c>
      <c r="F9" s="261"/>
      <c r="G9" s="266"/>
    </row>
    <row r="10" spans="1:7" s="254" customFormat="1" ht="13.5" customHeight="1">
      <c r="A10" s="947" t="s">
        <v>801</v>
      </c>
      <c r="B10" s="264" t="s">
        <v>94</v>
      </c>
      <c r="C10" s="265">
        <f>ROUND(D10*E10/10000,0)</f>
        <v>3485</v>
      </c>
      <c r="D10" s="1029">
        <f>'数据-汇总表'!E6</f>
        <v>183405</v>
      </c>
      <c r="E10" s="265">
        <f>'数据-取费表'!B28</f>
        <v>190</v>
      </c>
      <c r="F10" s="261"/>
      <c r="G10" s="266"/>
    </row>
    <row r="11" spans="1:7" s="254" customFormat="1" ht="13.5" hidden="1" customHeight="1">
      <c r="A11" s="267" t="s">
        <v>7</v>
      </c>
      <c r="B11" s="255" t="s">
        <v>95</v>
      </c>
      <c r="C11" s="251"/>
      <c r="D11" s="1031"/>
      <c r="E11" s="258"/>
      <c r="F11" s="258"/>
      <c r="G11" s="259"/>
    </row>
    <row r="12" spans="1:7" s="254" customFormat="1" ht="13.5" hidden="1" customHeight="1">
      <c r="A12" s="267" t="s">
        <v>8</v>
      </c>
      <c r="B12" s="255" t="s">
        <v>96</v>
      </c>
      <c r="C12" s="251">
        <v>0</v>
      </c>
      <c r="D12" s="1031"/>
      <c r="E12" s="268"/>
      <c r="F12" s="261">
        <v>3.0499999999999999E-2</v>
      </c>
      <c r="G12" s="259"/>
    </row>
    <row r="13" spans="1:7" s="254" customFormat="1" ht="13.5" hidden="1" customHeight="1">
      <c r="A13" s="267" t="s">
        <v>9</v>
      </c>
      <c r="B13" s="255" t="s">
        <v>97</v>
      </c>
      <c r="C13" s="251"/>
      <c r="D13" s="1031"/>
      <c r="E13" s="258"/>
      <c r="F13" s="258"/>
      <c r="G13" s="259"/>
    </row>
    <row r="14" spans="1:7" s="254" customFormat="1" ht="13.5" hidden="1" customHeight="1">
      <c r="A14" s="267" t="s">
        <v>10</v>
      </c>
      <c r="B14" s="255" t="s">
        <v>92</v>
      </c>
      <c r="C14" s="251"/>
      <c r="D14" s="1031"/>
      <c r="E14" s="258"/>
      <c r="F14" s="258"/>
      <c r="G14" s="259" t="s">
        <v>98</v>
      </c>
    </row>
    <row r="15" spans="1:7" s="254" customFormat="1" ht="13.5" hidden="1" customHeight="1">
      <c r="A15" s="267" t="s">
        <v>11</v>
      </c>
      <c r="B15" s="255" t="s">
        <v>99</v>
      </c>
      <c r="C15" s="260"/>
      <c r="D15" s="1031"/>
      <c r="E15" s="258"/>
      <c r="F15" s="258"/>
      <c r="G15" s="259" t="s">
        <v>100</v>
      </c>
    </row>
    <row r="16" spans="1:7" s="254" customFormat="1" ht="13.5" hidden="1" customHeight="1">
      <c r="A16" s="267" t="s">
        <v>12</v>
      </c>
      <c r="B16" s="255" t="s">
        <v>92</v>
      </c>
      <c r="C16" s="260"/>
      <c r="D16" s="1031"/>
      <c r="E16" s="258"/>
      <c r="F16" s="258"/>
      <c r="G16" s="259"/>
    </row>
    <row r="17" spans="1:7" s="254" customFormat="1" ht="13.5" hidden="1" customHeight="1">
      <c r="A17" s="267" t="s">
        <v>13</v>
      </c>
      <c r="B17" s="255" t="s">
        <v>101</v>
      </c>
      <c r="C17" s="269"/>
      <c r="D17" s="1032"/>
      <c r="E17" s="269"/>
      <c r="F17" s="269"/>
      <c r="G17" s="259" t="s">
        <v>100</v>
      </c>
    </row>
    <row r="18" spans="1:7" s="254" customFormat="1" ht="13.5" hidden="1" customHeight="1">
      <c r="A18" s="267" t="s">
        <v>14</v>
      </c>
      <c r="B18" s="255" t="s">
        <v>102</v>
      </c>
      <c r="C18" s="260">
        <v>0</v>
      </c>
      <c r="D18" s="1031"/>
      <c r="E18" s="258"/>
      <c r="F18" s="261">
        <v>3.0499999999999999E-2</v>
      </c>
      <c r="G18" s="259" t="s">
        <v>103</v>
      </c>
    </row>
    <row r="19" spans="1:7" s="263" customFormat="1" ht="13.5" customHeight="1">
      <c r="A19" s="945" t="s">
        <v>1055</v>
      </c>
      <c r="B19" s="250" t="s">
        <v>111</v>
      </c>
      <c r="C19" s="251">
        <f>IF(G19="已包含在土地取得成本中","0",ROUND(D19*E19/10000,0))</f>
        <v>3668</v>
      </c>
      <c r="D19" s="1033">
        <f>'数据-汇总表'!E3</f>
        <v>183405</v>
      </c>
      <c r="E19" s="251">
        <f>'数据-取费表'!B31</f>
        <v>200</v>
      </c>
      <c r="F19" s="271"/>
      <c r="G19" s="1" t="s">
        <v>1074</v>
      </c>
    </row>
    <row r="20" spans="1:7" s="254" customFormat="1" ht="13.5" customHeight="1">
      <c r="A20" s="945" t="s">
        <v>1057</v>
      </c>
      <c r="B20" s="250" t="s">
        <v>104</v>
      </c>
      <c r="C20" s="272">
        <f>ROUND((C5+C19)*F20,0)</f>
        <v>364</v>
      </c>
      <c r="D20" s="272"/>
      <c r="E20" s="272"/>
      <c r="F20" s="273">
        <f>'数据-取费表'!B37</f>
        <v>1.4999999999999999E-2</v>
      </c>
      <c r="G20" s="1286" t="s">
        <v>1068</v>
      </c>
    </row>
    <row r="21" spans="1:7" s="254" customFormat="1" ht="13.5" customHeight="1">
      <c r="A21" s="945" t="s">
        <v>1059</v>
      </c>
      <c r="B21" s="250" t="s">
        <v>105</v>
      </c>
      <c r="C21" s="275">
        <f>F21</f>
        <v>0.02</v>
      </c>
      <c r="D21" s="276" t="s">
        <v>126</v>
      </c>
      <c r="E21" s="272"/>
      <c r="F21" s="273">
        <f>'数据-取费表'!B38</f>
        <v>0.02</v>
      </c>
      <c r="G21" s="274" t="s">
        <v>106</v>
      </c>
    </row>
    <row r="22" spans="1:7" s="254" customFormat="1" ht="13.5" customHeight="1">
      <c r="A22" s="945" t="s">
        <v>786</v>
      </c>
      <c r="B22" s="250" t="s">
        <v>107</v>
      </c>
      <c r="C22" s="1351">
        <f ca="1">ROUND(SUM(C23:C25),0)</f>
        <v>1162</v>
      </c>
      <c r="D22" s="275">
        <f ca="1">C26</f>
        <v>5.0000000000000001E-4</v>
      </c>
      <c r="E22" s="276" t="s">
        <v>126</v>
      </c>
      <c r="F22" s="277">
        <f ca="1">'数据-取费表'!B40</f>
        <v>4.7500000000000001E-2</v>
      </c>
      <c r="G22" s="1286" t="str">
        <f>IF('数据-取费表'!B22&lt;=1,"单利计息","复利计息")</f>
        <v>复利计息</v>
      </c>
    </row>
    <row r="23" spans="1:7" s="254" customFormat="1" ht="13.5" customHeight="1">
      <c r="A23" s="948" t="s">
        <v>794</v>
      </c>
      <c r="B23" s="255" t="s">
        <v>1061</v>
      </c>
      <c r="C23" s="1352">
        <f ca="1">ROUND(IF('数据-取费表'!B22&lt;=1,C5*F22*'数据-取费表'!B23,C5*(POWER((1+F22),'数据-取费表'!B23)-1)),0)</f>
        <v>979</v>
      </c>
      <c r="D23" s="278"/>
      <c r="E23" s="278"/>
      <c r="F23" s="279"/>
      <c r="G23" s="280" t="s">
        <v>108</v>
      </c>
    </row>
    <row r="24" spans="1:7" s="254" customFormat="1" ht="13.5" customHeight="1">
      <c r="A24" s="948" t="s">
        <v>792</v>
      </c>
      <c r="B24" s="255" t="s">
        <v>1056</v>
      </c>
      <c r="C24" s="1352">
        <f ca="1">ROUND(IF('数据-取费表'!B22&lt;=1,C19*F22*('数据-取费表'!B19/2+'数据-取费表'!B21),C19*(POWER((1+F22),('数据-取费表'!B19/2+'数据-取费表'!B21))-1)),0)</f>
        <v>174</v>
      </c>
      <c r="D24" s="278"/>
      <c r="E24" s="278"/>
      <c r="F24" s="279"/>
      <c r="G24" s="280" t="s">
        <v>109</v>
      </c>
    </row>
    <row r="25" spans="1:7" s="254" customFormat="1" ht="24">
      <c r="A25" s="948" t="s">
        <v>793</v>
      </c>
      <c r="B25" s="255" t="s">
        <v>1058</v>
      </c>
      <c r="C25" s="1352">
        <f ca="1">ROUND(IF('数据-取费表'!B22&lt;=1,C20*F22*'数据-取费表'!B23/2,C20*(POWER((1+F22),'数据-取费表'!B23/2)-1)),0)</f>
        <v>9</v>
      </c>
      <c r="D25" s="278"/>
      <c r="E25" s="281"/>
      <c r="F25" s="279"/>
      <c r="G25" s="282" t="s">
        <v>110</v>
      </c>
    </row>
    <row r="26" spans="1:7" s="254" customFormat="1">
      <c r="A26" s="948" t="s">
        <v>795</v>
      </c>
      <c r="B26" s="255" t="s">
        <v>1060</v>
      </c>
      <c r="C26" s="278">
        <f ca="1">ROUND(IF('数据-取费表'!B22&lt;=1,F21*F22*'数据-取费表'!B23/2,F21*(POWER((1+F22),'数据-取费表'!B23/2)-1)),4)</f>
        <v>5.0000000000000001E-4</v>
      </c>
      <c r="D26" s="278"/>
      <c r="E26" s="281"/>
      <c r="F26" s="279"/>
      <c r="G26" s="283"/>
    </row>
    <row r="27" spans="1:7" s="254" customFormat="1" ht="24.75">
      <c r="A27" s="945" t="s">
        <v>787</v>
      </c>
      <c r="B27" s="284" t="s">
        <v>112</v>
      </c>
      <c r="C27" s="285">
        <f>C28</f>
        <v>2136</v>
      </c>
      <c r="D27" s="275">
        <f>C29</f>
        <v>1.6999999999999999E-3</v>
      </c>
      <c r="E27" s="276" t="s">
        <v>126</v>
      </c>
      <c r="F27" s="286">
        <f>'数据-取费表'!Q16</f>
        <v>0.26</v>
      </c>
      <c r="G27" s="287" t="s">
        <v>1069</v>
      </c>
    </row>
    <row r="28" spans="1:7" s="254" customFormat="1" ht="13.5" customHeight="1">
      <c r="A28" s="948" t="s">
        <v>794</v>
      </c>
      <c r="B28" s="288" t="s">
        <v>1062</v>
      </c>
      <c r="C28" s="289">
        <f>ROUND((C5+C19+C20)*F27*'数据-取费表'!B21/'数据-取费表'!B20,0)</f>
        <v>2136</v>
      </c>
      <c r="D28" s="275"/>
      <c r="E28" s="276"/>
      <c r="F28" s="286"/>
      <c r="G28" s="287"/>
    </row>
    <row r="29" spans="1:7" s="254" customFormat="1" ht="13.5" customHeight="1">
      <c r="A29" s="948" t="s">
        <v>792</v>
      </c>
      <c r="B29" s="288" t="s">
        <v>1063</v>
      </c>
      <c r="C29" s="278">
        <f>ROUND(C21*F27*'数据-取费表'!B21/'数据-取费表'!B20,4)</f>
        <v>1.6999999999999999E-3</v>
      </c>
      <c r="D29" s="275"/>
      <c r="E29" s="276"/>
      <c r="F29" s="286"/>
      <c r="G29" s="287"/>
    </row>
    <row r="30" spans="1:7" s="254" customFormat="1" ht="13.5" customHeight="1">
      <c r="A30" s="945"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30192</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27465</v>
      </c>
      <c r="D33" s="272"/>
      <c r="E33" s="252"/>
      <c r="F33" s="281"/>
      <c r="G33" s="274"/>
    </row>
    <row r="34" spans="1:7" s="298" customFormat="1" ht="13.5" customHeight="1">
      <c r="A34" s="948" t="s">
        <v>794</v>
      </c>
      <c r="B34" s="255" t="s">
        <v>59</v>
      </c>
      <c r="C34" s="260">
        <f>IF(F34=100%,'数据-取费表'!M16-SUMIF('数据-取费表'!C:C,"公共配套",'数据-取费表'!M:M),'数据-取费表'!O16-SUMIF('数据-取费表'!C:C,"公共配套",'数据-取费表'!O:O))</f>
        <v>24879</v>
      </c>
      <c r="D34" s="257"/>
      <c r="E34" s="260"/>
      <c r="F34" s="297">
        <f>IF('数据-取费表'!B24=0,1,'数据-取费表'!N16)</f>
        <v>0.4</v>
      </c>
      <c r="G34" s="259" t="s">
        <v>116</v>
      </c>
    </row>
    <row r="35" spans="1:7" ht="13.5" customHeight="1">
      <c r="A35" s="948" t="s">
        <v>796</v>
      </c>
      <c r="B35" s="255" t="s">
        <v>60</v>
      </c>
      <c r="C35" s="260">
        <f>ROUND(C34*F35,0)</f>
        <v>746</v>
      </c>
      <c r="D35" s="260"/>
      <c r="E35" s="260"/>
      <c r="F35" s="299">
        <f>'数据-取费表'!B33</f>
        <v>0.03</v>
      </c>
      <c r="G35" s="259" t="s">
        <v>117</v>
      </c>
    </row>
    <row r="36" spans="1:7" ht="24">
      <c r="A36" s="948"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8" t="s">
        <v>798</v>
      </c>
      <c r="B37" s="255" t="s">
        <v>118</v>
      </c>
      <c r="C37" s="289">
        <f>ROUND(E37*D37*F34/10000,0)</f>
        <v>1467</v>
      </c>
      <c r="D37" s="257">
        <f>'数据-汇总表'!E3</f>
        <v>183405</v>
      </c>
      <c r="E37" s="289">
        <f>'数据-取费表'!B35</f>
        <v>200</v>
      </c>
      <c r="F37" s="299"/>
      <c r="G37" s="301" t="s">
        <v>119</v>
      </c>
    </row>
    <row r="38" spans="1:7" ht="13.5" customHeight="1">
      <c r="A38" s="948" t="s">
        <v>799</v>
      </c>
      <c r="B38" s="255" t="s">
        <v>63</v>
      </c>
      <c r="C38" s="260">
        <f>ROUND(C34*F38,0)</f>
        <v>373</v>
      </c>
      <c r="D38" s="260"/>
      <c r="E38" s="260"/>
      <c r="F38" s="299">
        <f>'数据-取费表'!B36</f>
        <v>1.4999999999999999E-2</v>
      </c>
      <c r="G38" s="259" t="s">
        <v>117</v>
      </c>
    </row>
    <row r="39" spans="1:7" s="254" customFormat="1" ht="13.5" customHeight="1">
      <c r="A39" s="945" t="s">
        <v>783</v>
      </c>
      <c r="B39" s="250" t="s">
        <v>104</v>
      </c>
      <c r="C39" s="272">
        <f>ROUND(C33*F20,0)</f>
        <v>412</v>
      </c>
      <c r="D39" s="272"/>
      <c r="E39" s="272"/>
      <c r="F39" s="273"/>
      <c r="G39" s="1286" t="s">
        <v>1071</v>
      </c>
    </row>
    <row r="40" spans="1:7" s="254" customFormat="1" ht="13.5" customHeight="1">
      <c r="A40" s="945" t="s">
        <v>784</v>
      </c>
      <c r="B40" s="250" t="s">
        <v>105</v>
      </c>
      <c r="C40" s="302">
        <f>F21</f>
        <v>0.02</v>
      </c>
      <c r="D40" s="276" t="s">
        <v>129</v>
      </c>
      <c r="E40" s="272"/>
      <c r="F40" s="273"/>
      <c r="G40" s="274" t="s">
        <v>120</v>
      </c>
    </row>
    <row r="41" spans="1:7" s="254" customFormat="1" ht="13.5" customHeight="1">
      <c r="A41" s="945" t="s">
        <v>785</v>
      </c>
      <c r="B41" s="250" t="s">
        <v>107</v>
      </c>
      <c r="C41" s="272">
        <f ca="1">ROUND(SUM(C42:C43),0)</f>
        <v>655</v>
      </c>
      <c r="D41" s="275">
        <f ca="1">C44</f>
        <v>5.0000000000000001E-4</v>
      </c>
      <c r="E41" s="276" t="s">
        <v>129</v>
      </c>
      <c r="F41" s="277"/>
      <c r="G41" s="1286" t="str">
        <f>IF('数据-取费表'!B22&lt;=1,"单利计息","复利计息")</f>
        <v>复利计息</v>
      </c>
    </row>
    <row r="42" spans="1:7" ht="13.5" customHeight="1">
      <c r="A42" s="948" t="s">
        <v>794</v>
      </c>
      <c r="B42" s="255" t="s">
        <v>1061</v>
      </c>
      <c r="C42" s="278">
        <f ca="1">ROUND(IF('数据-取费表'!B22&lt;=1,C33*F22*'数据-取费表'!B21/2,C33*(POWER((1+F22),'数据-取费表'!B21/2)-1)),0)</f>
        <v>645</v>
      </c>
      <c r="D42" s="278"/>
      <c r="E42" s="278"/>
      <c r="F42" s="279"/>
      <c r="G42" s="3121" t="s">
        <v>121</v>
      </c>
    </row>
    <row r="43" spans="1:7" ht="13.5" customHeight="1">
      <c r="A43" s="948" t="s">
        <v>792</v>
      </c>
      <c r="B43" s="255" t="s">
        <v>1064</v>
      </c>
      <c r="C43" s="278">
        <f ca="1">ROUND(IF('数据-取费表'!B22&lt;=1,C39*F22*'数据-取费表'!B21/2,C39*(POWER((1+F22),'数据-取费表'!B21/2)-1)),0)</f>
        <v>10</v>
      </c>
      <c r="D43" s="278"/>
      <c r="E43" s="278"/>
      <c r="F43" s="279"/>
      <c r="G43" s="3122"/>
    </row>
    <row r="44" spans="1:7" ht="13.5" customHeight="1">
      <c r="A44" s="948" t="s">
        <v>793</v>
      </c>
      <c r="B44" s="255" t="s">
        <v>1066</v>
      </c>
      <c r="C44" s="278">
        <f ca="1">ROUND(IF('数据-取费表'!B22&lt;=1,C40*F22*'数据-取费表'!B21/2,C40*(POWER((1+F22),'数据-取费表'!B21/2)-1)),4)</f>
        <v>5.0000000000000001E-4</v>
      </c>
      <c r="D44" s="278"/>
      <c r="E44" s="278"/>
      <c r="F44" s="279"/>
      <c r="G44" s="3123"/>
    </row>
    <row r="45" spans="1:7" s="254" customFormat="1" ht="13.5" customHeight="1">
      <c r="A45" s="945" t="s">
        <v>786</v>
      </c>
      <c r="B45" s="284" t="s">
        <v>112</v>
      </c>
      <c r="C45" s="285">
        <f>C46</f>
        <v>7248</v>
      </c>
      <c r="D45" s="275">
        <f>C47</f>
        <v>5.1999999999999998E-3</v>
      </c>
      <c r="E45" s="276" t="s">
        <v>129</v>
      </c>
      <c r="F45" s="286"/>
      <c r="G45" s="287" t="s">
        <v>1072</v>
      </c>
    </row>
    <row r="46" spans="1:7" s="254" customFormat="1" ht="13.5" customHeight="1">
      <c r="A46" s="948" t="s">
        <v>794</v>
      </c>
      <c r="B46" s="288" t="s">
        <v>1065</v>
      </c>
      <c r="C46" s="289">
        <f>ROUND((C33+C39)*F27,0)</f>
        <v>7248</v>
      </c>
      <c r="D46" s="303"/>
      <c r="E46" s="276"/>
      <c r="F46" s="286"/>
      <c r="G46" s="287"/>
    </row>
    <row r="47" spans="1:7" s="254" customFormat="1" ht="13.5" customHeight="1">
      <c r="A47" s="948" t="s">
        <v>792</v>
      </c>
      <c r="B47" s="288" t="s">
        <v>1067</v>
      </c>
      <c r="C47" s="278">
        <f>ROUND(C40*F27,4)</f>
        <v>5.1999999999999998E-3</v>
      </c>
      <c r="D47" s="303"/>
      <c r="E47" s="276"/>
      <c r="F47" s="286"/>
      <c r="G47" s="287"/>
    </row>
    <row r="48" spans="1:7" s="254" customFormat="1" ht="13.5" customHeight="1">
      <c r="A48" s="945" t="s">
        <v>787</v>
      </c>
      <c r="B48" s="250" t="s">
        <v>122</v>
      </c>
      <c r="C48" s="302">
        <f>F30</f>
        <v>5.5000000000000007E-2</v>
      </c>
      <c r="D48" s="276" t="s">
        <v>130</v>
      </c>
      <c r="E48" s="272"/>
      <c r="F48" s="277"/>
      <c r="G48" s="274" t="s">
        <v>123</v>
      </c>
    </row>
    <row r="49" spans="1:7" ht="16.5" customHeight="1">
      <c r="A49" s="945" t="s">
        <v>788</v>
      </c>
      <c r="B49" s="250" t="s">
        <v>131</v>
      </c>
      <c r="C49" s="272">
        <f ca="1">ROUND((C33+C39+C41+C45)/(1-C40-D41-D45-C48/(1+'数据-取费表'!B42)),0)</f>
        <v>38810</v>
      </c>
      <c r="D49" s="272"/>
      <c r="E49" s="272"/>
      <c r="F49" s="304"/>
      <c r="G49" s="274" t="s">
        <v>1073</v>
      </c>
    </row>
    <row r="50" spans="1:7" s="298" customFormat="1" ht="24">
      <c r="A50" s="945" t="s">
        <v>789</v>
      </c>
      <c r="B50" s="250" t="s">
        <v>124</v>
      </c>
      <c r="C50" s="272"/>
      <c r="D50" s="272"/>
      <c r="E50" s="272"/>
      <c r="F50" s="304">
        <f>IF('数据-取费表'!B24=0,'数据-取费表'!N16,1)</f>
        <v>1</v>
      </c>
      <c r="G50" s="287" t="s">
        <v>125</v>
      </c>
    </row>
    <row r="51" spans="1:7" ht="16.5" customHeight="1">
      <c r="A51" s="945" t="s">
        <v>790</v>
      </c>
      <c r="B51" s="250" t="s">
        <v>132</v>
      </c>
      <c r="C51" s="272">
        <f ca="1">ROUND(C49*F50,0)</f>
        <v>38810</v>
      </c>
      <c r="D51" s="272"/>
      <c r="E51" s="272"/>
      <c r="F51" s="304"/>
      <c r="G51" s="274" t="s">
        <v>64</v>
      </c>
    </row>
    <row r="52" spans="1:7" s="248" customFormat="1" ht="16.5" thickBot="1">
      <c r="A52" s="305" t="s">
        <v>65</v>
      </c>
      <c r="B52" s="306"/>
      <c r="C52" s="307">
        <f ca="1">C31+C51</f>
        <v>69002</v>
      </c>
      <c r="D52" s="306"/>
      <c r="E52" s="306"/>
      <c r="F52" s="306"/>
      <c r="G52" s="308"/>
    </row>
    <row r="55" spans="1:7" ht="15">
      <c r="B55" s="310" t="s">
        <v>66</v>
      </c>
      <c r="C55" s="311"/>
    </row>
    <row r="56" spans="1:7">
      <c r="B56" s="313" t="s">
        <v>67</v>
      </c>
      <c r="C56" s="314">
        <f ca="1">ROUND(C51/C52,3)</f>
        <v>0.56200000000000006</v>
      </c>
    </row>
    <row r="57" spans="1:7">
      <c r="B57" s="313" t="s">
        <v>68</v>
      </c>
      <c r="C57" s="315">
        <f ca="1">1-C56</f>
        <v>0.43799999999999994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56" t="s">
        <v>156</v>
      </c>
      <c r="B1" s="3256"/>
      <c r="C1" s="3256"/>
      <c r="D1" s="3256"/>
      <c r="E1" s="3256"/>
      <c r="F1" s="3256"/>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57" t="s">
        <v>169</v>
      </c>
      <c r="B2" s="3257"/>
      <c r="C2" s="3257"/>
      <c r="D2" s="3257"/>
      <c r="E2" s="3257"/>
      <c r="F2" s="3257"/>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58"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59"/>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56" t="s">
        <v>871</v>
      </c>
      <c r="B1" s="3256"/>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43237</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51" workbookViewId="0">
      <selection activeCell="O281" sqref="O281"/>
    </sheetView>
  </sheetViews>
  <sheetFormatPr defaultRowHeight="13.5"/>
  <sheetData/>
  <phoneticPr fontId="143"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58" t="str">
        <f>IF(项目基本情况!B9="房地产市场价值","估价结果一览表","结果表-2")</f>
        <v>结果表-2</v>
      </c>
      <c r="B1" s="2958"/>
      <c r="C1" s="2958"/>
      <c r="D1" s="2958"/>
      <c r="E1" s="2958"/>
      <c r="F1" s="2958"/>
      <c r="G1" s="2958"/>
      <c r="H1" s="2958"/>
      <c r="I1" s="2958"/>
    </row>
    <row r="2" spans="1:9" ht="30" customHeight="1" thickTop="1">
      <c r="A2" s="2959" t="s">
        <v>1641</v>
      </c>
      <c r="B2" s="2959" t="s">
        <v>1642</v>
      </c>
      <c r="C2" s="2959" t="s">
        <v>1643</v>
      </c>
      <c r="D2" s="2959" t="str">
        <f>结果表!D116</f>
        <v>出让国有建设用地使用权价值</v>
      </c>
      <c r="E2" s="2959"/>
      <c r="F2" s="2959" t="str">
        <f>结果表!F116</f>
        <v>在建建筑物价值</v>
      </c>
      <c r="G2" s="2959"/>
      <c r="H2" s="2959" t="str">
        <f>IF(项目基本情况!B9="房地产市场价值","房地产市场价值","房地产价值")</f>
        <v>房地产价值</v>
      </c>
      <c r="I2" s="2959"/>
    </row>
    <row r="3" spans="1:9" ht="15">
      <c r="A3" s="2953"/>
      <c r="B3" s="2953"/>
      <c r="C3" s="2953"/>
      <c r="D3" s="1041" t="s">
        <v>1638</v>
      </c>
      <c r="E3" s="1041" t="s">
        <v>1644</v>
      </c>
      <c r="F3" s="1041" t="s">
        <v>1638</v>
      </c>
      <c r="G3" s="1041" t="s">
        <v>1639</v>
      </c>
      <c r="H3" s="1041" t="s">
        <v>1638</v>
      </c>
      <c r="I3" s="1041" t="s">
        <v>1639</v>
      </c>
    </row>
    <row r="4" spans="1:9" ht="30">
      <c r="A4" s="1970" t="str">
        <f>项目基本情况!S2</f>
        <v>北京市大兴区北臧村生物医药基地DX00-0502-0013地块出让国有建设用地使用权及在建建筑物房地产</v>
      </c>
      <c r="B4" s="1041">
        <f>项目基本情况!C17</f>
        <v>183405</v>
      </c>
      <c r="C4" s="1041">
        <f>项目基本情况!C18</f>
        <v>43974.38</v>
      </c>
      <c r="D4" s="1041">
        <f ca="1">结果表!D118</f>
        <v>257297</v>
      </c>
      <c r="E4" s="1041">
        <f ca="1">结果表!E118</f>
        <v>14029</v>
      </c>
      <c r="F4" s="1041">
        <f ca="1">结果表!F118</f>
        <v>23595</v>
      </c>
      <c r="G4" s="1041">
        <f ca="1">结果表!G118</f>
        <v>1286</v>
      </c>
      <c r="H4" s="1041">
        <f ca="1">结果表!H118</f>
        <v>280892</v>
      </c>
      <c r="I4" s="1041">
        <f ca="1">结果表!I118</f>
        <v>15315</v>
      </c>
    </row>
    <row r="5" spans="1:9" ht="30" customHeight="1">
      <c r="A5" s="2953" t="s">
        <v>1640</v>
      </c>
      <c r="B5" s="2953"/>
      <c r="C5" s="2953"/>
      <c r="D5" s="2954" t="str">
        <f ca="1">结果表!D119</f>
        <v>贰拾伍亿柒仟贰佰玖拾柒万元整</v>
      </c>
      <c r="E5" s="2954"/>
      <c r="F5" s="2954" t="str">
        <f ca="1">结果表!F119</f>
        <v>贰亿叁仟伍佰玖拾伍万元整</v>
      </c>
      <c r="G5" s="2954"/>
      <c r="H5" s="2954" t="str">
        <f ca="1">结果表!H119</f>
        <v>贰拾捌亿零捌佰玖拾贰万元整</v>
      </c>
      <c r="I5" s="2954"/>
    </row>
    <row r="6" spans="1:9" ht="15.75">
      <c r="A6" s="2952" t="str">
        <f>结果表!A120</f>
        <v>估价师知悉的法定优先受偿款</v>
      </c>
      <c r="B6" s="2952"/>
      <c r="C6" s="2952"/>
      <c r="D6" s="2952">
        <f>结果表!D120</f>
        <v>0</v>
      </c>
      <c r="E6" s="2952"/>
      <c r="F6" s="2952"/>
      <c r="G6" s="2952"/>
      <c r="H6" s="2952"/>
      <c r="I6" s="2952"/>
    </row>
    <row r="7" spans="1:9" ht="15">
      <c r="A7" s="2953" t="s">
        <v>1640</v>
      </c>
      <c r="B7" s="2953"/>
      <c r="C7" s="2953"/>
      <c r="D7" s="2955" t="str">
        <f>结果表!D121</f>
        <v>零元整</v>
      </c>
      <c r="E7" s="2956"/>
      <c r="F7" s="2956"/>
      <c r="G7" s="2956"/>
      <c r="H7" s="2956"/>
      <c r="I7" s="2957"/>
    </row>
    <row r="8" spans="1:9" ht="15.75">
      <c r="A8" s="2952" t="str">
        <f>结果表!A122</f>
        <v>房地产抵押价值</v>
      </c>
      <c r="B8" s="2952"/>
      <c r="C8" s="2952"/>
      <c r="D8" s="2952">
        <f ca="1">结果表!D122</f>
        <v>280892</v>
      </c>
      <c r="E8" s="2952"/>
      <c r="F8" s="2952"/>
      <c r="G8" s="2952"/>
      <c r="H8" s="2952"/>
      <c r="I8" s="2952"/>
    </row>
    <row r="9" spans="1:9" ht="15">
      <c r="A9" s="2953" t="s">
        <v>1640</v>
      </c>
      <c r="B9" s="2953"/>
      <c r="C9" s="2953"/>
      <c r="D9" s="2954" t="str">
        <f ca="1">结果表!D123</f>
        <v>贰拾捌亿零捌佰玖拾贰万元整</v>
      </c>
      <c r="E9" s="2954"/>
      <c r="F9" s="2954"/>
      <c r="G9" s="2954"/>
      <c r="H9" s="2954"/>
      <c r="I9" s="2954"/>
    </row>
    <row r="10" spans="1:9" ht="15.75">
      <c r="A10" s="2952" t="str">
        <f>结果表!A124</f>
        <v/>
      </c>
      <c r="B10" s="2952"/>
      <c r="C10" s="2952"/>
      <c r="D10" s="2952" t="str">
        <f>结果表!D124</f>
        <v>——</v>
      </c>
      <c r="E10" s="2952"/>
      <c r="F10" s="2952"/>
      <c r="G10" s="2952"/>
      <c r="H10" s="2952"/>
      <c r="I10" s="2952"/>
    </row>
    <row r="11" spans="1:9" ht="15">
      <c r="A11" s="2953" t="s">
        <v>1640</v>
      </c>
      <c r="B11" s="2953"/>
      <c r="C11" s="2953"/>
      <c r="D11" s="2954" t="e">
        <f>结果表!D125</f>
        <v>#VALUE!</v>
      </c>
      <c r="E11" s="2954"/>
      <c r="F11" s="2954"/>
      <c r="G11" s="2954"/>
      <c r="H11" s="2954"/>
      <c r="I11" s="2954"/>
    </row>
    <row r="12" spans="1:9" ht="15.75">
      <c r="A12" s="2952" t="str">
        <f>结果表!A126</f>
        <v/>
      </c>
      <c r="B12" s="2952"/>
      <c r="C12" s="2952"/>
      <c r="D12" s="2952" t="str">
        <f>结果表!D126</f>
        <v>——</v>
      </c>
      <c r="E12" s="2952"/>
      <c r="F12" s="2952"/>
      <c r="G12" s="2952"/>
      <c r="H12" s="2952"/>
      <c r="I12" s="2952"/>
    </row>
    <row r="13" spans="1:9" ht="15.75" thickBot="1">
      <c r="A13" s="2949" t="s">
        <v>1640</v>
      </c>
      <c r="B13" s="2949"/>
      <c r="C13" s="2949"/>
      <c r="D13" s="2950" t="e">
        <f>结果表!D127</f>
        <v>#VALUE!</v>
      </c>
      <c r="E13" s="2950"/>
      <c r="F13" s="2950"/>
      <c r="G13" s="2950"/>
      <c r="H13" s="2950"/>
      <c r="I13" s="2950"/>
    </row>
    <row r="14" spans="1:9" ht="15" thickTop="1">
      <c r="A14" s="2951" t="s">
        <v>1645</v>
      </c>
      <c r="B14" s="2951"/>
      <c r="C14" s="2951"/>
      <c r="D14" s="2951"/>
      <c r="E14" s="2951"/>
      <c r="F14" s="2951"/>
      <c r="G14" s="2951"/>
      <c r="H14" s="2951"/>
      <c r="I14" s="295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66" t="s">
        <v>1662</v>
      </c>
      <c r="B1" s="2966"/>
      <c r="C1" s="2966"/>
      <c r="D1" s="2966"/>
    </row>
    <row r="2" spans="1:4" ht="18">
      <c r="A2" s="2967" t="s">
        <v>1646</v>
      </c>
      <c r="B2" s="2967"/>
      <c r="C2" s="2967"/>
      <c r="D2" s="2967"/>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2967" t="s">
        <v>1652</v>
      </c>
      <c r="B6" s="2967"/>
      <c r="C6" s="2967"/>
      <c r="D6" s="2967"/>
    </row>
    <row r="7" spans="1:4" ht="18.75">
      <c r="A7" s="1974" t="s">
        <v>1647</v>
      </c>
      <c r="B7" s="1976" t="s">
        <v>1653</v>
      </c>
      <c r="C7" s="1974" t="s">
        <v>1649</v>
      </c>
      <c r="D7" s="1974" t="s">
        <v>1650</v>
      </c>
    </row>
    <row r="8" spans="1:4" ht="56.25" customHeight="1">
      <c r="A8" s="1980" t="s">
        <v>869</v>
      </c>
      <c r="B8" s="1980" t="s">
        <v>1</v>
      </c>
      <c r="C8" s="1977"/>
      <c r="D8" s="1978" t="s">
        <v>1651</v>
      </c>
    </row>
    <row r="9" spans="1:4">
      <c r="A9" s="722"/>
      <c r="B9" s="722"/>
      <c r="C9" s="722"/>
      <c r="D9" s="722"/>
    </row>
    <row r="10" spans="1:4" ht="18.75">
      <c r="A10" s="1981" t="s">
        <v>1654</v>
      </c>
      <c r="B10" s="722"/>
      <c r="C10" s="722"/>
      <c r="D10" s="722"/>
    </row>
    <row r="11" spans="1:4" ht="30" customHeight="1">
      <c r="A11" s="2968" t="s">
        <v>1655</v>
      </c>
      <c r="B11" s="2960"/>
      <c r="C11" s="2960"/>
      <c r="D11" s="2960"/>
    </row>
    <row r="12" spans="1:4" ht="15.75">
      <c r="A12" s="29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5"/>
      <c r="C12" s="2965"/>
      <c r="D12" s="2965"/>
    </row>
    <row r="13" spans="1:4" ht="30" customHeight="1">
      <c r="A13" s="29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5"/>
      <c r="C13" s="2965"/>
      <c r="D13" s="2965"/>
    </row>
    <row r="14" spans="1:4" ht="15.75" customHeight="1">
      <c r="A14" s="2960" t="str">
        <f>IF(项目基本情况!B8="抵押","4.本次评估估价师所知悉的法定优先受偿款情况说明如下：","——")</f>
        <v>4.本次评估估价师所知悉的法定优先受偿款情况说明如下：</v>
      </c>
      <c r="B14" s="2965"/>
      <c r="C14" s="2965"/>
      <c r="D14" s="2965"/>
    </row>
    <row r="15" spans="1:4" ht="42" customHeight="1">
      <c r="A15" s="2960"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0"/>
      <c r="C15" s="2960"/>
      <c r="D15" s="2960"/>
    </row>
    <row r="16" spans="1:4" ht="30" customHeight="1">
      <c r="A16" s="2962" t="s">
        <v>1656</v>
      </c>
      <c r="B16" s="2962"/>
      <c r="C16" s="2962"/>
      <c r="D16" s="2962"/>
    </row>
    <row r="17" spans="1:4" ht="144" customHeight="1">
      <c r="A17" s="2962" t="s">
        <v>1657</v>
      </c>
      <c r="B17" s="2962"/>
      <c r="C17" s="2962"/>
      <c r="D17" s="2962"/>
    </row>
    <row r="18" spans="1:4" ht="15.75" customHeight="1">
      <c r="A18" s="2960" t="str">
        <f>IF(项目基本情况!B8="抵押",结果表!K120,"——")</f>
        <v>故，本次评估不存在估价师知悉的法定优先受偿款</v>
      </c>
      <c r="B18" s="2960"/>
      <c r="C18" s="2960"/>
      <c r="D18" s="2960"/>
    </row>
    <row r="19" spans="1:4" ht="46.5" customHeight="1">
      <c r="A19" s="29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0"/>
      <c r="C19" s="2960"/>
      <c r="D19" s="2960"/>
    </row>
    <row r="20" spans="1:4" ht="57.75" customHeight="1">
      <c r="A20" s="29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0"/>
      <c r="C20" s="2960"/>
      <c r="D20" s="2960"/>
    </row>
    <row r="21" spans="1:4" ht="57.75" customHeight="1">
      <c r="A21" s="29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3"/>
      <c r="C21" s="2963"/>
      <c r="D21" s="2963"/>
    </row>
    <row r="22" spans="1:4" ht="18.75" customHeight="1">
      <c r="A22" s="2964" t="s">
        <v>1658</v>
      </c>
      <c r="B22" s="2964"/>
      <c r="C22" s="2964"/>
      <c r="D22" s="2964"/>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61">
        <v>42551</v>
      </c>
      <c r="D31" s="29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74" t="s">
        <v>1669</v>
      </c>
      <c r="B15" s="2969" t="s">
        <v>136</v>
      </c>
      <c r="C15" s="2970"/>
    </row>
    <row r="16" spans="1:7" ht="13.5">
      <c r="A16" s="2975"/>
      <c r="B16" s="2969" t="s">
        <v>69</v>
      </c>
      <c r="C16" s="2970"/>
    </row>
    <row r="17" spans="1:3" ht="13.5">
      <c r="A17" s="2975"/>
      <c r="B17" s="2972" t="s">
        <v>1670</v>
      </c>
      <c r="C17" s="1997" t="s">
        <v>1669</v>
      </c>
    </row>
    <row r="18" spans="1:3" ht="13.5">
      <c r="A18" s="2975"/>
      <c r="B18" s="2972"/>
      <c r="C18" s="1997" t="s">
        <v>1671</v>
      </c>
    </row>
    <row r="19" spans="1:3" ht="13.5">
      <c r="A19" s="2975"/>
      <c r="B19" s="2972"/>
      <c r="C19" s="1997" t="s">
        <v>1672</v>
      </c>
    </row>
    <row r="20" spans="1:3" ht="13.5">
      <c r="A20" s="2976"/>
      <c r="B20" s="2971" t="s">
        <v>1673</v>
      </c>
      <c r="C20" s="2970"/>
    </row>
    <row r="21" spans="1:3" ht="13.5">
      <c r="A21" s="1998" t="s">
        <v>1674</v>
      </c>
      <c r="B21" s="1999"/>
      <c r="C21" s="2000"/>
    </row>
    <row r="22" spans="1:3" ht="13.5">
      <c r="A22" s="2973" t="s">
        <v>1675</v>
      </c>
      <c r="B22" s="2971" t="s">
        <v>1676</v>
      </c>
      <c r="C22" s="2970"/>
    </row>
    <row r="23" spans="1:3" ht="13.5">
      <c r="A23" s="2973"/>
      <c r="B23" s="2971" t="s">
        <v>1677</v>
      </c>
      <c r="C23" s="2970"/>
    </row>
    <row r="24" spans="1:3" ht="13.5">
      <c r="A24" s="2973"/>
      <c r="B24" s="2971" t="s">
        <v>1678</v>
      </c>
      <c r="C24" s="2970"/>
    </row>
    <row r="25" spans="1:3" ht="13.5">
      <c r="A25" s="2973"/>
      <c r="B25" s="2972" t="s">
        <v>1679</v>
      </c>
      <c r="C25" s="1997" t="s">
        <v>1680</v>
      </c>
    </row>
    <row r="26" spans="1:3" ht="13.5">
      <c r="A26" s="2973"/>
      <c r="B26" s="2972"/>
      <c r="C26" s="1997" t="s">
        <v>1681</v>
      </c>
    </row>
    <row r="27" spans="1:3" ht="13.5">
      <c r="A27" s="2973"/>
      <c r="B27" s="2972"/>
      <c r="C27" s="1997" t="s">
        <v>1682</v>
      </c>
    </row>
    <row r="28" spans="1:3" ht="13.5">
      <c r="A28" s="2973"/>
      <c r="B28" s="2972"/>
      <c r="C28" s="1997" t="s">
        <v>1683</v>
      </c>
    </row>
    <row r="29" spans="1:3" ht="13.5">
      <c r="A29" s="2973"/>
      <c r="B29" s="2972"/>
      <c r="C29" s="1997" t="s">
        <v>1684</v>
      </c>
    </row>
    <row r="30" spans="1:3" ht="13.5">
      <c r="A30" s="2973"/>
      <c r="B30" s="2972"/>
      <c r="C30" s="1997" t="s">
        <v>1685</v>
      </c>
    </row>
    <row r="31" spans="1:3" ht="13.5">
      <c r="A31" s="2973"/>
      <c r="B31" s="2972"/>
      <c r="C31" s="1997" t="s">
        <v>1686</v>
      </c>
    </row>
    <row r="32" spans="1:3" ht="13.5">
      <c r="A32" s="2973"/>
      <c r="B32" s="2972"/>
      <c r="C32" s="1997" t="s">
        <v>1687</v>
      </c>
    </row>
    <row r="33" spans="1:3" ht="13.5">
      <c r="A33" s="2973"/>
      <c r="B33" s="2972"/>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43237</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43359</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f ca="1">IF(C10&lt;B2,"已过期",1120060040)</f>
        <v>1120060040</v>
      </c>
      <c r="C10" s="2343">
        <v>43483</v>
      </c>
      <c r="D10" s="2346" t="s">
        <v>838</v>
      </c>
      <c r="E10" s="1019">
        <f ca="1">IF(F10&lt;B2,"已过期",2004110096)</f>
        <v>2004110096</v>
      </c>
      <c r="F10" s="1027">
        <v>47118</v>
      </c>
    </row>
    <row r="11" spans="1:6" ht="24" customHeight="1">
      <c r="A11" s="1699" t="s">
        <v>839</v>
      </c>
      <c r="B11" s="1019">
        <f ca="1">IF(C11&lt;B2,"已过期",1120100036)</f>
        <v>1120100036</v>
      </c>
      <c r="C11" s="2343">
        <v>43622</v>
      </c>
      <c r="D11" s="2346" t="s">
        <v>839</v>
      </c>
      <c r="E11" s="1019">
        <f ca="1">IF(F11&lt;B2,"已过期",2010110070)</f>
        <v>2010110070</v>
      </c>
      <c r="F11" s="1027">
        <v>47907</v>
      </c>
    </row>
    <row r="12" spans="1:6" ht="24" customHeight="1">
      <c r="A12" s="1699" t="s">
        <v>3031</v>
      </c>
      <c r="B12" s="1019">
        <v>1120110054</v>
      </c>
      <c r="C12" s="2937">
        <v>43937</v>
      </c>
      <c r="D12" s="1699" t="s">
        <v>3031</v>
      </c>
      <c r="E12" s="1019">
        <v>2008110060</v>
      </c>
      <c r="F12" s="1027">
        <v>47177</v>
      </c>
    </row>
    <row r="13" spans="1:6" ht="24" customHeight="1">
      <c r="A13" s="1699" t="s">
        <v>840</v>
      </c>
      <c r="B13" s="1019">
        <f ca="1">IF(C13&lt;B2,"已过期",1120070131)</f>
        <v>1120070131</v>
      </c>
      <c r="C13" s="2343">
        <v>43814</v>
      </c>
      <c r="D13" s="2346" t="s">
        <v>840</v>
      </c>
      <c r="E13" s="1019">
        <v>2014110011</v>
      </c>
      <c r="F13" s="1027">
        <v>49302</v>
      </c>
    </row>
    <row r="14" spans="1:6" ht="24" customHeight="1">
      <c r="A14" s="1699" t="s">
        <v>841</v>
      </c>
      <c r="B14" s="1019">
        <f ca="1">IF(C14&lt;B2,"已过期",1120130020)</f>
        <v>1120130020</v>
      </c>
      <c r="C14" s="2343">
        <v>43622</v>
      </c>
      <c r="D14" s="2346"/>
      <c r="E14" s="1019"/>
      <c r="F14" s="1019"/>
    </row>
    <row r="15" spans="1:6" ht="24" customHeight="1">
      <c r="A15" s="1700" t="s">
        <v>1149</v>
      </c>
      <c r="B15" s="1019">
        <v>1120070085</v>
      </c>
      <c r="C15" s="2343">
        <v>43814</v>
      </c>
      <c r="D15" s="2347" t="s">
        <v>1149</v>
      </c>
      <c r="E15" s="1019">
        <v>2004110128</v>
      </c>
      <c r="F15" s="1020">
        <v>47118</v>
      </c>
    </row>
    <row r="16" spans="1:6" ht="24" customHeight="1">
      <c r="A16" s="1699" t="s">
        <v>842</v>
      </c>
      <c r="B16" s="1019">
        <f ca="1">IF(C16&lt;B2,"已过期",1120140022)</f>
        <v>1120140022</v>
      </c>
      <c r="C16" s="2343">
        <v>44029</v>
      </c>
      <c r="D16" s="2346" t="s">
        <v>842</v>
      </c>
      <c r="E16" s="1019">
        <f ca="1">IF(F16&lt;B2,"已过期",2008110059)</f>
        <v>2008110059</v>
      </c>
      <c r="F16" s="1027">
        <v>47177</v>
      </c>
    </row>
    <row r="17" spans="1:7" ht="24" customHeight="1">
      <c r="A17" s="1699"/>
      <c r="B17" s="1019"/>
      <c r="C17" s="2343"/>
      <c r="D17" s="2346"/>
      <c r="E17" s="1019"/>
      <c r="F17" s="1027"/>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843</v>
      </c>
      <c r="E21" s="1019">
        <f ca="1">IF(F21&lt;B2,"已过期",2011110090)</f>
        <v>2011110090</v>
      </c>
      <c r="F21" s="1027">
        <v>48302</v>
      </c>
    </row>
    <row r="22" spans="1:7" ht="24" customHeight="1">
      <c r="A22" s="1699" t="s">
        <v>844</v>
      </c>
      <c r="B22" s="1019">
        <f ca="1">IF(C22&lt;B2,"已过期",1120020033)</f>
        <v>1120020033</v>
      </c>
      <c r="C22" s="2343">
        <v>43304</v>
      </c>
      <c r="D22" s="2346" t="s">
        <v>844</v>
      </c>
      <c r="E22" s="1019">
        <f ca="1">IF(F22&lt;B2,"已过期",2000110137)</f>
        <v>2000110137</v>
      </c>
      <c r="F22" s="1027">
        <v>46387</v>
      </c>
    </row>
    <row r="23" spans="1:7" ht="24" customHeight="1">
      <c r="A23" s="1699" t="s">
        <v>845</v>
      </c>
      <c r="B23" s="1019">
        <f ca="1">IF(C23&lt;B2,"已过期",1120130048)</f>
        <v>1120130048</v>
      </c>
      <c r="C23" s="2343">
        <v>43686</v>
      </c>
      <c r="D23" s="2346"/>
      <c r="E23" s="1019"/>
      <c r="F23" s="1019"/>
    </row>
    <row r="24" spans="1:7" s="1021" customFormat="1" ht="24" customHeight="1">
      <c r="A24" s="1700" t="s">
        <v>1333</v>
      </c>
      <c r="B24" s="1700" t="s">
        <v>1333</v>
      </c>
      <c r="C24" s="2344" t="s">
        <v>1333</v>
      </c>
      <c r="D24" s="2347" t="s">
        <v>1333</v>
      </c>
      <c r="E24" s="1700" t="s">
        <v>1333</v>
      </c>
      <c r="F24" s="1700" t="s">
        <v>1333</v>
      </c>
    </row>
    <row r="25" spans="1:7" ht="24" customHeight="1">
      <c r="A25" s="2977" t="s">
        <v>846</v>
      </c>
      <c r="B25" s="2977"/>
      <c r="C25" s="2977"/>
      <c r="D25" s="2977"/>
      <c r="E25" s="2977"/>
      <c r="F25" s="2977"/>
      <c r="G25" s="2977"/>
    </row>
    <row r="26" spans="1:7" s="1022" customFormat="1" ht="24" customHeight="1">
      <c r="A26" s="2978" t="s">
        <v>847</v>
      </c>
      <c r="B26" s="2978"/>
      <c r="C26" s="2979"/>
      <c r="D26" s="2980" t="s">
        <v>848</v>
      </c>
      <c r="E26" s="2978"/>
      <c r="F26" s="2978"/>
    </row>
    <row r="27" spans="1:7" s="1024" customFormat="1" ht="24" customHeight="1">
      <c r="A27" s="1023" t="s">
        <v>849</v>
      </c>
      <c r="B27" s="1018" t="s">
        <v>850</v>
      </c>
      <c r="C27" s="2342" t="s">
        <v>851</v>
      </c>
      <c r="D27" s="2350" t="s">
        <v>849</v>
      </c>
      <c r="E27" s="1018" t="s">
        <v>850</v>
      </c>
      <c r="F27" s="1018" t="s">
        <v>851</v>
      </c>
    </row>
    <row r="28" spans="1:7" s="1024" customFormat="1" ht="24" customHeight="1">
      <c r="A28" s="1025" t="s">
        <v>852</v>
      </c>
      <c r="B28" s="1026" t="s">
        <v>853</v>
      </c>
      <c r="C28" s="2348">
        <v>43725</v>
      </c>
      <c r="D28" s="2351" t="s">
        <v>854</v>
      </c>
      <c r="E28" s="1025" t="s">
        <v>855</v>
      </c>
      <c r="F28" s="1055">
        <v>44377</v>
      </c>
    </row>
    <row r="29" spans="1:7" s="1024" customFormat="1" ht="24" customHeight="1">
      <c r="A29" s="1025"/>
      <c r="B29" s="1025"/>
      <c r="C29" s="2349"/>
      <c r="D29" s="2351"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比较法-办公</vt:lpstr>
      <vt:lpstr>收益法</vt:lpstr>
      <vt:lpstr>土地案例</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2018-05-17T04:25:06Z</cp:lastPrinted>
  <dcterms:created xsi:type="dcterms:W3CDTF">2015-07-13T07:17:23Z</dcterms:created>
  <dcterms:modified xsi:type="dcterms:W3CDTF">2018-05-17T05:53:35Z</dcterms:modified>
</cp:coreProperties>
</file>