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7" i="1"/>
  <c r="N7" i="1"/>
  <c r="C6" i="68"/>
  <c r="K22" i="1"/>
  <c r="M22" i="1"/>
  <c r="L22" i="1" s="1"/>
  <c r="M21" i="1"/>
  <c r="M20" i="1"/>
  <c r="K21" i="1"/>
  <c r="K20" i="1"/>
  <c r="L14" i="1" l="1"/>
  <c r="N14" i="1"/>
  <c r="F13" i="4"/>
  <c r="B59" i="1"/>
  <c r="G20" i="6"/>
  <c r="F19" i="6"/>
  <c r="AN17" i="3"/>
  <c r="AL15" i="3"/>
  <c r="I15" i="3"/>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M28" i="15"/>
  <c r="F7" i="73"/>
  <c r="M24" i="67"/>
  <c r="F16" i="67"/>
  <c r="M26" i="15"/>
  <c r="F20" i="31"/>
  <c r="D7" i="73"/>
  <c r="M29" i="67"/>
  <c r="M9" i="15"/>
  <c r="E2" i="69"/>
  <c r="F4" i="73"/>
  <c r="F9" i="15"/>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D3" i="73"/>
  <c r="B12" i="76"/>
  <c r="F40" i="15"/>
  <c r="L48" i="67"/>
  <c r="F36" i="15"/>
  <c r="F6" i="73"/>
  <c r="F6" i="15"/>
  <c r="F13" i="67"/>
  <c r="F13" i="15"/>
  <c r="F38" i="67"/>
  <c r="M22" i="67"/>
  <c r="F7" i="1" l="1"/>
  <c r="G7" i="1" s="1"/>
  <c r="G16" i="1" s="1"/>
  <c r="F10" i="39" s="1"/>
  <c r="C21" i="68"/>
  <c r="C40" i="69"/>
  <c r="BL5" i="3"/>
  <c r="G28" i="6"/>
  <c r="F29" i="6"/>
  <c r="E29" i="6" s="1"/>
  <c r="K15" i="1" s="1"/>
  <c r="BB5" i="3"/>
  <c r="BA5" i="3"/>
  <c r="H5" i="3"/>
  <c r="G13" i="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F27" i="69"/>
  <c r="C36" i="69"/>
  <c r="D9" i="68"/>
  <c r="C16" i="15"/>
  <c r="G1" i="73"/>
  <c r="C16" i="67"/>
  <c r="H26" i="43" l="1"/>
  <c r="E26" i="43"/>
  <c r="K16" i="1"/>
  <c r="N94" i="46"/>
  <c r="J26" i="43"/>
  <c r="P6" i="1"/>
  <c r="C13" i="12" s="1"/>
  <c r="G5" i="3"/>
  <c r="B3" i="3" s="1"/>
  <c r="N370" i="46"/>
  <c r="G26" i="43"/>
  <c r="D26" i="43" s="1"/>
  <c r="C25" i="43" s="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3" i="3" l="1"/>
  <c r="AT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0" i="3"/>
  <c r="E241" i="3"/>
  <c r="E349" i="3"/>
  <c r="E544" i="3"/>
  <c r="E59" i="3"/>
  <c r="E484" i="3"/>
  <c r="E412" i="3"/>
  <c r="E18" i="3"/>
  <c r="E96" i="3"/>
  <c r="E38" i="3"/>
  <c r="E100" i="3"/>
  <c r="E170" i="3"/>
  <c r="E137" i="3"/>
  <c r="E194" i="3"/>
  <c r="E234" i="3"/>
  <c r="E219" i="3"/>
  <c r="E299" i="3"/>
  <c r="E339" i="3"/>
  <c r="E325" i="3"/>
  <c r="E392" i="3"/>
  <c r="AQ6" i="3"/>
  <c r="E35" i="3"/>
  <c r="E86" i="3"/>
  <c r="E34" i="3"/>
  <c r="E49" i="3"/>
  <c r="E206" i="3"/>
  <c r="E232" i="3"/>
  <c r="E251" i="3"/>
  <c r="E370" i="3"/>
  <c r="AF6" i="3"/>
  <c r="E50" i="3"/>
  <c r="E20" i="3"/>
  <c r="E62" i="3"/>
  <c r="E176" i="3"/>
  <c r="E218" i="3"/>
  <c r="E265" i="3"/>
  <c r="E365" i="3"/>
  <c r="E524" i="3"/>
  <c r="E101" i="3"/>
  <c r="E539" i="3"/>
  <c r="E536" i="3"/>
  <c r="E148" i="3"/>
  <c r="E212" i="3"/>
  <c r="E199" i="3"/>
  <c r="E286" i="3"/>
  <c r="E575" i="3"/>
  <c r="E499" i="3"/>
  <c r="R6" i="3"/>
  <c r="E502" i="3"/>
  <c r="E442" i="3"/>
  <c r="E466" i="3"/>
  <c r="E541" i="3"/>
  <c r="E449" i="3"/>
  <c r="E255" i="3"/>
  <c r="I3" i="6"/>
  <c r="AP6" i="3"/>
  <c r="E554" i="3"/>
  <c r="E517" i="3"/>
  <c r="E435" i="3"/>
  <c r="E491" i="3"/>
  <c r="E417" i="3"/>
  <c r="E479" i="3"/>
  <c r="E56" i="3"/>
  <c r="E37" i="3"/>
  <c r="E95" i="3"/>
  <c r="E152" i="3"/>
  <c r="E132" i="3"/>
  <c r="E192" i="3"/>
  <c r="E258" i="3"/>
  <c r="E292" i="3"/>
  <c r="E363" i="3"/>
  <c r="E389" i="3"/>
  <c r="E76" i="3"/>
  <c r="E409" i="3"/>
  <c r="E15" i="3"/>
  <c r="E455" i="3"/>
  <c r="E79" i="3"/>
  <c r="E78" i="3"/>
  <c r="E129" i="3"/>
  <c r="E190" i="3"/>
  <c r="E174" i="3"/>
  <c r="E220" i="3"/>
  <c r="E275" i="3"/>
  <c r="E235" i="3"/>
  <c r="E324" i="3"/>
  <c r="E383" i="3"/>
  <c r="E342" i="3"/>
  <c r="E522" i="3"/>
  <c r="E52" i="3"/>
  <c r="E36" i="3"/>
  <c r="E112" i="3"/>
  <c r="E123" i="3"/>
  <c r="E147" i="3"/>
  <c r="E289" i="3"/>
  <c r="E340" i="3"/>
  <c r="E364" i="3"/>
  <c r="E102" i="3"/>
  <c r="E80" i="3"/>
  <c r="E113" i="3"/>
  <c r="E158" i="3"/>
  <c r="E287" i="3"/>
  <c r="E308"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H6" i="3" l="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44" i="11"/>
  <c r="D41" i="11" s="1"/>
  <c r="C24" i="11"/>
  <c r="C66" i="67"/>
  <c r="C60" i="67"/>
  <c r="D10" i="69"/>
  <c r="C34" i="69"/>
  <c r="D10" i="68"/>
  <c r="C17" i="15"/>
  <c r="C14" i="67"/>
  <c r="C17" i="67"/>
  <c r="B24" i="1" l="1"/>
  <c r="F34" i="11" s="1"/>
  <c r="B23" i="1"/>
  <c r="C29" i="11"/>
  <c r="D27" i="11" s="1"/>
  <c r="C29" i="68"/>
  <c r="D27" i="68" s="1"/>
  <c r="C28" i="11"/>
  <c r="C27" i="11" s="1"/>
  <c r="E6" i="3"/>
  <c r="C18" i="67"/>
  <c r="C15" i="67"/>
  <c r="H23" i="6"/>
  <c r="C30" i="43"/>
  <c r="C31" i="43"/>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C18" i="12" l="1"/>
  <c r="C23" i="68"/>
  <c r="C23" i="11"/>
  <c r="C25" i="11"/>
  <c r="C26" i="68"/>
  <c r="D22" i="68" s="1"/>
  <c r="C26" i="11"/>
  <c r="D22" i="11" s="1"/>
  <c r="F34" i="68"/>
  <c r="M59" i="15"/>
  <c r="M59" i="67"/>
  <c r="C29" i="12"/>
  <c r="D28" i="12" s="1"/>
  <c r="C26" i="12"/>
  <c r="D25" i="12"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37" i="68" l="1"/>
  <c r="C36" i="68"/>
  <c r="C34" i="68"/>
  <c r="C22" i="11"/>
  <c r="C31" i="11" s="1"/>
  <c r="J7" i="2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8" i="68" l="1"/>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3" i="68"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6" i="68" l="1"/>
  <c r="C45" i="68" s="1"/>
  <c r="C41"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C52" i="68" s="1"/>
  <c r="B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C19" i="9"/>
  <c r="D2" i="34"/>
  <c r="D2" i="35"/>
  <c r="D2" i="37"/>
  <c r="L51" i="15"/>
  <c r="C102" i="9" l="1"/>
  <c r="C21" i="9"/>
  <c r="B3" i="68"/>
  <c r="C57" i="68"/>
  <c r="C56"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C20" i="9"/>
  <c r="AO7" i="1"/>
  <c r="AO8" i="1"/>
  <c r="AO10" i="1"/>
  <c r="AO12" i="1"/>
  <c r="AO9" i="1"/>
  <c r="D35" i="9"/>
  <c r="AO11"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D19" i="9"/>
  <c r="D102" i="9" l="1"/>
  <c r="D21" i="9"/>
  <c r="D22" i="9"/>
  <c r="G19" i="9"/>
  <c r="G21" i="9" s="1"/>
  <c r="B3" i="12"/>
  <c r="D20" i="9"/>
  <c r="D103" i="9" l="1"/>
  <c r="G20" i="9"/>
  <c r="C32" i="9" s="1"/>
  <c r="C35" i="9" l="1"/>
  <c r="C34" i="9" s="1"/>
  <c r="F118" i="9" l="1"/>
  <c r="F4" i="52" s="1"/>
  <c r="B51" i="72" s="1"/>
  <c r="D118" i="9"/>
  <c r="H118" i="9"/>
  <c r="D4" i="52" l="1"/>
  <c r="B47" i="72" s="1"/>
  <c r="J118" i="9"/>
  <c r="H4" i="52"/>
  <c r="D14" i="74"/>
  <c r="H101" i="9"/>
  <c r="I118" i="9"/>
  <c r="G118" i="9"/>
  <c r="G4" i="52" s="1"/>
  <c r="B52" i="72" s="1"/>
  <c r="C104" i="9"/>
  <c r="D119" i="9"/>
  <c r="D5" i="52" s="1"/>
  <c r="B49" i="72" s="1"/>
  <c r="F119" i="9"/>
  <c r="F5" i="52" s="1"/>
  <c r="B53" i="72" s="1"/>
  <c r="H119" i="9"/>
  <c r="H5" i="52" s="1"/>
  <c r="E14" i="74" l="1"/>
  <c r="B5" i="74"/>
  <c r="D5" i="74" s="1"/>
  <c r="F14" i="74"/>
  <c r="I4" i="52"/>
  <c r="E118" i="9"/>
  <c r="E4" i="52" s="1"/>
  <c r="B48" i="72" s="1"/>
  <c r="C105" i="9"/>
  <c r="H102" i="9"/>
  <c r="M48" i="9"/>
  <c r="D5" i="53"/>
  <c r="D45" i="9"/>
  <c r="H107" i="9"/>
  <c r="B20" i="72" l="1"/>
  <c r="D6" i="53"/>
  <c r="B22" i="72" s="1"/>
  <c r="H108" i="9"/>
  <c r="M49" i="9"/>
  <c r="D13" i="53"/>
  <c r="D122" i="9"/>
  <c r="G14" i="74" s="1"/>
  <c r="B6" i="74" s="1"/>
  <c r="D6" i="74" s="1"/>
  <c r="C5" i="74"/>
  <c r="D7" i="53"/>
  <c r="B21" i="72" s="1"/>
  <c r="D53" i="9"/>
  <c r="C78" i="9"/>
  <c r="C73" i="9" s="1"/>
  <c r="C64" i="9"/>
  <c r="C63" i="9" s="1"/>
  <c r="C67" i="9" s="1"/>
  <c r="D52" i="9"/>
  <c r="C93" i="9"/>
  <c r="C86" i="9" s="1"/>
  <c r="C72" i="9"/>
  <c r="C85" i="9"/>
  <c r="D55" i="9"/>
  <c r="M53" i="9" s="1"/>
  <c r="C95" i="9" l="1"/>
  <c r="C79" i="9"/>
  <c r="C80" i="9" s="1"/>
  <c r="E80" i="9" s="1"/>
  <c r="E81" i="9" s="1"/>
  <c r="D8" i="52"/>
  <c r="D123" i="9"/>
  <c r="D9" i="52" s="1"/>
  <c r="L68" i="9"/>
  <c r="M68" i="9" s="1"/>
  <c r="L63" i="9"/>
  <c r="M63" i="9" s="1"/>
  <c r="L67" i="9"/>
  <c r="M67" i="9" s="1"/>
  <c r="L66" i="9"/>
  <c r="M66" i="9" s="1"/>
  <c r="L64" i="9"/>
  <c r="M64" i="9" s="1"/>
  <c r="L65" i="9"/>
  <c r="M65" i="9" s="1"/>
  <c r="C96" i="9"/>
  <c r="E96" i="9" s="1"/>
  <c r="E97" i="9" s="1"/>
  <c r="D59" i="9"/>
  <c r="M55" i="9" s="1"/>
  <c r="C68" i="9"/>
  <c r="D54" i="9" s="1"/>
  <c r="D14" i="53"/>
  <c r="B32" i="72" s="1"/>
  <c r="B30" i="72"/>
  <c r="C6" i="74"/>
  <c r="D15" i="53"/>
  <c r="B31" i="72" s="1"/>
  <c r="C97" i="9" l="1"/>
  <c r="D58" i="9" s="1"/>
  <c r="D56" i="9" s="1"/>
  <c r="M54" i="9" s="1"/>
  <c r="N57" i="9" s="1"/>
  <c r="M69" i="9"/>
  <c r="N69"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<sst xmlns="http://schemas.openxmlformats.org/spreadsheetml/2006/main" count="7816" uniqueCount="3412">
  <si>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</si>
  <si>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</si>
  <si>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</si>
  <si>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</si>
  <si>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</si>
  <si>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</si>
  <si>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</si>
  <si>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</si>
  <si>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</si>
  <si>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</si>
  <si>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</si>
  <si>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</si>
  <si>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</si>
  <si>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</si>
  <si>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</si>
  <si>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</si>
  <si>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</si>
  <si>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</si>
  <si>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</si>
  <si>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</si>
  <si>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</si>
  <si>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</si>
  <si>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</si>
  <si>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</si>
  <si>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</si>
  <si>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</si>
  <si>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</si>
  <si>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</si>
  <si>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</si>
  <si>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</si>
  <si>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</si>
  <si>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</si>
  <si>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</si>
  <si>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</si>
  <si>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</si>
  <si>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</si>
  <si>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</si>
  <si>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</si>
  <si>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</si>
  <si>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</si>
  <si>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</si>
  <si>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</si>
  <si>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</si>
  <si>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</si>
  <si>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</si>
  <si>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</si>
  <si>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</si>
  <si>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</si>
  <si>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</si>
  <si>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</si>
  <si>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</si>
  <si>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</si>
  <si>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</si>
  <si>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</si>
  <si>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</si>
  <si>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</si>
  <si>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</si>
  <si>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</si>
  <si>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</si>
  <si>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</si>
  <si>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</si>
  <si>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</si>
  <si>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</si>
  <si>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</si>
  <si>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</si>
  <si>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</si>
  <si>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</si>
  <si>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</si>
  <si>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</si>
  <si>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</si>
  <si>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</si>
  <si>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</si>
  <si>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</si>
  <si>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</si>
  <si>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</si>
  <si>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</si>
  <si>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</si>
  <si>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</si>
  <si>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</si>
  <si>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</si>
  <si>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</si>
  <si>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</si>
  <si>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</si>
  <si>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</si>
  <si>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</si>
  <si>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</si>
  <si>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</si>
  <si>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</si>
  <si>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</si>
  <si>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</si>
  <si>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</si>
  <si>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</si>
  <si>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</si>
  <si>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</si>
  <si>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</si>
  <si>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</si>
  <si>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</si>
  <si>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</si>
  <si>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</si>
  <si>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</si>
  <si>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</si>
  <si>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</si>
  <si>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</si>
  <si>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</si>
  <si>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</si>
  <si>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</si>
  <si>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</si>
  <si>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</si>
  <si>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</si>
  <si>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</si>
  <si>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</si>
  <si>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</si>
  <si>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</si>
  <si>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</si>
  <si>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</si>
  <si>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</si>
  <si>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</si>
  <si>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</si>
  <si>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</si>
  <si>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</si>
  <si>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</si>
  <si>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</si>
  <si>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</si>
  <si>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</si>
  <si>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</si>
  <si>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</si>
  <si>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</si>
  <si>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</si>
  <si>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</si>
  <si>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</si>
  <si>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</si>
  <si>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</si>
  <si>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</si>
  <si>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</si>
  <si>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</si>
  <si>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</si>
  <si>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</si>
  <si>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</si>
  <si>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</si>
  <si>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</si>
  <si>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</si>
  <si>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</si>
  <si>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</si>
  <si>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</si>
  <si>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</si>
  <si>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</si>
  <si>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</si>
  <si>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</si>
  <si>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</si>
  <si>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</si>
  <si>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</si>
  <si>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</si>
  <si>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</si>
  <si>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</si>
  <si>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</si>
  <si>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</si>
  <si>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</si>
  <si>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</si>
  <si>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</si>
  <si>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</si>
  <si>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</si>
  <si>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</si>
  <si>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</si>
  <si>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</si>
  <si>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</si>
  <si>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</si>
  <si>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</si>
  <si>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</si>
  <si>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</si>
  <si>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</si>
  <si>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</si>
  <si>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</si>
  <si>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</si>
  <si>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</si>
  <si>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</si>
  <si>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</si>
  <si>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</si>
  <si>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</si>
  <si>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</si>
  <si>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</si>
  <si>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</si>
  <si>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</si>
  <si>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</si>
  <si>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</si>
  <si>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</si>
  <si>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</si>
  <si>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</si>
  <si>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</si>
  <si>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</si>
  <si>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</si>
  <si>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</si>
  <si>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</si>
  <si>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</si>
  <si>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</si>
  <si>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</si>
  <si>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</si>
  <si>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</si>
  <si>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</si>
  <si>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</si>
  <si>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</si>
  <si>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</si>
  <si>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</si>
  <si>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</si>
  <si>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</si>
  <si>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</si>
  <si>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</si>
  <si>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</si>
  <si>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</si>
  <si>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</si>
  <si>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</si>
  <si>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</si>
  <si>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</si>
  <si>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</si>
  <si>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</si>
  <si>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</si>
  <si>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</si>
  <si>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</si>
  <si>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</si>
  <si>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</si>
  <si>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</si>
  <si>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</si>
  <si>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</si>
  <si>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</si>
  <si>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</si>
  <si>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</si>
  <si>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</si>
  <si>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</si>
  <si>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</si>
  <si>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</si>
  <si>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</si>
  <si>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</si>
  <si>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</si>
  <si>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</si>
  <si>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</si>
  <si>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</si>
  <si>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</si>
  <si>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</si>
  <si>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</si>
  <si>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</si>
  <si>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</si>
  <si>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</si>
  <si>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</si>
  <si>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</si>
  <si>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</si>
  <si>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</si>
  <si>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</si>
  <si>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</si>
  <si>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</si>
  <si>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</si>
  <si>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</si>
  <si>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</si>
  <si>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</si>
  <si>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</si>
  <si>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</si>
  <si>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</si>
  <si>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</si>
  <si>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</si>
  <si>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</si>
  <si>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</si>
  <si>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</si>
  <si>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</si>
  <si>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</si>
  <si>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</si>
  <si>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</si>
  <si>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</si>
  <si>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</si>
  <si>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</si>
  <si>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</si>
  <si>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</si>
  <si>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</si>
  <si>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</si>
  <si>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</si>
  <si>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</si>
  <si>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</si>
  <si>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</si>
  <si>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</si>
  <si>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</si>
  <si>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</si>
  <si>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</si>
  <si>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</si>
  <si>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</si>
  <si>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</si>
  <si>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</si>
  <si>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</si>
  <si>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</si>
  <si>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</si>
  <si>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</si>
  <si>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</si>
  <si>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</si>
  <si>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</si>
  <si>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</si>
  <si>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</si>
  <si>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</si>
  <si>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</si>
  <si>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</si>
  <si>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</si>
  <si>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</si>
  <si>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</si>
  <si>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</si>
  <si>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</si>
  <si>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</si>
  <si>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</si>
  <si>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</si>
  <si>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</si>
  <si>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</si>
  <si>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</si>
  <si>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</si>
  <si>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</si>
  <si>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</si>
  <si>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</si>
  <si>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</si>
  <si>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</si>
  <si>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</si>
  <si>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</si>
  <si>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</si>
  <si>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</si>
  <si>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</si>
  <si>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</si>
  <si>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</si>
  <si>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</si>
  <si>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</si>
  <si>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</si>
  <si>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</si>
  <si>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</si>
  <si>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</si>
  <si>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</si>
  <si>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</si>
  <si>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</si>
  <si>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</si>
  <si>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</si>
  <si>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</si>
  <si>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</si>
  <si>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</si>
  <si>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</si>
  <si>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</si>
  <si>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</si>
  <si>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</si>
  <si>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</si>
  <si>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</si>
  <si>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</si>
  <si>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</si>
  <si>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</si>
  <si>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</si>
  <si>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</si>
  <si>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</si>
  <si>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</si>
  <si>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</si>
  <si>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</si>
  <si>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</si>
  <si>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</si>
  <si>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</si>
  <si>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</si>
  <si>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</si>
  <si>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</si>
  <si>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</si>
  <si>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</si>
  <si>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</si>
  <si>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</si>
  <si>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</si>
  <si>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</si>
  <si>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</si>
  <si>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</si>
  <si>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</si>
  <si>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</si>
  <si>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</si>
  <si>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</si>
  <si>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</si>
  <si>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</si>
  <si>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</si>
  <si>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</si>
  <si>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</si>
  <si>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</si>
  <si>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</si>
  <si>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</si>
  <si>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</si>
  <si>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</si>
  <si>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</si>
  <si>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</si>
  <si>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</si>
  <si>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</si>
  <si>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</si>
  <si>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</si>
  <si>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</si>
  <si>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</si>
  <si>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</si>
  <si>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</si>
  <si>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</si>
  <si>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</si>
  <si>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</si>
  <si>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</si>
  <si>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</si>
  <si>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</si>
  <si>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</si>
  <si>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</si>
  <si>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</si>
  <si>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</si>
  <si>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</si>
  <si>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</si>
  <si>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</si>
  <si>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</si>
  <si>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</si>
  <si>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</si>
  <si>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</si>
  <si>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</si>
  <si>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</si>
  <si>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</si>
  <si>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</si>
  <si>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</si>
  <si>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</si>
  <si>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</si>
  <si>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</si>
  <si>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</si>
  <si>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</si>
  <si>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</si>
  <si>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</si>
  <si>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</si>
  <si>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</si>
  <si>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</si>
  <si>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</si>
  <si>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</si>
  <si>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</si>
  <si>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</si>
  <si>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</si>
  <si>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</si>
  <si>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</si>
  <si>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</si>
  <si>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</si>
  <si>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</si>
  <si>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</si>
  <si>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</si>
  <si>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</si>
  <si>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</si>
  <si>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</si>
  <si>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</si>
  <si>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</si>
  <si>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</si>
  <si>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</si>
  <si>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</si>
  <si>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</si>
  <si>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</si>
  <si>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</si>
  <si>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</si>
  <si>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</si>
  <si>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</si>
  <si>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</si>
  <si>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</si>
  <si>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</si>
  <si>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</si>
  <si>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</si>
  <si>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</si>
  <si>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</si>
  <si>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</si>
  <si>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</si>
  <si>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</si>
  <si>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</si>
  <si>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</si>
  <si>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</si>
  <si>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</si>
  <si>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</si>
  <si>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</si>
  <si>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</si>
  <si>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</si>
  <si>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</si>
  <si>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</si>
  <si>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</si>
  <si>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</si>
  <si>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</si>
  <si>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</si>
  <si>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</si>
  <si>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</si>
  <si>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</si>
  <si>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</si>
  <si>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</si>
  <si>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</si>
  <si>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</si>
  <si>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</si>
  <si>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</si>
  <si>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</si>
  <si>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</si>
  <si>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</si>
  <si>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</si>
  <si>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</si>
  <si>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</si>
  <si>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</si>
  <si>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</si>
  <si>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</si>
  <si>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</si>
  <si>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</si>
  <si>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</si>
  <si>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</si>
  <si>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</si>
  <si>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</si>
  <si>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</si>
  <si>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</si>
  <si>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</si>
  <si>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</si>
  <si>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</si>
  <si>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</si>
  <si>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</si>
  <si>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</si>
  <si>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</si>
  <si>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</si>
  <si>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</si>
  <si>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</si>
  <si>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</si>
  <si>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</si>
  <si>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</si>
  <si>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</si>
  <si>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</si>
  <si>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</si>
  <si>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</si>
  <si>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</si>
  <si>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</si>
  <si>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</si>
  <si>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</si>
  <si>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</si>
  <si>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</si>
  <si>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</si>
  <si>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</si>
  <si>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</si>
  <si>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</si>
  <si>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</si>
  <si>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</si>
  <si>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</si>
  <si>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</si>
  <si>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</si>
  <si>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</si>
  <si>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</si>
  <si>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</si>
  <si>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</si>
  <si>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</si>
  <si>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</si>
  <si>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</si>
  <si>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</si>
  <si>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</si>
  <si>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</si>
  <si>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</si>
  <si>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</si>
  <si>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</si>
  <si>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</si>
  <si>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</si>
  <si>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</si>
  <si>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</si>
  <si>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</si>
  <si>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</si>
  <si>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</si>
  <si>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</si>
  <si>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</si>
  <si>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</si>
  <si>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</si>
  <si>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</si>
  <si>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</si>
  <si>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</si>
  <si>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</si>
  <si>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</si>
  <si>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</si>
  <si>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</si>
  <si>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</si>
  <si>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</si>
  <si>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</si>
  <si>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</si>
  <si>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</si>
  <si>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</si>
  <si>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</si>
  <si>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</si>
  <si>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</si>
  <si>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</si>
  <si>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</si>
  <si>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</si>
  <si>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</si>
  <si>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</si>
  <si>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</si>
  <si>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</si>
  <si>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</si>
  <si>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</si>
  <si>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</si>
  <si>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</si>
  <si>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</si>
  <si>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</si>
  <si>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</si>
  <si>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</si>
  <si>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</si>
  <si>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</si>
  <si>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</si>
  <si>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</si>
  <si>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</si>
  <si>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</si>
  <si>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</si>
  <si>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</si>
  <si>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</si>
  <si>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</si>
  <si>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</si>
  <si>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</si>
  <si>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</si>
  <si>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</si>
  <si>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</si>
  <si>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</si>
  <si>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</si>
  <si>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</si>
  <si>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</si>
  <si>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</si>
  <si>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</si>
  <si>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</si>
  <si>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</si>
  <si>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</si>
  <si>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</si>
  <si>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</si>
  <si>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</si>
  <si>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</si>
  <si>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</si>
  <si>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</si>
  <si>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</si>
  <si>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</si>
  <si>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</si>
  <si>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</si>
  <si>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</si>
  <si>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</si>
  <si>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</si>
  <si>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</si>
  <si>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</si>
  <si>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</si>
  <si>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</si>
  <si>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</si>
  <si>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</si>
  <si>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</si>
  <si>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</si>
  <si>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</si>
  <si>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</si>
  <si>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</si>
  <si>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</si>
  <si>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</si>
  <si>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</si>
  <si>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</si>
  <si>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</si>
  <si>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</si>
  <si>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</si>
  <si>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</si>
  <si>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</si>
  <si>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</si>
  <si>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</si>
  <si>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</si>
  <si>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</si>
  <si>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</si>
  <si>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</si>
  <si>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</si>
  <si>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</si>
  <si>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</si>
  <si>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</si>
  <si>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</si>
  <si>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</si>
  <si>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</si>
  <si>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</si>
  <si>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</si>
  <si>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</si>
  <si>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</si>
  <si>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</si>
  <si>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</si>
  <si>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</si>
  <si>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</si>
  <si>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</si>
  <si>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</si>
  <si>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</si>
  <si>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</si>
  <si>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</si>
  <si>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</si>
  <si>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</si>
  <si>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</si>
  <si>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</si>
  <si>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</si>
  <si>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</si>
  <si>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</si>
  <si>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</si>
  <si>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</si>
  <si>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</si>
  <si>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</si>
  <si>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</si>
  <si>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</si>
  <si>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</si>
  <si>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</si>
  <si>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</si>
  <si>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</si>
  <si>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</si>
  <si>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</si>
  <si>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</si>
  <si>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</si>
  <si>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</si>
  <si>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</si>
  <si>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</si>
  <si>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</si>
  <si>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</si>
  <si>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</si>
  <si>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</si>
  <si>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</si>
  <si>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</si>
  <si>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</si>
  <si>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</si>
  <si>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</si>
  <si>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</si>
  <si>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</si>
  <si>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</si>
  <si>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</si>
  <si>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</si>
  <si>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</si>
  <si>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</si>
  <si>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</si>
  <si>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</si>
  <si>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</si>
  <si>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</si>
  <si>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</si>
  <si>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</si>
  <si>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</si>
  <si>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</si>
  <si>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</si>
  <si>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</si>
  <si>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</si>
  <si>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</si>
  <si>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</si>
  <si>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</si>
  <si>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</si>
  <si>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</si>
  <si>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</si>
  <si>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</si>
  <si>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</si>
  <si>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</si>
  <si>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</si>
  <si>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</si>
  <si>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</si>
  <si>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</si>
  <si>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</si>
  <si>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</si>
  <si>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</si>
  <si>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</si>
  <si>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</si>
  <si>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</si>
  <si>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</si>
  <si>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</si>
  <si>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</si>
  <si>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</si>
  <si>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</si>
  <si>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</si>
  <si>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</si>
  <si>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</si>
  <si>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</si>
  <si>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</si>
  <si>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</si>
  <si>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</si>
  <si>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</si>
  <si>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</si>
  <si>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</si>
  <si>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</si>
  <si>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</si>
  <si>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</si>
  <si>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</si>
  <si>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</si>
  <si>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</si>
  <si>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</si>
  <si>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</si>
  <si>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</si>
  <si>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</si>
  <si>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</si>
  <si>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</si>
  <si>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</si>
  <si>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</si>
  <si>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</si>
  <si>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</si>
  <si>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</si>
  <si>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</si>
  <si>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</si>
  <si>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</si>
  <si>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</si>
  <si>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</si>
  <si>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</si>
  <si>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</si>
  <si>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</si>
  <si>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</si>
  <si>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</si>
  <si>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</si>
  <si>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</si>
  <si>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</si>
  <si>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</si>
  <si>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</si>
  <si>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</si>
  <si>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</si>
  <si>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</si>
  <si>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</si>
  <si>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</si>
  <si>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</si>
  <si>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</si>
  <si>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</si>
  <si>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</si>
  <si>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</si>
  <si>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</si>
  <si>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</si>
  <si>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</si>
  <si>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</si>
  <si>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</si>
  <si>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</si>
  <si>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</si>
  <si>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</si>
  <si>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</si>
  <si>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</si>
  <si>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</si>
  <si>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</si>
  <si>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</si>
  <si>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</si>
  <si>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</si>
  <si>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</si>
  <si>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</si>
  <si>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</si>
  <si>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</si>
  <si>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</si>
  <si>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</si>
  <si>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</si>
  <si>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</si>
  <si>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</si>
  <si>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</si>
  <si>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</si>
  <si>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</si>
  <si>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</si>
  <si>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</si>
  <si>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</si>
  <si>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</si>
  <si>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</si>
  <si>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</si>
  <si>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</si>
  <si>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</si>
  <si>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</si>
  <si>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</si>
  <si>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</si>
  <si>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</si>
  <si>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</si>
  <si>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</si>
  <si>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</si>
  <si>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</si>
  <si>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</si>
  <si>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</si>
  <si>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</si>
  <si>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</si>
  <si>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</si>
  <si>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</si>
  <si>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</si>
  <si>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</si>
  <si>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</si>
  <si>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</si>
  <si>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</si>
  <si>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</si>
  <si>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</si>
  <si>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</si>
  <si>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</si>
  <si>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</si>
  <si>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</si>
  <si>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</si>
  <si>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</si>
  <si>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</si>
  <si>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</si>
  <si>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</si>
  <si>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</si>
  <si>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</si>
  <si>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</si>
  <si>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</si>
  <si>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</si>
  <si>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</si>
  <si>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</si>
  <si>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</si>
  <si>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</si>
  <si>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</si>
  <si>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</si>
  <si>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</si>
  <si>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</si>
  <si>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</si>
  <si>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</si>
  <si>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</si>
  <si>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</si>
  <si>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</si>
  <si>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</si>
  <si>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</si>
  <si>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</si>
  <si>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</si>
  <si>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</si>
  <si>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</si>
  <si>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</si>
  <si>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</si>
  <si>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</si>
  <si>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</si>
  <si>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</si>
  <si>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</si>
  <si>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</si>
  <si>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</si>
  <si>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</si>
  <si>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</si>
  <si>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</si>
  <si>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</si>
  <si>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</si>
  <si>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</si>
  <si>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</si>
  <si>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</si>
  <si>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</si>
  <si>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</si>
  <si>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</si>
  <si>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</si>
  <si>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</si>
  <si>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</si>
  <si>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</si>
  <si>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</si>
  <si>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</si>
  <si>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</si>
  <si>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</si>
  <si>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</si>
  <si>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</si>
  <si>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</si>
  <si>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</si>
  <si>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</si>
  <si>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</si>
  <si>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</si>
  <si>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</si>
  <si>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</si>
  <si>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</si>
  <si>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</si>
  <si>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</si>
  <si>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</si>
  <si>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</si>
  <si>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</si>
  <si>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</si>
  <si>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</si>
  <si>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</si>
  <si>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</si>
  <si>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</si>
  <si>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</si>
  <si>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</si>
  <si>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</si>
  <si>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</si>
  <si>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</si>
  <si>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</si>
  <si>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</si>
  <si>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</si>
  <si>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</si>
  <si>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</si>
  <si>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</si>
  <si>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</si>
  <si>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</si>
  <si>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</si>
  <si>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</si>
  <si>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</si>
  <si>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</si>
  <si>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</si>
  <si>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</si>
  <si>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</si>
  <si>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</si>
  <si>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</si>
  <si>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</si>
  <si>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</si>
  <si>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</si>
  <si>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</si>
  <si>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</si>
  <si>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</si>
  <si>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</si>
  <si>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</si>
  <si>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</si>
  <si>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</si>
  <si>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</si>
  <si>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</si>
  <si>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</si>
  <si>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</si>
  <si>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</si>
  <si>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</si>
  <si>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</si>
  <si>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</si>
  <si>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</si>
  <si>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</si>
  <si>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</si>
  <si>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</si>
  <si>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</si>
  <si>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</si>
  <si>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</si>
  <si>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</si>
  <si>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</si>
  <si>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</si>
  <si>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</si>
  <si>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</si>
  <si>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</si>
  <si>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</si>
  <si>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</si>
  <si>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</si>
  <si>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</si>
  <si>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</si>
  <si>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</si>
  <si>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</si>
  <si>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</si>
  <si>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</si>
  <si>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</si>
  <si>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</si>
  <si>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</si>
  <si>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</si>
  <si>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</si>
  <si>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</si>
  <si>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</si>
  <si>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</si>
  <si>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</si>
  <si>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</si>
  <si>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</si>
  <si>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</si>
  <si>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</si>
  <si>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</si>
  <si>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</si>
  <si>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</si>
  <si>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</si>
  <si>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</si>
  <si>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</si>
  <si>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</si>
  <si>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</si>
  <si>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</si>
  <si>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</si>
  <si>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</si>
  <si>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</si>
  <si>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</si>
  <si>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</si>
  <si>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</si>
  <si>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</si>
  <si>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</si>
  <si>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</si>
  <si>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</si>
  <si>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</si>
  <si>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</si>
  <si>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</si>
  <si>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</si>
  <si>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</si>
  <si>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</si>
  <si>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</si>
  <si>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</si>
  <si>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</si>
  <si>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</si>
  <si>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</si>
  <si>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</si>
  <si>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</si>
  <si>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</si>
  <si>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</si>
  <si>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</si>
  <si>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</si>
  <si>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</si>
  <si>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</si>
  <si>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</si>
  <si>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</si>
  <si>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</si>
  <si>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</si>
  <si>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</si>
  <si>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</si>
  <si>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</si>
  <si>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</si>
  <si>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</si>
  <si>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</si>
  <si>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</si>
  <si>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</si>
  <si>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</si>
  <si>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</si>
  <si>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</si>
  <si>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</si>
  <si>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</si>
  <si>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</si>
  <si>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</si>
  <si>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</si>
  <si>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</si>
  <si>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</si>
  <si>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</si>
  <si>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</si>
  <si>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</si>
  <si>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</si>
  <si>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</si>
  <si>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</si>
  <si>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</si>
  <si>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</si>
  <si>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</si>
  <si>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</si>
  <si>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</si>
  <si>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</si>
  <si>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</si>
  <si>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</si>
  <si>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</si>
  <si>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</si>
  <si>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</si>
  <si>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</si>
  <si>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</si>
  <si>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</si>
  <si>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</si>
  <si>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</si>
  <si>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</si>
  <si>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</si>
  <si>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</si>
  <si>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</si>
  <si>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</si>
  <si>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</si>
  <si>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</si>
  <si>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</si>
  <si>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</si>
  <si>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</si>
  <si>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</si>
  <si>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</si>
  <si>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</si>
  <si>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</si>
  <si>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</si>
  <si>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</si>
  <si>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</si>
  <si>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</si>
  <si>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</si>
  <si>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</si>
  <si>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</si>
  <si>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</si>
  <si>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</si>
  <si>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</si>
  <si>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</si>
  <si>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</si>
  <si>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</si>
  <si>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</si>
  <si>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</si>
  <si>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</si>
  <si>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</si>
  <si>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</si>
  <si>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</si>
  <si>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</si>
  <si>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</si>
  <si>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</si>
  <si>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</si>
  <si>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</si>
  <si>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</si>
  <si>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</si>
  <si>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</si>
  <si>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</si>
  <si>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</si>
  <si>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</si>
  <si>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</si>
  <si>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</si>
  <si>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</si>
  <si>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</si>
  <si>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</si>
  <si>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</si>
  <si>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</si>
  <si>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</si>
  <si>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</si>
  <si>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</si>
  <si>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</si>
  <si>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</si>
  <si>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</si>
  <si>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</si>
  <si>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</si>
  <si>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</si>
  <si>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</si>
  <si>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</si>
  <si>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</si>
  <si>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</si>
  <si>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</si>
  <si>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</si>
  <si>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</si>
  <si>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</si>
  <si>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</si>
  <si>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</si>
  <si>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</si>
  <si>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</si>
  <si>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</si>
  <si>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</si>
  <si>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</si>
  <si>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</si>
  <si>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</si>
  <si>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</si>
  <si>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</si>
  <si>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</si>
  <si>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</si>
  <si>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</si>
  <si>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</si>
  <si>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</si>
  <si>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</si>
  <si>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</si>
  <si>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</si>
  <si>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</si>
  <si>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</si>
  <si>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</si>
  <si>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</si>
  <si>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</si>
  <si>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</si>
  <si>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</si>
  <si>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</si>
  <si>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</si>
  <si>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</si>
  <si>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</si>
  <si>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</si>
  <si>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</si>
  <si>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</si>
  <si>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</si>
  <si>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</si>
  <si>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</si>
  <si>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</si>
  <si>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</si>
  <si>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</si>
  <si>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</si>
  <si>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</si>
  <si>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</si>
  <si>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</si>
  <si>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</si>
  <si>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</si>
  <si>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</si>
  <si>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</si>
  <si>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</si>
  <si>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</si>
  <si>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</si>
  <si>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</si>
  <si>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</si>
  <si>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</si>
  <si>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</si>
  <si>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</si>
  <si>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</si>
  <si>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</si>
  <si>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</si>
  <si>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</si>
  <si>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</si>
  <si>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</si>
  <si>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</si>
  <si>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</si>
  <si>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</si>
  <si>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</si>
  <si>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</si>
  <si>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</si>
  <si>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</si>
  <si>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</si>
  <si>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</si>
  <si>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</si>
  <si>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</si>
  <si>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</si>
  <si>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</si>
  <si>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</si>
  <si>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</si>
  <si>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</si>
  <si>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</si>
  <si>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</si>
  <si>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</si>
  <si>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</si>
  <si>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</si>
  <si>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</si>
  <si>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</si>
  <si>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</si>
  <si>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</si>
  <si>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</si>
  <si>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</si>
  <si>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</si>
  <si>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</si>
  <si>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</si>
  <si>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</si>
  <si>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</si>
  <si>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</si>
  <si>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</si>
  <si>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</si>
  <si>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</si>
  <si>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</si>
  <si>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</si>
  <si>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</si>
  <si>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</si>
  <si>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</si>
  <si>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</si>
  <si>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</si>
  <si>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</si>
  <si>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</si>
  <si>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</si>
  <si>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</si>
  <si>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</si>
  <si>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</si>
  <si>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</si>
  <si>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</si>
  <si>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</si>
  <si>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</si>
  <si>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</si>
  <si>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</si>
  <si>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</si>
  <si>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</si>
  <si>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</si>
  <si>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</si>
  <si>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</si>
  <si>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</si>
  <si>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</si>
  <si>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</si>
  <si>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</si>
  <si>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</si>
  <si>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</si>
  <si>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</si>
  <si>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</si>
  <si>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</si>
  <si>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</si>
  <si>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</si>
  <si>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</si>
  <si>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</si>
  <si>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</si>
  <si>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</si>
  <si>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</si>
  <si>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</si>
  <si>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</si>
  <si>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</si>
  <si>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</si>
  <si>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</si>
  <si>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</si>
  <si>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</si>
  <si>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</si>
  <si>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</si>
  <si>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</si>
  <si>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</si>
  <si>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</si>
  <si>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</si>
  <si>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</si>
  <si>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</si>
  <si>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</si>
  <si>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</si>
  <si>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</si>
  <si>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</si>
  <si>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</si>
  <si>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</si>
  <si>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</si>
  <si>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</si>
  <si>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</si>
  <si>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</si>
  <si>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</si>
  <si>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</si>
  <si>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</si>
  <si>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</si>
  <si>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</si>
  <si>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</si>
  <si>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</si>
  <si>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</si>
  <si>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</si>
  <si>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</si>
  <si>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</si>
  <si>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</si>
  <si>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</si>
  <si>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</si>
  <si>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</si>
  <si>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</si>
  <si>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</si>
  <si>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</si>
  <si>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</si>
  <si>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</si>
  <si>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</si>
  <si>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</si>
  <si>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</si>
  <si>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</si>
  <si>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</si>
  <si>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</si>
  <si>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</si>
  <si>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</si>
  <si>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</si>
  <si>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</si>
  <si>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</si>
  <si>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</si>
  <si>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</si>
  <si>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</si>
  <si>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</si>
  <si>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</si>
  <si>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</si>
  <si>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</si>
  <si>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</si>
  <si>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</si>
  <si>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</si>
  <si>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</si>
  <si>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</si>
  <si>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</si>
  <si>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</si>
  <si>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</si>
  <si>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</si>
  <si>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</si>
  <si>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</si>
  <si>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</si>
  <si>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</si>
  <si>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</si>
  <si>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</si>
  <si>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</si>
  <si>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</si>
  <si>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</si>
  <si>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</si>
  <si>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</si>
  <si>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</si>
  <si>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</si>
  <si>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</si>
  <si>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</si>
  <si>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</si>
  <si>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</si>
  <si>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</si>
  <si>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</si>
  <si>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</si>
  <si>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</si>
  <si>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</si>
  <si>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</si>
  <si>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</si>
  <si>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</si>
  <si>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</si>
  <si>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</si>
  <si>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</si>
  <si>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</si>
  <si>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</si>
  <si>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</si>
  <si>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</si>
  <si>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</si>
  <si>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</si>
  <si>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</si>
  <si>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</si>
  <si>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</si>
  <si>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</si>
  <si>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</si>
  <si>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</si>
  <si>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</si>
  <si>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</si>
  <si>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</si>
  <si>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</si>
  <si>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</si>
  <si>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</si>
  <si>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</si>
  <si>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</si>
  <si>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</si>
  <si>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</si>
  <si>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</si>
  <si>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</si>
  <si>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</si>
  <si>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</si>
  <si>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</si>
  <si>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</si>
  <si>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</si>
  <si>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</si>
  <si>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</si>
  <si>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</si>
  <si>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</si>
  <si>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</si>
  <si>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</si>
  <si>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</si>
  <si>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</si>
  <si>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</si>
  <si>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</si>
  <si>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</si>
  <si>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</si>
  <si>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</si>
  <si>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</si>
  <si>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</si>
  <si>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</si>
  <si>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</si>
  <si>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</si>
  <si>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</si>
  <si>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</si>
  <si>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</si>
  <si>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</si>
  <si>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</si>
  <si>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</si>
  <si>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</si>
  <si>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</si>
  <si>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</si>
  <si>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</si>
  <si>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</si>
  <si>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</si>
  <si>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</si>
  <si>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</si>
  <si>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</si>
  <si>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</si>
  <si>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</si>
  <si>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</si>
  <si>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</si>
  <si>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</si>
  <si>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</si>
  <si>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</si>
  <si>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</si>
  <si>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</si>
  <si>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</si>
  <si>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</si>
  <si>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</si>
  <si>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</si>
  <si>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</si>
  <si>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</si>
  <si>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</si>
  <si>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</si>
  <si>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</si>
  <si>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</si>
  <si>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</si>
  <si>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</si>
  <si>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</si>
  <si>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</si>
  <si>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</si>
  <si>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</si>
  <si>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</si>
  <si>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</si>
  <si>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</si>
  <si>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</si>
  <si>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</si>
  <si>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</si>
  <si>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</si>
  <si>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</si>
  <si>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</si>
  <si>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</si>
  <si>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</si>
  <si>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</si>
  <si>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</si>
  <si>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</si>
  <si>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</si>
  <si>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</si>
  <si>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</si>
  <si>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</si>
  <si>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</si>
  <si>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</si>
  <si>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</si>
  <si>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</si>
  <si>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</si>
  <si>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</si>
  <si>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</si>
  <si>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</si>
  <si>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</si>
  <si>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</si>
  <si>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</si>
  <si>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</si>
  <si>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</si>
  <si>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</si>
  <si>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</si>
  <si>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</si>
  <si>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</si>
  <si>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</si>
  <si>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</si>
  <si>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</si>
  <si>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</si>
  <si>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</si>
  <si>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</si>
  <si>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</si>
  <si>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</si>
  <si>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</si>
  <si>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</si>
  <si>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</si>
  <si>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</si>
  <si>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</si>
  <si>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</si>
  <si>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</si>
  <si>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</si>
  <si>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</si>
  <si>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</si>
  <si>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</si>
  <si>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</si>
  <si>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</si>
  <si>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</si>
  <si>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</si>
  <si>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</si>
  <si>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</si>
  <si>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</si>
  <si>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</si>
  <si>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</si>
  <si>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</si>
  <si>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</si>
  <si>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</si>
  <si>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</si>
  <si>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</si>
  <si>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</si>
  <si>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</si>
  <si>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</si>
  <si>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</si>
  <si>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</si>
  <si>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</si>
  <si>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</si>
  <si>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</si>
  <si>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</si>
  <si>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</si>
  <si>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</si>
  <si>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</si>
  <si>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</si>
  <si>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</si>
  <si>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</si>
  <si>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</si>
  <si>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</si>
  <si>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</si>
  <si>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</si>
  <si>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</si>
  <si>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</si>
  <si>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</si>
  <si>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</si>
  <si>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</si>
  <si>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</si>
  <si>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</si>
  <si>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</si>
  <si>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</si>
  <si>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</si>
  <si>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</si>
  <si>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</si>
  <si>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</si>
  <si>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</si>
  <si>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</si>
  <si>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</si>
  <si>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</si>
  <si>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</si>
  <si>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</si>
  <si>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</si>
  <si>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</si>
  <si>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</si>
  <si>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</si>
  <si>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</si>
  <si>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</si>
  <si>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</si>
  <si>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</si>
  <si>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</si>
  <si>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</si>
  <si>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</si>
  <si>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</si>
  <si>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</si>
  <si>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</si>
  <si>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</si>
  <si>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</si>
  <si>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</si>
  <si>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</si>
  <si>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</si>
  <si>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</si>
  <si>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</si>
  <si>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</si>
  <si>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</si>
  <si>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</si>
  <si>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</si>
  <si>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</si>
  <si>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</si>
  <si>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</si>
  <si>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</si>
  <si>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</si>
  <si>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</si>
  <si>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</si>
  <si>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</si>
  <si>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</si>
  <si>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</si>
  <si>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</si>
  <si>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</si>
  <si>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</si>
  <si>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</si>
  <si>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</si>
  <si>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</si>
  <si>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</si>
  <si>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</si>
  <si>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</si>
  <si>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</si>
  <si>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</si>
  <si>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</si>
  <si>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</si>
  <si>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</si>
  <si>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</si>
  <si>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</si>
  <si>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</si>
  <si>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</si>
  <si>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</si>
  <si>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</si>
  <si>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</si>
  <si>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</si>
  <si>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</si>
  <si>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</si>
  <si>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</si>
  <si>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</si>
  <si>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</si>
  <si>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</si>
  <si>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</si>
  <si>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</si>
  <si>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</si>
  <si>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</si>
  <si>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</si>
  <si>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</si>
  <si>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</si>
  <si>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</si>
  <si>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</si>
  <si>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</si>
  <si>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</si>
  <si>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</si>
  <si>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</si>
  <si>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</si>
  <si>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</si>
  <si>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</si>
  <si>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</si>
  <si>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</si>
  <si>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</si>
  <si>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</si>
  <si>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</si>
  <si>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</si>
  <si>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</si>
  <si>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</si>
  <si>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</si>
  <si>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</si>
  <si>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</si>
  <si>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</si>
  <si>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</si>
  <si>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</si>
  <si>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</si>
  <si>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</si>
  <si>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</si>
  <si>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</si>
  <si>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</si>
  <si>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</si>
  <si>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</si>
  <si>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</si>
  <si>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</si>
  <si>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</si>
  <si>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</si>
  <si>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</si>
  <si>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</si>
  <si>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</si>
  <si>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</si>
  <si>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</si>
  <si>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</si>
  <si>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</si>
  <si>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</si>
  <si>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</si>
  <si>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</si>
  <si>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</si>
  <si>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</si>
  <si>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</si>
  <si>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</si>
  <si>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</si>
  <si>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</si>
  <si>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</si>
  <si>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</si>
  <si>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</si>
  <si>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</si>
  <si>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</si>
  <si>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</si>
  <si>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</si>
  <si>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</si>
  <si>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</si>
  <si>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</si>
  <si>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</si>
  <si>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</si>
  <si>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</si>
  <si>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</si>
  <si>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</si>
  <si>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</si>
  <si>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</si>
  <si>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</si>
  <si>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</si>
  <si>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</si>
  <si>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</si>
  <si>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</si>
  <si>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</si>
  <si>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</si>
  <si>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</si>
  <si>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</si>
  <si>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</si>
  <si>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</si>
  <si>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</si>
  <si>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</si>
  <si>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</si>
  <si>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</si>
  <si>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</si>
  <si>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</si>
  <si>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</si>
  <si>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</si>
  <si>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</si>
  <si>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</si>
  <si>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</si>
  <si>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</si>
  <si>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</si>
  <si>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</si>
  <si>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</si>
  <si>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</si>
  <si>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</si>
  <si>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</si>
  <si>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</si>
  <si>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</si>
  <si>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</si>
  <si>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</si>
  <si>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</si>
  <si>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</si>
  <si>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</si>
  <si>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</si>
  <si>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</si>
  <si>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</si>
  <si>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</si>
  <si>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</si>
  <si>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</si>
  <si>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</si>
  <si>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</si>
  <si>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</si>
  <si>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</si>
  <si>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</si>
  <si>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</si>
  <si>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</si>
  <si>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</si>
  <si>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</si>
  <si>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</si>
  <si>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</si>
  <si>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</si>
  <si>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</si>
  <si>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</si>
  <si>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</si>
  <si>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</si>
  <si>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</si>
  <si>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</si>
  <si>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</si>
  <si>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</si>
  <si>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</si>
  <si>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</si>
  <si>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</si>
  <si>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</si>
  <si>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</si>
  <si>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</si>
  <si>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</si>
  <si>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</si>
  <si>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</si>
  <si>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</si>
  <si>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</si>
  <si>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</si>
  <si>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</si>
  <si>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</si>
  <si>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</si>
  <si>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</si>
  <si>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</si>
  <si>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</si>
  <si>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</si>
  <si>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</si>
  <si>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</si>
  <si>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</si>
  <si>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</si>
  <si>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</si>
  <si>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</si>
  <si>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</si>
  <si>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</si>
  <si>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</si>
  <si>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</si>
  <si>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</si>
  <si>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</si>
  <si>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</si>
  <si>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</si>
  <si>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</si>
  <si>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</si>
  <si>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</si>
  <si>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</si>
  <si>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</si>
  <si>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</si>
  <si>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</si>
  <si>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</si>
  <si>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</si>
  <si>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</si>
  <si>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</si>
  <si>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</si>
  <si>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</si>
  <si>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</si>
  <si>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</si>
  <si>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</si>
  <si>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</si>
  <si>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</si>
  <si>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</si>
  <si>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</si>
  <si>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</si>
  <si>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</si>
  <si>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</si>
  <si>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</si>
  <si>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</si>
  <si>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</si>
  <si>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</si>
  <si>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</si>
  <si>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</si>
  <si>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</si>
  <si>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</si>
  <si>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</si>
  <si>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</si>
  <si>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</si>
  <si>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</si>
  <si>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</si>
  <si>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</si>
  <si>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</si>
  <si>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</si>
  <si>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</si>
  <si>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</si>
  <si>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</si>
  <si>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</si>
  <si>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</si>
  <si>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</si>
  <si>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</si>
  <si>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</si>
  <si>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</si>
  <si>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</si>
  <si>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</si>
  <si>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</si>
  <si>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</si>
  <si>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</si>
  <si>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</si>
  <si>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</si>
  <si>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</si>
  <si>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</si>
  <si>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</si>
  <si>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</si>
  <si>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</si>
  <si>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</si>
  <si>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</si>
  <si>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</si>
  <si>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</si>
  <si>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</si>
  <si>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</si>
  <si>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</si>
  <si>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</si>
  <si>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</si>
  <si>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</si>
  <si>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</si>
  <si>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</si>
  <si>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</si>
  <si>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</si>
  <si>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</si>
  <si>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</si>
  <si>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</si>
  <si>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</si>
  <si>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</si>
  <si>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</si>
  <si>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</si>
  <si>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</si>
  <si>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</si>
  <si>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</si>
  <si>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</si>
  <si>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</si>
  <si>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</si>
  <si>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</si>
  <si>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</si>
  <si>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</si>
  <si>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</si>
  <si>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</si>
  <si>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</si>
  <si>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</si>
  <si>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</si>
  <si>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</si>
  <si>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</si>
  <si>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</si>
  <si>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</si>
  <si>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</si>
  <si>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</si>
  <si>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</si>
  <si>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</si>
  <si>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</si>
  <si>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</si>
  <si>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</si>
  <si>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</si>
  <si>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</si>
  <si>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</si>
  <si>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</si>
  <si>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</si>
  <si>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</si>
  <si>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</si>
  <si>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</si>
  <si>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</si>
  <si>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</si>
  <si>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</si>
  <si>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</si>
  <si>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</si>
  <si>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</si>
  <si>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</si>
  <si>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</si>
  <si>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</si>
  <si>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</si>
  <si>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</si>
  <si>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</si>
  <si>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</si>
  <si>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</si>
  <si>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</si>
  <si>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</si>
  <si>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</si>
  <si>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</si>
  <si>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</si>
  <si>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</si>
  <si>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</si>
  <si>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</si>
  <si>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</si>
  <si>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</si>
  <si>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</si>
  <si>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</si>
  <si>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</si>
  <si>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</si>
  <si>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</si>
  <si>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</si>
  <si>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</si>
  <si>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</si>
  <si>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</si>
  <si>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</si>
  <si>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</si>
  <si>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</si>
  <si>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</si>
  <si>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</si>
  <si>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</si>
  <si>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</si>
  <si>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</si>
  <si>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</si>
  <si>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</si>
  <si>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</si>
  <si>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</si>
  <si>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</si>
  <si>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</si>
  <si>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</si>
  <si>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</si>
  <si>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</si>
  <si>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</si>
  <si>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</si>
  <si>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</si>
  <si>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</si>
  <si>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</si>
  <si>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</si>
  <si>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</si>
  <si>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</si>
  <si>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</si>
  <si>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</si>
  <si>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</si>
  <si>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</si>
  <si>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</si>
  <si>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</si>
  <si>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</si>
  <si>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</si>
  <si>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</si>
  <si>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</si>
  <si>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</si>
  <si>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</si>
  <si>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</si>
  <si>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</si>
  <si>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</si>
  <si>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</si>
  <si>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</si>
  <si>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</si>
  <si>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</si>
  <si>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</si>
  <si>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</si>
  <si>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</si>
  <si>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</si>
  <si>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</si>
  <si>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</si>
  <si>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</si>
  <si>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</si>
  <si>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</si>
  <si>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</si>
  <si>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</si>
  <si>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</si>
  <si>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</si>
  <si>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</si>
  <si>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</si>
  <si>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</si>
  <si>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</si>
  <si>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</si>
  <si>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</si>
  <si>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</si>
  <si>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</si>
  <si>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</si>
  <si>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</si>
  <si>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</si>
  <si>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</si>
  <si>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</si>
  <si>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</si>
  <si>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</si>
  <si>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</si>
  <si>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</si>
  <si>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</si>
  <si>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</si>
  <si>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</si>
  <si>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</si>
  <si>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</si>
  <si>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</si>
  <si>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</si>
  <si>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</si>
  <si>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</si>
  <si>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</si>
  <si>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</si>
  <si>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</si>
  <si>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</si>
  <si>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</si>
  <si>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</si>
  <si>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</si>
  <si>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</si>
  <si>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</si>
  <si>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</si>
  <si>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</si>
  <si>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</si>
  <si>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</si>
  <si>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</si>
  <si>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</si>
  <si>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</si>
  <si>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</si>
  <si>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</si>
  <si>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</si>
  <si>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</si>
  <si>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</si>
  <si>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</si>
  <si>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</si>
  <si>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</si>
  <si>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</si>
  <si>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</si>
  <si>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</si>
  <si>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</si>
  <si>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</si>
  <si>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</si>
  <si>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</si>
  <si>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</si>
  <si>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</si>
  <si>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</si>
  <si>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</si>
  <si>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</si>
  <si>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</si>
  <si>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</si>
  <si>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</si>
  <si>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</si>
  <si>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</si>
  <si>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</si>
  <si>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</si>
  <si>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</si>
  <si>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</si>
  <si>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</si>
  <si>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</si>
  <si>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</si>
  <si>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</si>
  <si>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</si>
  <si>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</si>
  <si>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</si>
  <si>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</si>
  <si>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</si>
  <si>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</si>
  <si>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</si>
  <si>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</si>
  <si>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</si>
  <si>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</si>
  <si>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</si>
  <si>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</si>
  <si>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</si>
  <si>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</si>
  <si>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</si>
  <si>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</si>
  <si>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</si>
  <si>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</si>
  <si>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</si>
  <si>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</si>
  <si>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</si>
  <si>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</si>
  <si>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</si>
  <si>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</si>
  <si>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</si>
  <si>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</si>
  <si>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</si>
  <si>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</si>
  <si>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</si>
  <si>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</si>
  <si>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</si>
  <si>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</si>
  <si>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</si>
  <si>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</si>
  <si>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</si>
  <si>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</si>
  <si>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</si>
  <si>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</si>
  <si>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</si>
  <si>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</si>
  <si>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</si>
  <si>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</si>
  <si>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</si>
  <si>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</si>
  <si>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</si>
  <si>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</si>
  <si>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</si>
  <si>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</si>
  <si>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</si>
  <si>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</si>
  <si>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</si>
  <si>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</si>
  <si>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</si>
  <si>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</si>
  <si>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</si>
  <si>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</si>
  <si>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</si>
  <si>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</si>
  <si>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</si>
  <si>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</si>
  <si>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</si>
  <si>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</si>
  <si>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</si>
  <si>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</si>
  <si>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</si>
  <si>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</si>
  <si>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</si>
  <si>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</si>
  <si>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</si>
  <si>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</si>
  <si>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</si>
  <si>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</si>
  <si>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</si>
  <si>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</si>
  <si>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</si>
  <si>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</si>
  <si>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</si>
  <si>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</si>
  <si>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</si>
  <si>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</si>
  <si>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</si>
  <si>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</si>
  <si>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</si>
  <si>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</si>
  <si>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</si>
  <si>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</si>
  <si>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</si>
  <si>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</si>
  <si>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</si>
  <si>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</si>
  <si>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</si>
  <si>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</si>
  <si>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</si>
  <si>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</si>
  <si>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</si>
  <si>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</si>
  <si>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</si>
  <si>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</si>
  <si>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</si>
  <si>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</si>
  <si>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</si>
  <si>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</si>
  <si>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</si>
  <si>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</si>
  <si>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</si>
  <si>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</si>
  <si>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</si>
  <si>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</si>
  <si>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</si>
  <si>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</si>
  <si>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</si>
  <si>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</si>
  <si>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</si>
  <si>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</si>
  <si>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</si>
  <si>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</si>
  <si>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</si>
  <si>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</si>
  <si>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</si>
  <si>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</si>
  <si>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</si>
  <si>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</si>
  <si>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</si>
  <si>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</si>
  <si>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</si>
  <si>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</si>
  <si>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</si>
  <si>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</si>
  <si>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</si>
  <si>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</si>
  <si>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</si>
  <si>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</si>
  <si>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</si>
  <si>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</si>
  <si>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</si>
  <si>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</si>
  <si>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</si>
  <si>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</si>
  <si>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</si>
  <si>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</si>
  <si>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</si>
  <si>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</si>
  <si>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</si>
  <si>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</si>
  <si>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</si>
  <si>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</si>
  <si>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</si>
  <si>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</si>
  <si>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</si>
  <si>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</si>
  <si>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</si>
  <si>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</si>
  <si>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</si>
  <si>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</si>
  <si>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</si>
  <si>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</si>
  <si>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</si>
  <si>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</si>
  <si>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</si>
  <si>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</si>
  <si>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</si>
  <si>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</si>
  <si>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</si>
  <si>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</si>
  <si>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</si>
  <si>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</si>
  <si>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</si>
  <si>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</si>
  <si>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</si>
  <si>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</si>
  <si>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</si>
  <si>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</si>
  <si>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</si>
  <si>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</si>
  <si>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</si>
  <si>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</si>
  <si>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</si>
  <si>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</si>
  <si>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</si>
  <si>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</si>
  <si>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</si>
  <si>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</si>
  <si>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</si>
  <si>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</si>
  <si>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</si>
  <si>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</si>
  <si>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</si>
  <si>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</si>
  <si>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</si>
  <si>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</si>
  <si>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</si>
  <si>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</si>
  <si>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</si>
  <si>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</si>
  <si>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</si>
  <si>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</si>
  <si>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</si>
  <si>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</si>
  <si>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</si>
  <si>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</si>
  <si>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</si>
  <si>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</si>
  <si>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</si>
  <si>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</si>
  <si>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</si>
  <si>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</si>
  <si>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</si>
  <si>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</si>
  <si>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</si>
  <si>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</si>
  <si>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</si>
  <si>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</si>
  <si>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</si>
  <si>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</si>
  <si>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</si>
  <si>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</si>
  <si>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</si>
  <si>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</si>
  <si>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</si>
  <si>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</si>
  <si>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</si>
  <si>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</si>
  <si>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</si>
  <si>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</si>
  <si>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</si>
  <si>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</si>
  <si>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</si>
  <si>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</si>
  <si>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</si>
  <si>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</si>
  <si>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</si>
  <si>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</si>
  <si>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</si>
  <si>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</si>
  <si>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</si>
  <si>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</si>
  <si>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</si>
  <si>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</si>
  <si>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</si>
  <si>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</si>
  <si>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</si>
  <si>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</si>
  <si>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</si>
  <si>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</si>
  <si>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</si>
  <si>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</si>
  <si>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</si>
  <si>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</si>
  <si>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</si>
  <si>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</si>
  <si>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</si>
  <si>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</si>
  <si>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</si>
  <si>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</si>
  <si>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</si>
  <si>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</si>
  <si>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</si>
  <si>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</si>
  <si>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</si>
  <si>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</si>
  <si>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</si>
  <si>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</si>
  <si>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</si>
  <si>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</si>
  <si>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</si>
  <si>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</si>
  <si>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</si>
  <si>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</si>
  <si>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</si>
  <si>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</si>
  <si>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</si>
  <si>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</si>
  <si>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</si>
  <si>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</si>
  <si>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</si>
  <si>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</si>
  <si>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</si>
  <si>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</si>
  <si>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</si>
  <si>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</si>
  <si>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</si>
  <si>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</si>
  <si>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</si>
  <si>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</si>
  <si>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</si>
  <si>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</si>
  <si>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</si>
  <si>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</si>
  <si>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</si>
  <si>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</si>
  <si>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</si>
  <si>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</si>
  <si>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</si>
  <si>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</si>
  <si>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</si>
  <si>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</si>
  <si>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</si>
  <si>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</si>
  <si>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</si>
  <si>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</si>
  <si>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</si>
  <si>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</si>
  <si>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</si>
  <si>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</si>
  <si>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</si>
  <si>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</si>
  <si>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</si>
  <si>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</si>
  <si>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</si>
  <si>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</si>
  <si>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</si>
  <si>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</si>
  <si>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</si>
  <si>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</si>
  <si>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</si>
  <si>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</si>
  <si>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</si>
  <si>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</si>
  <si>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</si>
  <si>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</si>
  <si>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</si>
  <si>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</si>
  <si>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</si>
  <si>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</si>
  <si>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</si>
  <si>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</si>
  <si>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</si>
  <si>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</si>
  <si>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</si>
  <si>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</si>
  <si>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</si>
  <si>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</si>
  <si>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</si>
  <si>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</si>
  <si>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</si>
  <si>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</si>
  <si>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</si>
  <si>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</si>
  <si>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</si>
  <si>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</si>
  <si>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</si>
  <si>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</si>
  <si>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</si>
  <si>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</si>
  <si>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</si>
  <si>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</si>
  <si>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</si>
  <si>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</si>
  <si>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</si>
  <si>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</si>
  <si>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</si>
  <si>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</si>
  <si>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</si>
  <si>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</si>
  <si>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</si>
  <si>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</si>
  <si>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</si>
  <si>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</si>
  <si>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</si>
  <si>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</si>
  <si>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</si>
  <si>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</si>
  <si>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</si>
  <si>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</si>
  <si>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</si>
  <si>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</si>
  <si>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</si>
  <si>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</si>
  <si>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</si>
  <si>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</si>
  <si>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</si>
  <si>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</si>
  <si>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</si>
  <si>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</si>
  <si>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</si>
  <si>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</si>
  <si>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</si>
  <si>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</si>
  <si>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</si>
  <si>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</si>
  <si>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</si>
  <si>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</si>
  <si>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</si>
  <si>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</si>
  <si>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</si>
  <si>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</si>
  <si>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</si>
  <si>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</si>
  <si>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</si>
  <si>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</si>
  <si>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</si>
  <si>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</si>
  <si>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</si>
  <si>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</si>
  <si>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</si>
  <si>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</si>
  <si>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</si>
  <si>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</si>
  <si>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</si>
  <si>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</si>
  <si>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</si>
  <si>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</si>
  <si>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</si>
  <si>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</si>
  <si>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</si>
  <si>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</si>
  <si>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</si>
  <si>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</si>
  <si>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</si>
  <si>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</si>
  <si>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</si>
  <si>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</si>
  <si>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</si>
  <si>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</si>
  <si>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</si>
  <si>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</si>
  <si>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</si>
  <si>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</si>
  <si>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</si>
  <si>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</si>
  <si>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</si>
  <si>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</si>
  <si>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</si>
  <si>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</si>
  <si>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</si>
  <si>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</si>
  <si>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</si>
  <si>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</si>
  <si>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</si>
  <si>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</si>
  <si>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</si>
  <si>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</si>
  <si>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</si>
  <si>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</si>
  <si>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</si>
  <si>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</si>
  <si>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</si>
  <si>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</si>
  <si>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</si>
  <si>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</si>
  <si>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</si>
  <si>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</si>
  <si>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</si>
  <si>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</si>
  <si>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</si>
  <si>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</si>
  <si>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</si>
  <si>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</si>
  <si>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</si>
  <si>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</si>
  <si>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</si>
  <si>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</si>
  <si>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</si>
  <si>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</si>
  <si>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</si>
  <si>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</si>
  <si>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</si>
  <si>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</si>
  <si>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</si>
  <si>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</si>
  <si>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</si>
  <si>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</si>
  <si>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</si>
  <si>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</si>
  <si>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</si>
  <si>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</si>
  <si>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</si>
  <si>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</si>
  <si>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</si>
  <si>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</si>
  <si>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</si>
  <si>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</si>
  <si>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</si>
  <si>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</si>
  <si>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</si>
  <si>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</si>
  <si>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</si>
  <si>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</si>
  <si>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</si>
  <si>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</si>
  <si>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</si>
  <si>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</si>
  <si>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</si>
  <si>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</si>
  <si>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</si>
  <si>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</si>
  <si>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</si>
  <si>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</si>
  <si>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</si>
  <si>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</si>
  <si>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</si>
  <si>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</si>
  <si>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</si>
  <si>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</si>
  <si>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</si>
  <si>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</si>
  <si>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</si>
  <si>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</si>
  <si>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</si>
  <si>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</si>
  <si>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</si>
  <si>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</si>
  <si>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</si>
  <si>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</si>
  <si>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</si>
  <si>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</si>
  <si>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</si>
  <si>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</si>
  <si>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</si>
  <si>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</si>
  <si>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</si>
  <si>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</si>
  <si>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</si>
  <si>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</si>
  <si>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</si>
  <si>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</si>
  <si>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</si>
  <si>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</si>
  <si>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</si>
  <si>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</si>
  <si>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</si>
  <si>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</si>
  <si>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</si>
  <si>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</si>
  <si>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</si>
  <si>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</si>
  <si>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</si>
  <si>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</si>
  <si>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</si>
  <si>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</si>
  <si>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</si>
  <si>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</si>
  <si>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</si>
  <si>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</si>
  <si>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</si>
  <si>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</si>
  <si>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</si>
  <si>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</si>
  <si>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</si>
  <si>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</si>
  <si>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</si>
  <si>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</si>
  <si>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</si>
  <si>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</si>
  <si>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</si>
  <si>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</si>
  <si>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</si>
  <si>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</si>
  <si>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</si>
  <si>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</si>
  <si>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</si>
  <si>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</si>
  <si>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</si>
  <si>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</si>
  <si>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</si>
  <si>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</si>
  <si>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</si>
  <si>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</si>
  <si>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</si>
  <si>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</si>
  <si>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</si>
  <si>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</si>
  <si>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</si>
  <si>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</si>
  <si>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</si>
  <si>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</si>
  <si>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</si>
  <si>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</si>
  <si>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</si>
  <si>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</si>
  <si>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</si>
  <si>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</si>
  <si>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</si>
  <si>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</si>
  <si>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</si>
  <si>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</si>
  <si>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</si>
  <si>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</si>
  <si>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</si>
  <si>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</si>
  <si>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</si>
  <si>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</si>
  <si>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</si>
  <si>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</si>
  <si>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</si>
  <si>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</si>
  <si>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</si>
  <si>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</si>
  <si>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</si>
  <si>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</si>
  <si>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</si>
  <si>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</si>
  <si>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</si>
  <si>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</si>
  <si>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</si>
  <si>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</si>
  <si>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</si>
  <si>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</si>
  <si>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</si>
  <si>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</si>
  <si>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</si>
  <si>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</si>
  <si>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</si>
  <si>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</si>
  <si>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</si>
  <si>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</si>
  <si>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</si>
  <si>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</si>
  <si>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</si>
  <si>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</si>
  <si>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</si>
  <si>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</si>
  <si>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</si>
  <si>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</si>
  <si>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</si>
  <si>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</si>
  <si>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</si>
  <si>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</si>
  <si>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</si>
  <si>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</si>
  <si>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</si>
  <si>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</si>
  <si>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</si>
  <si>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</si>
  <si>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</si>
  <si>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</si>
  <si>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</si>
  <si>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</si>
  <si>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</si>
  <si>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</si>
  <si>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</si>
  <si>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</si>
  <si>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</si>
  <si>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</si>
  <si>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</si>
  <si>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</si>
  <si>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</si>
  <si>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</si>
  <si>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</si>
  <si>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</si>
  <si>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</si>
  <si>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</si>
  <si>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</si>
  <si>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</si>
  <si>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</si>
  <si>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</si>
  <si>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</si>
  <si>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</si>
  <si>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</si>
  <si>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</si>
  <si>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</si>
  <si>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</si>
  <si>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</si>
  <si>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</si>
  <si>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</si>
  <si>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</si>
  <si>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</si>
  <si>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</si>
  <si>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</si>
  <si>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</si>
  <si>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</si>
  <si>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</si>
  <si>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</si>
  <si>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</si>
  <si>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</si>
  <si>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</si>
  <si>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</si>
  <si>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</si>
  <si>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</si>
  <si>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</si>
  <si>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</si>
  <si>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</si>
  <si>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</si>
  <si>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</si>
  <si>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</si>
  <si>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</si>
  <si>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</si>
  <si>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</si>
  <si>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</si>
  <si>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</si>
  <si>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</si>
  <si>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</si>
  <si>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</si>
  <si>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</si>
  <si>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</si>
  <si>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</si>
  <si>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</si>
  <si>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</si>
  <si>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</si>
  <si>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</si>
  <si>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</si>
  <si>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</si>
  <si>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</si>
  <si>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</si>
  <si>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</si>
  <si>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</si>
  <si>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</si>
  <si>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</si>
  <si>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</si>
  <si>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</si>
  <si>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</si>
  <si>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</si>
  <si>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</si>
  <si>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</si>
  <si>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</si>
  <si>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</si>
  <si>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</si>
  <si>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</si>
  <si>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</si>
  <si>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</si>
  <si>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</si>
  <si>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</si>
  <si>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</si>
  <si>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</si>
  <si>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</si>
  <si>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</si>
  <si>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</si>
  <si>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</si>
  <si>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</si>
  <si>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</si>
  <si>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</si>
  <si>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</si>
  <si>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</si>
  <si>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</si>
  <si>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</si>
  <si>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</si>
  <si>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</si>
  <si>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</si>
  <si>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</si>
  <si>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</si>
  <si>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</si>
  <si>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</si>
  <si>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</si>
  <si>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</si>
  <si>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</si>
  <si>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</si>
  <si>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</si>
  <si>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</si>
  <si>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</si>
  <si>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</si>
  <si>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</si>
  <si>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</si>
  <si>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</si>
  <si>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</si>
  <si>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</si>
  <si>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</si>
  <si>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</si>
  <si>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</si>
  <si>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</si>
  <si>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</si>
  <si>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</si>
  <si>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</si>
  <si>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</si>
  <si>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</si>
  <si>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</si>
  <si>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</si>
  <si>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</si>
  <si>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</si>
  <si>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</si>
  <si>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</si>
  <si>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</si>
  <si>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</si>
  <si>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</si>
  <si>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</si>
  <si>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</si>
  <si>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</si>
  <si>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</si>
  <si>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</si>
  <si>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</si>
  <si>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</si>
  <si>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</si>
  <si>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</si>
  <si>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</si>
  <si>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</si>
  <si>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</si>
  <si>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</si>
  <si>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</si>
  <si>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</si>
  <si>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</si>
  <si>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</si>
  <si>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</si>
  <si>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</si>
  <si>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</si>
  <si>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</si>
  <si>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</si>
  <si>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</si>
  <si>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</si>
  <si>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</si>
  <si>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</si>
  <si>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</si>
  <si>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</si>
  <si>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</si>
  <si>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</si>
  <si>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</si>
  <si>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</si>
  <si>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</si>
  <si>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</si>
  <si>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</si>
  <si>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</si>
  <si>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</si>
  <si>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</si>
  <si>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</si>
  <si>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</si>
  <si>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</si>
  <si>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</si>
  <si>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</si>
  <si>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</si>
  <si>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</si>
  <si>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</si>
  <si>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</si>
  <si>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</si>
  <si>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</si>
  <si>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</si>
  <si>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</si>
  <si>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</si>
  <si>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</si>
  <si>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</si>
  <si>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</si>
  <si>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</si>
  <si>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</si>
  <si>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</si>
  <si>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</si>
  <si>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</si>
  <si>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</si>
  <si>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</si>
  <si>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</si>
  <si>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</si>
  <si>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</si>
  <si>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</si>
  <si>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</si>
  <si>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</si>
  <si>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</si>
  <si>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</si>
  <si>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</si>
  <si>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</si>
  <si>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</si>
  <si>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</si>
  <si>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</si>
  <si>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</si>
  <si>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</si>
  <si>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</si>
  <si>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</si>
  <si>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</si>
  <si>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</si>
  <si>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</si>
  <si>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</si>
  <si>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</si>
  <si>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</si>
  <si>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</si>
  <si>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</si>
  <si>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</si>
  <si>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</si>
  <si>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</si>
  <si>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</si>
  <si>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</si>
  <si>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</si>
  <si>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</si>
  <si>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</si>
  <si>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</si>
  <si>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</si>
  <si>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</si>
  <si>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</si>
  <si>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</si>
  <si>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</si>
  <si>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</si>
  <si>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</si>
  <si>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</si>
  <si>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</si>
  <si>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</si>
  <si>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</si>
  <si>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</si>
  <si>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</si>
  <si>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</si>
  <si>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</si>
  <si>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</si>
  <si>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</si>
  <si>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</si>
  <si>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</si>
  <si>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</si>
  <si>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</si>
  <si>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</si>
  <si>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</si>
  <si>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</si>
  <si>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</si>
  <si>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</si>
  <si>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</si>
  <si>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</si>
  <si>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</si>
  <si>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</si>
  <si>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</si>
  <si>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</si>
  <si>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</si>
  <si>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</si>
  <si>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</si>
  <si>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</si>
  <si>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</si>
  <si>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</si>
  <si>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</si>
  <si>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</si>
  <si>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</si>
  <si>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</si>
  <si>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</si>
  <si>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</si>
  <si>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</si>
  <si>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</si>
  <si>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</si>
  <si>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</si>
  <si>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</si>
  <si>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</si>
  <si>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</si>
  <si>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</si>
  <si>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</si>
  <si>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</si>
  <si>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</si>
  <si>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</si>
  <si>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</si>
  <si>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</si>
  <si>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</si>
  <si>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</si>
  <si>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</si>
  <si>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</si>
  <si>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</si>
  <si>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</si>
  <si>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</si>
  <si>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</si>
  <si>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</si>
  <si>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</si>
  <si>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</si>
  <si>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</si>
  <si>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</si>
  <si>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</si>
  <si>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</si>
  <si>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</si>
  <si>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</si>
  <si>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</si>
  <si>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</si>
  <si>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</si>
  <si>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</si>
  <si>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</si>
  <si>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</si>
  <si>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</si>
  <si>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</si>
  <si>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</si>
  <si>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</si>
  <si>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</si>
  <si>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</si>
  <si>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</si>
  <si>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</si>
  <si>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</si>
  <si>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</si>
  <si>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</si>
  <si>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</si>
  <si>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</si>
  <si>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</si>
  <si>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</si>
  <si>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</si>
  <si>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</si>
  <si>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</si>
  <si>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</si>
  <si>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</si>
  <si>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</si>
  <si>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</si>
  <si>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</si>
  <si>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</si>
  <si>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</si>
  <si>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</si>
  <si>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</si>
  <si>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</si>
  <si>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</si>
  <si>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</si>
  <si>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</si>
  <si>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</si>
  <si>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</si>
  <si>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</si>
  <si>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</si>
  <si>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</si>
  <si>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</si>
  <si>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</si>
  <si>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</si>
  <si>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</si>
  <si>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</si>
  <si>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</si>
  <si>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</si>
  <si>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</si>
  <si>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</si>
  <si>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</si>
  <si>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</si>
  <si>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</si>
  <si>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</si>
  <si>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</si>
  <si>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</si>
  <si>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</si>
  <si>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</si>
  <si>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</si>
  <si>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</si>
  <si>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</si>
  <si>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</si>
  <si>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</si>
  <si>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</si>
  <si>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</si>
  <si>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</si>
  <si>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</si>
  <si>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</si>
  <si>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</si>
  <si>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</si>
  <si>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</si>
  <si>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</si>
  <si>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</si>
  <si>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</si>
  <si>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</si>
  <si>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</si>
  <si>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</si>
  <si>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</si>
  <si>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</si>
  <si>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</si>
  <si>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</si>
  <si>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</si>
  <si>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</si>
  <si>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</si>
  <si>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</si>
  <si>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</si>
  <si>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</si>
  <si>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</si>
  <si>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</si>
  <si>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</si>
  <si>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</si>
  <si>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</si>
  <si>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</si>
  <si>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</si>
  <si>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</si>
  <si>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</si>
  <si>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</si>
  <si>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</si>
  <si>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</si>
  <si>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</si>
  <si>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</si>
  <si>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</si>
  <si>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</si>
  <si>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</si>
  <si>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</si>
  <si>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</si>
  <si>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</si>
  <si>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</si>
  <si>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</si>
  <si>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</si>
  <si>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</si>
  <si>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</si>
  <si>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</si>
  <si>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</si>
  <si>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</si>
  <si>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</si>
  <si>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</si>
  <si>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</si>
  <si>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</si>
  <si>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</si>
  <si>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</si>
  <si>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</si>
  <si>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</si>
  <si>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</si>
  <si>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</si>
  <si>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</si>
  <si>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</si>
  <si>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</si>
  <si>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</si>
  <si>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</si>
  <si>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</si>
  <si>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</si>
  <si>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</si>
  <si>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</si>
  <si>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</si>
  <si>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</si>
  <si>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</si>
  <si>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</si>
  <si>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</si>
  <si>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</si>
  <si>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</si>
  <si>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</si>
  <si>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</si>
  <si>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</si>
  <si>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</si>
  <si>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</si>
  <si>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</si>
  <si>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</si>
  <si>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</si>
  <si>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</si>
  <si>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</si>
  <si>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</si>
  <si>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</si>
  <si>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</si>
  <si>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</si>
  <si>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</si>
  <si>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</si>
  <si>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</si>
  <si>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</si>
  <si>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</si>
  <si>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</si>
  <si>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</si>
  <si>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</si>
  <si>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</si>
  <si>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</si>
  <si>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</si>
  <si>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</si>
  <si>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</si>
  <si>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</si>
  <si>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</si>
  <si>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</si>
  <si>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</si>
  <si>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</si>
  <si>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</si>
  <si>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</si>
  <si>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</si>
  <si>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</si>
  <si>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</si>
  <si>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</si>
  <si>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</si>
  <si>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</si>
  <si>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</si>
  <si>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</si>
  <si>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</si>
  <si>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</si>
  <si>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</si>
  <si>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</si>
  <si>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</si>
  <si>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</si>
  <si>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</si>
  <si>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</si>
  <si>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</si>
  <si>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</si>
  <si>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</si>
  <si>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</si>
  <si>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</si>
  <si>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</si>
  <si>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</si>
  <si>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</si>
  <si>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</si>
  <si>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</si>
  <si>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</si>
  <si>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</si>
  <si>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</si>
  <si>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</si>
  <si>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</si>
  <si>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</si>
  <si>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</si>
  <si>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</si>
  <si>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</si>
  <si>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</si>
  <si>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</si>
  <si>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</si>
  <si>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</si>
  <si>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</si>
  <si>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</si>
  <si>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</si>
  <si>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</si>
  <si>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</si>
  <si>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</si>
  <si>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</si>
  <si>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</si>
  <si>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</si>
  <si>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</si>
  <si>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</si>
  <si>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</si>
  <si>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</si>
  <si>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</si>
  <si>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</si>
  <si>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</si>
  <si>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</si>
  <si>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</si>
  <si>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</si>
  <si>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</si>
  <si>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</si>
  <si>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</si>
  <si>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</si>
  <si>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</si>
  <si>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</si>
  <si>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</si>
  <si>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</si>
  <si>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</si>
  <si>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</si>
  <si>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</si>
  <si>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</si>
  <si>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</si>
  <si>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</si>
  <si>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</si>
  <si>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</si>
  <si>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</si>
  <si>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</si>
  <si>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</si>
  <si>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</si>
  <si>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</si>
  <si>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</si>
  <si>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</si>
  <si>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</si>
  <si>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</si>
  <si>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</si>
  <si>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</si>
  <si>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</si>
  <si>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</si>
  <si>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</si>
  <si>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</si>
  <si>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</si>
  <si>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</si>
  <si>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</si>
  <si>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</si>
  <si>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</si>
  <si>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</si>
  <si>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</si>
  <si>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</si>
  <si>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</si>
  <si>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</si>
  <si>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</si>
  <si>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</si>
  <si>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</si>
  <si>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</si>
  <si>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</si>
  <si>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</si>
  <si>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</si>
  <si>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</si>
  <si>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</si>
  <si>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</si>
  <si>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</si>
  <si>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</si>
  <si>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</si>
  <si>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</si>
  <si>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</si>
  <si>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</si>
  <si>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</si>
  <si>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</si>
  <si>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</si>
  <si>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</si>
  <si>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</si>
  <si>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</si>
  <si>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</si>
  <si>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</si>
  <si>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</si>
  <si>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</si>
  <si>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</si>
  <si>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</si>
  <si>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</si>
  <si>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</si>
  <si>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</si>
  <si>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</si>
  <si>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</si>
  <si>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</si>
  <si>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</si>
  <si>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</si>
  <si>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</si>
  <si>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</si>
  <si>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</si>
  <si>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</si>
  <si>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</si>
  <si>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</si>
  <si>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</si>
  <si>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</si>
  <si>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</si>
  <si>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</si>
  <si>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</si>
  <si>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</si>
  <si>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</si>
  <si>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</si>
  <si>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</si>
  <si>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</si>
  <si>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</si>
  <si>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</si>
  <si>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</si>
  <si>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</si>
  <si>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</si>
  <si>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</si>
  <si>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</si>
  <si>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</si>
  <si>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</si>
  <si>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</si>
  <si>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</si>
  <si>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</si>
  <si>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</si>
  <si>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</si>
  <si>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</si>
  <si>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</si>
  <si>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</si>
  <si>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</si>
  <si>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</si>
  <si>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</si>
  <si>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</si>
  <si>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</si>
  <si>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</si>
  <si>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</si>
  <si>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</si>
  <si>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</si>
  <si>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</si>
  <si>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</si>
  <si>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地上</t>
  </si>
  <si>
    <t>办公楼</t>
  </si>
  <si>
    <t>标准厂房</t>
  </si>
  <si>
    <r>
      <t>1#</t>
    </r>
    <r>
      <rPr>
        <sz val="10"/>
        <color indexed="8"/>
        <rFont val="宋体"/>
        <family val="3"/>
        <charset val="134"/>
      </rPr>
      <t>厂房</t>
    </r>
    <phoneticPr fontId="3" type="noConversion"/>
  </si>
  <si>
    <r>
      <t>2#</t>
    </r>
    <r>
      <rPr>
        <sz val="10"/>
        <color indexed="8"/>
        <rFont val="宋体"/>
        <family val="3"/>
        <charset val="134"/>
      </rPr>
      <t>厂房</t>
    </r>
    <phoneticPr fontId="3" type="noConversion"/>
  </si>
  <si>
    <r>
      <t>3#</t>
    </r>
    <r>
      <rPr>
        <sz val="10"/>
        <color indexed="8"/>
        <rFont val="宋体"/>
        <family val="3"/>
        <charset val="134"/>
      </rPr>
      <t>厂房</t>
    </r>
    <phoneticPr fontId="3" type="noConversion"/>
  </si>
  <si>
    <t>门卫</t>
    <phoneticPr fontId="3" type="noConversion"/>
  </si>
  <si>
    <t>地下车库</t>
    <phoneticPr fontId="3" type="noConversion"/>
  </si>
  <si>
    <t>地下</t>
  </si>
  <si>
    <t>是</t>
  </si>
  <si>
    <t>工业</t>
    <phoneticPr fontId="7" type="noConversion"/>
  </si>
  <si>
    <t>车库</t>
    <phoneticPr fontId="7" type="noConversion"/>
  </si>
  <si>
    <t>利息：取LPR加浮动点数</t>
  </si>
  <si>
    <t>工程进度</t>
  </si>
  <si>
    <t>收益法</t>
  </si>
  <si>
    <t>押一</t>
  </si>
  <si>
    <t>钢混</t>
  </si>
  <si>
    <t>非生产用房</t>
  </si>
  <si>
    <t>否</t>
  </si>
  <si>
    <t>宗地容积率</t>
  </si>
  <si>
    <t>Ⅷ-生物医药基地</t>
  </si>
  <si>
    <t>未包含在土地购买价格中</t>
  </si>
  <si>
    <t>全部缴纳</t>
  </si>
  <si>
    <t>已包含在土地取得成本中</t>
  </si>
  <si>
    <t>成本法</t>
  </si>
  <si>
    <t>假设开发法</t>
  </si>
  <si>
    <t>办公</t>
    <phoneticPr fontId="3" type="noConversion"/>
  </si>
  <si>
    <t>厂房</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</si>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</sst>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128" fillId="12" borderId="0" xfId="0" applyFont="1" applyFill="1" applyAlignment="1" applyProtection="1">
      <alignment vertical="center"/>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估价对象为北京市房地产，为所有。根据《国有土地使用证》[]，估价对象（分摊）出让国有建设用地使用权面积为23251.84平方米，建筑面积为34459.1平方米。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估价对象为北京市房地产,属开发建设的，该项目尚在开发建设中。根据《国有土地使用证》[]，估价对象（分摊）出让国有建设用地使用权面积为23251.84平方米，规划建筑面积为34459.1平方米。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2023年4月10日</v>
      </c>
    </row>
    <row r="13" spans="1:2" s="1203" customFormat="1">
      <c r="A13" s="1201" t="s">
        <v>529</v>
      </c>
      <c r="B13" s="1202" t="str">
        <f>'预评函-1'!A18</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12483</v>
      </c>
    </row>
    <row r="21" spans="1:2" s="1203" customFormat="1">
      <c r="A21" s="1201" t="s">
        <v>537</v>
      </c>
      <c r="B21" s="1202">
        <f ca="1">'预评函-2'!D7</f>
        <v>3623</v>
      </c>
    </row>
    <row r="22" spans="1:2" s="1203" customFormat="1">
      <c r="A22" s="1201" t="s">
        <v>538</v>
      </c>
      <c r="B22" s="1202" t="str">
        <f ca="1">'预评函-2'!D6</f>
        <v>壹亿贰仟肆佰捌拾叁万元整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12483</v>
      </c>
    </row>
    <row r="31" spans="1:2" s="1203" customFormat="1">
      <c r="A31" s="1201" t="s">
        <v>576</v>
      </c>
      <c r="B31" s="1202">
        <f ca="1">'预评函-2'!D15</f>
        <v>3623</v>
      </c>
    </row>
    <row r="32" spans="1:2" s="1203" customFormat="1">
      <c r="A32" s="1201" t="s">
        <v>543</v>
      </c>
      <c r="B32" s="1202" t="str">
        <f ca="1">'预评函-2'!D14</f>
        <v>壹亿贰仟肆佰捌拾叁万元整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34459.100000000006</v>
      </c>
    </row>
    <row r="44" spans="1:2" s="1203" customFormat="1">
      <c r="A44" s="1201" t="s">
        <v>575</v>
      </c>
      <c r="B44" s="1202" t="str">
        <f>'预评函-3'!C2</f>
        <v>(分摊)土地面积</v>
      </c>
    </row>
    <row r="45" spans="1:2" s="1203" customFormat="1">
      <c r="A45" s="1201" t="s">
        <v>547</v>
      </c>
      <c r="B45" s="1202">
        <f>'预评函-3'!C4</f>
        <v>23251.84</v>
      </c>
    </row>
    <row r="46" spans="1:2" s="1203" customFormat="1">
      <c r="A46" s="1201" t="s">
        <v>573</v>
      </c>
      <c r="B46" s="1202" t="str">
        <f>'预评函-3'!D2</f>
        <v>出让国有建设用地使用权价值</v>
      </c>
    </row>
    <row r="47" spans="1:2" s="1203" customFormat="1">
      <c r="A47" s="1201" t="s">
        <v>548</v>
      </c>
      <c r="B47" s="1202">
        <f ca="1">'预评函-3'!D4</f>
        <v>4020</v>
      </c>
    </row>
    <row r="48" spans="1:2" s="1203" customFormat="1">
      <c r="A48" s="1201" t="s">
        <v>549</v>
      </c>
      <c r="B48" s="1202">
        <f ca="1">'预评函-3'!E4</f>
        <v>1167</v>
      </c>
    </row>
    <row r="49" spans="1:2" s="1203" customFormat="1">
      <c r="A49" s="1201" t="s">
        <v>550</v>
      </c>
      <c r="B49" s="1202" t="str">
        <f ca="1">'预评函-3'!D5</f>
        <v>肆仟零贰拾万元整</v>
      </c>
    </row>
    <row r="50" spans="1:2" s="1203" customFormat="1">
      <c r="A50" s="1201" t="s">
        <v>574</v>
      </c>
      <c r="B50" s="1202" t="str">
        <f>'预评函-3'!F2</f>
        <v>在建建筑物价值</v>
      </c>
    </row>
    <row r="51" spans="1:2" s="1203" customFormat="1">
      <c r="A51" s="1201" t="s">
        <v>551</v>
      </c>
      <c r="B51" s="1202">
        <f ca="1">'预评函-3'!F4</f>
        <v>8463</v>
      </c>
    </row>
    <row r="52" spans="1:2" s="1203" customFormat="1">
      <c r="A52" s="1201" t="s">
        <v>552</v>
      </c>
      <c r="B52" s="1202">
        <f ca="1">'预评函-3'!G4</f>
        <v>2456</v>
      </c>
    </row>
    <row r="53" spans="1:2" s="1203" customFormat="1">
      <c r="A53" s="1201" t="s">
        <v>580</v>
      </c>
      <c r="B53" s="1202" t="str">
        <f ca="1">'预评函-3'!F5</f>
        <v>捌仟肆佰陆拾叁万元整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4" t="s">
        <v>2582</v>
      </c>
      <c r="J2" s="3494"/>
      <c r="K2" s="3494"/>
      <c r="L2" s="3494"/>
      <c r="M2" s="3494"/>
      <c r="N2" s="3494"/>
      <c r="O2" s="3494"/>
      <c r="P2" s="3494"/>
      <c r="Q2" s="3494"/>
      <c r="R2" s="3494"/>
    </row>
    <row r="3" spans="1:18">
      <c r="A3" s="3020" t="s">
        <v>2503</v>
      </c>
      <c r="B3" s="3021">
        <f>项目基本情况!D3</f>
        <v>45026</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3.69</v>
      </c>
      <c r="D5" s="3025">
        <f>IF(ISERROR(ROUND(POWER(1+E5,A5-C5)*(POWER(1+E5,C5)-1)/(POWER(1+E5,A5)-1),3)),0,ROUND(POWER(1+E5,A5-C5)*(POWER(1+E5,C5)-1)/(POWER(1+E5,A5)-1),4))</f>
        <v>0.17019999999999999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13.7</v>
      </c>
      <c r="D6" s="3025">
        <f>IF(ISERROR(ROUND(POWER(1+E6,A6-C6)*(POWER(1+E6,C6)-1)/(POWER(1+E6,A6)-1),3)),0,ROUND(POWER(1+E6,A6-C6)*(POWER(1+E6,C6)-1)/(POWER(1+E6,A6)-1),4))</f>
        <v>0.48380000000000001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33.71</v>
      </c>
      <c r="D7" s="3025">
        <f>IF(ISERROR(ROUND(POWER(1+E7,A7-C7)*(POWER(1+E7,C7)-1)/(POWER(1+E7,A7)-1),3)),0,ROUND(POWER(1+E7,A7-C7)*(POWER(1+E7,C7)-1)/(POWER(1+E7,A7)-1),4))</f>
        <v>0.78380000000000005</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45026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506" t="s">
        <v>2176</v>
      </c>
      <c r="E8" s="2391" t="s">
        <v>3379</v>
      </c>
      <c r="F8" s="2392"/>
      <c r="G8" s="2663"/>
      <c r="H8" s="2663"/>
      <c r="I8" s="2663"/>
      <c r="J8" s="2439"/>
      <c r="K8" s="2614"/>
      <c r="L8" s="2613"/>
      <c r="M8" s="2613"/>
      <c r="N8" s="2439"/>
      <c r="O8" s="2450"/>
      <c r="P8" s="2439"/>
      <c r="Q8" s="2439"/>
      <c r="R8" s="2439"/>
    </row>
    <row r="9" spans="1:30" ht="13.5" thickBot="1">
      <c r="A9" s="2393" t="s">
        <v>2177</v>
      </c>
      <c r="B9" s="2394" t="s">
        <v>3379</v>
      </c>
      <c r="C9" s="2395"/>
      <c r="D9" s="3507"/>
      <c r="E9" s="2394" t="s">
        <v>43</v>
      </c>
      <c r="F9" s="2396"/>
      <c r="G9" s="2665"/>
      <c r="H9" s="2665"/>
      <c r="I9" s="2665"/>
      <c r="J9" s="2439"/>
      <c r="K9" s="2616"/>
      <c r="L9" s="2613"/>
      <c r="M9" s="2613"/>
      <c r="N9" s="2439"/>
      <c r="O9" s="2450"/>
      <c r="P9" s="2439"/>
      <c r="Q9" s="2439"/>
      <c r="R9" s="2439"/>
    </row>
    <row r="10" spans="1:30" ht="13.5" thickTop="1">
      <c r="A10" s="2397" t="s">
        <v>2178</v>
      </c>
      <c r="B10" s="2398" t="s">
        <v>3380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3338</v>
      </c>
      <c r="B13" s="2407" t="s">
        <v>2189</v>
      </c>
      <c r="C13" s="856"/>
      <c r="D13" s="856"/>
      <c r="E13" s="856"/>
      <c r="F13" s="856">
        <f>H13</f>
        <v>51806</v>
      </c>
      <c r="G13" s="856"/>
      <c r="H13" s="856">
        <v>51806</v>
      </c>
      <c r="I13" s="856"/>
      <c r="J13" s="3062"/>
      <c r="K13" s="2613"/>
      <c r="L13" s="2613"/>
      <c r="M13" s="2439"/>
      <c r="N13" s="2450"/>
      <c r="O13" s="2439"/>
      <c r="P13" s="2439"/>
      <c r="Q13" s="2439"/>
      <c r="AD13" s="1745"/>
    </row>
    <row r="14" spans="1:30">
      <c r="A14" s="1081"/>
      <c r="B14" s="2407" t="s">
        <v>2190</v>
      </c>
      <c r="C14" s="2408"/>
      <c r="D14" s="2408"/>
      <c r="E14" s="2408"/>
      <c r="F14" s="2408">
        <v>20</v>
      </c>
      <c r="G14" s="2408"/>
      <c r="H14" s="2408">
        <v>20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f>IF(A13="出让",IF(F13="","",ROUNDDOWN(MIN((F13-$D$3)/365,F14),2)),F14)</f>
        <v>18.57</v>
      </c>
      <c r="G15" s="2410" t="str">
        <f>IF(A13="出让",IF(G13="","",ROUNDDOWN(MIN((G13-$D$3)/365,G14),2)),G14)</f>
        <v/>
      </c>
      <c r="H15" s="2410">
        <f>IF(A13="出让",IF(H13="","",ROUNDDOWN(MIN((H13-$D$3)/365,H14),2)),H14)</f>
        <v>18.57</v>
      </c>
      <c r="I15" s="2410" t="str">
        <f>IF(A13="出让",IF(I13="","",ROUNDDOWN(MIN((I13-$D$3)/365,I14),2)),I14)</f>
        <v/>
      </c>
      <c r="J15" s="3064"/>
      <c r="K15" s="2451"/>
      <c r="L15" s="2451"/>
      <c r="M15" s="2509"/>
      <c r="N15" s="2451"/>
      <c r="O15" s="2509"/>
      <c r="P15" s="2439"/>
      <c r="Q15" s="2439"/>
      <c r="AD15" s="1745"/>
    </row>
    <row r="16" spans="1:30">
      <c r="A16" s="2400" t="s">
        <v>2192</v>
      </c>
      <c r="B16" s="3513"/>
      <c r="C16" s="3514"/>
      <c r="D16" s="3515"/>
      <c r="E16" s="2413" t="s">
        <v>2193</v>
      </c>
      <c r="F16" s="3516"/>
      <c r="G16" s="3517"/>
      <c r="H16" s="3517"/>
      <c r="I16" s="3518"/>
      <c r="J16" s="2439"/>
      <c r="K16" s="2617"/>
      <c r="L16" s="2451"/>
      <c r="M16" s="2451"/>
      <c r="N16" s="2509"/>
      <c r="O16" s="2451"/>
      <c r="P16" s="2509"/>
      <c r="Q16" s="2439"/>
      <c r="R16" s="2439"/>
    </row>
    <row r="17" spans="1:28">
      <c r="A17" s="313" t="s">
        <v>2194</v>
      </c>
      <c r="B17" s="302" t="s">
        <v>2195</v>
      </c>
      <c r="C17" s="8">
        <f>'数据-汇总表'!E3</f>
        <v>34459.100000000006</v>
      </c>
      <c r="D17" s="2322" t="s">
        <v>2196</v>
      </c>
      <c r="E17" s="3519" t="s">
        <v>2197</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23251.84</v>
      </c>
      <c r="D18" s="1092" t="s">
        <v>2200</v>
      </c>
      <c r="E18" s="3522" t="s">
        <v>2201</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9" t="s">
        <v>2205</v>
      </c>
      <c r="C20" s="3510"/>
      <c r="D20" s="3511" t="s">
        <v>2206</v>
      </c>
      <c r="E20" s="3512"/>
      <c r="F20" s="2647" t="s">
        <v>1056</v>
      </c>
      <c r="G20" s="2664"/>
      <c r="H20" s="2664"/>
      <c r="I20" s="2664"/>
      <c r="J20" s="2439"/>
      <c r="K20" s="350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2217</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5" t="s">
        <v>2227</v>
      </c>
      <c r="T34" s="2428" t="str">
        <f>NUMBERSTRING(7-K34,1)&amp;"通"</f>
        <v>七通</v>
      </c>
      <c r="U34" s="2439"/>
      <c r="V34" s="2439"/>
    </row>
    <row r="35" spans="1:30">
      <c r="A35" s="2429"/>
      <c r="B35" s="3502" t="s">
        <v>2228</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3402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23652.31</v>
      </c>
      <c r="B3" s="11">
        <f>IF(C3="否",G5-AT5,G5)</f>
        <v>35052.600000000006</v>
      </c>
      <c r="C3" s="1580" t="s">
        <v>3391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35052.600000000006</v>
      </c>
      <c r="H5" s="13">
        <f t="shared" ref="H5:AT5" si="0">SUM(H13:H656)</f>
        <v>29776.6</v>
      </c>
      <c r="I5" s="13">
        <f t="shared" si="0"/>
        <v>20719.5</v>
      </c>
      <c r="J5" s="13">
        <f t="shared" si="0"/>
        <v>0</v>
      </c>
      <c r="K5" s="13">
        <f t="shared" si="0"/>
        <v>1943.8</v>
      </c>
      <c r="L5" s="13">
        <f t="shared" si="0"/>
        <v>0</v>
      </c>
      <c r="M5" s="13">
        <f t="shared" si="0"/>
        <v>7113.3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4682.5</v>
      </c>
      <c r="AD5" s="13">
        <f t="shared" si="0"/>
        <v>0</v>
      </c>
      <c r="AE5" s="13">
        <f t="shared" si="0"/>
        <v>0</v>
      </c>
      <c r="AF5" s="13">
        <f t="shared" si="0"/>
        <v>0</v>
      </c>
      <c r="AG5" s="13">
        <f t="shared" si="0"/>
        <v>0</v>
      </c>
      <c r="AH5" s="13">
        <f t="shared" si="0"/>
        <v>0</v>
      </c>
      <c r="AI5" s="13">
        <f t="shared" si="0"/>
        <v>0</v>
      </c>
      <c r="AJ5" s="13">
        <f t="shared" si="0"/>
        <v>0</v>
      </c>
      <c r="AK5" s="13">
        <f t="shared" si="0"/>
        <v>0</v>
      </c>
      <c r="AL5" s="13">
        <f t="shared" si="0"/>
        <v>708.4</v>
      </c>
      <c r="AM5" s="13">
        <f t="shared" si="0"/>
        <v>0</v>
      </c>
      <c r="AN5" s="13">
        <f t="shared" si="0"/>
        <v>3974.1000000000004</v>
      </c>
      <c r="AO5" s="13">
        <f t="shared" si="0"/>
        <v>0</v>
      </c>
      <c r="AP5" s="13">
        <f t="shared" si="0"/>
        <v>0</v>
      </c>
      <c r="AQ5" s="13">
        <f t="shared" si="0"/>
        <v>0</v>
      </c>
      <c r="AR5" s="13">
        <f t="shared" si="0"/>
        <v>0</v>
      </c>
      <c r="AS5" s="13">
        <f t="shared" si="0"/>
        <v>0</v>
      </c>
      <c r="AT5" s="13">
        <f t="shared" si="0"/>
        <v>593.5</v>
      </c>
      <c r="AU5" s="1346"/>
      <c r="AV5" s="12" t="s">
        <v>1070</v>
      </c>
      <c r="AW5" s="1347"/>
      <c r="AX5" s="1347"/>
      <c r="AY5" s="14" t="s">
        <v>2</v>
      </c>
      <c r="AZ5" s="15">
        <f t="shared" ref="AZ5:BT5" si="1">SUM(AZ13:AZ656)</f>
        <v>34459.100000000006</v>
      </c>
      <c r="BA5" s="15">
        <f t="shared" si="1"/>
        <v>29776.6</v>
      </c>
      <c r="BB5" s="15">
        <f t="shared" si="1"/>
        <v>20719.5</v>
      </c>
      <c r="BC5" s="15">
        <f t="shared" si="1"/>
        <v>1943.8</v>
      </c>
      <c r="BD5" s="15">
        <f t="shared" si="1"/>
        <v>7113.3</v>
      </c>
      <c r="BE5" s="15">
        <f t="shared" si="1"/>
        <v>0</v>
      </c>
      <c r="BF5" s="15">
        <f t="shared" si="1"/>
        <v>0</v>
      </c>
      <c r="BG5" s="15">
        <f t="shared" si="1"/>
        <v>0</v>
      </c>
      <c r="BH5" s="15">
        <f t="shared" si="1"/>
        <v>0</v>
      </c>
      <c r="BI5" s="15">
        <f t="shared" si="1"/>
        <v>0</v>
      </c>
      <c r="BJ5" s="15">
        <f t="shared" si="1"/>
        <v>0</v>
      </c>
      <c r="BK5" s="15">
        <f t="shared" si="1"/>
        <v>0</v>
      </c>
      <c r="BL5" s="15">
        <f t="shared" si="1"/>
        <v>4682.5</v>
      </c>
      <c r="BM5" s="15">
        <f t="shared" si="1"/>
        <v>0</v>
      </c>
      <c r="BN5" s="15">
        <f t="shared" si="1"/>
        <v>0</v>
      </c>
      <c r="BO5" s="15">
        <f t="shared" si="1"/>
        <v>0</v>
      </c>
      <c r="BP5" s="15">
        <f t="shared" si="1"/>
        <v>0</v>
      </c>
      <c r="BQ5" s="15">
        <f t="shared" si="1"/>
        <v>708.4</v>
      </c>
      <c r="BR5" s="15">
        <f t="shared" si="1"/>
        <v>3974.1000000000004</v>
      </c>
      <c r="BS5" s="15">
        <f t="shared" si="1"/>
        <v>0</v>
      </c>
      <c r="BT5" s="16">
        <f t="shared" si="1"/>
        <v>0</v>
      </c>
    </row>
    <row r="6" spans="1:72" s="1589" customFormat="1" ht="12.75">
      <c r="A6" s="12" t="s">
        <v>1071</v>
      </c>
      <c r="B6" s="1586"/>
      <c r="C6" s="1586"/>
      <c r="D6" s="1587"/>
      <c r="E6" s="13">
        <f>H6+AC6+AT6</f>
        <v>23652.300000000003</v>
      </c>
      <c r="F6" s="13" t="s">
        <v>0</v>
      </c>
      <c r="G6" s="13" t="s">
        <v>1</v>
      </c>
      <c r="H6" s="17">
        <f>SUMIF(I$12:AB$12,"总值",I6:AB6)</f>
        <v>20092.240000000002</v>
      </c>
      <c r="I6" s="13">
        <f t="shared" ref="I6:AB6" si="2">ROUND($A$3*I5/$B$3,2)</f>
        <v>13980.82</v>
      </c>
      <c r="J6" s="13">
        <f t="shared" si="2"/>
        <v>0</v>
      </c>
      <c r="K6" s="13">
        <f t="shared" si="2"/>
        <v>1311.61</v>
      </c>
      <c r="L6" s="13">
        <f t="shared" si="2"/>
        <v>0</v>
      </c>
      <c r="M6" s="13">
        <f t="shared" si="2"/>
        <v>4799.8100000000004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3159.59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478</v>
      </c>
      <c r="AM6" s="13">
        <f t="shared" si="3"/>
        <v>0</v>
      </c>
      <c r="AN6" s="13">
        <f t="shared" si="3"/>
        <v>2681.59</v>
      </c>
      <c r="AO6" s="13">
        <f t="shared" si="3"/>
        <v>0</v>
      </c>
      <c r="AP6" s="13">
        <f t="shared" si="3"/>
        <v>0</v>
      </c>
      <c r="AQ6" s="13">
        <f t="shared" si="3"/>
        <v>0</v>
      </c>
      <c r="AR6" s="13">
        <f t="shared" si="3"/>
        <v>0</v>
      </c>
      <c r="AS6" s="13">
        <f t="shared" si="3"/>
        <v>0</v>
      </c>
      <c r="AT6" s="17">
        <f>IF(C3="是",ROUND($A$3*AT5/$B$3,2),0)</f>
        <v>400.47</v>
      </c>
      <c r="AU6" s="1588"/>
      <c r="AV6" s="12" t="s">
        <v>1071</v>
      </c>
      <c r="AW6" s="1586"/>
      <c r="AX6" s="1586"/>
      <c r="AY6" s="18">
        <f>IF(AY3&gt;0,AY3,ROUND($A$3*AZ5/$B$3,2))</f>
        <v>23251.84</v>
      </c>
      <c r="AZ6" s="13" t="s">
        <v>2</v>
      </c>
      <c r="BA6" s="13">
        <f>ROUND($AY$6*BA5/$AZ$5,2)</f>
        <v>20092.25</v>
      </c>
      <c r="BB6" s="13">
        <f>ROUND($AY$6*BB5/$AZ$5,2)</f>
        <v>13980.82</v>
      </c>
      <c r="BC6" s="13">
        <f t="shared" ref="BC6:BH6" si="4">ROUND($AY$6*BC5/$AZ$5,2)</f>
        <v>1311.61</v>
      </c>
      <c r="BD6" s="13">
        <f t="shared" si="4"/>
        <v>4799.82</v>
      </c>
      <c r="BE6" s="13">
        <f t="shared" si="4"/>
        <v>0</v>
      </c>
      <c r="BF6" s="13">
        <f t="shared" si="4"/>
        <v>0</v>
      </c>
      <c r="BG6" s="13">
        <f t="shared" si="4"/>
        <v>0</v>
      </c>
      <c r="BH6" s="13">
        <f t="shared" si="4"/>
        <v>0</v>
      </c>
      <c r="BI6" s="13">
        <f t="shared" ref="BI6:BT6" si="5">ROUND($AY$6*BI5/$AZ$5,2)</f>
        <v>0</v>
      </c>
      <c r="BJ6" s="13">
        <f t="shared" si="5"/>
        <v>0</v>
      </c>
      <c r="BK6" s="13">
        <f t="shared" si="5"/>
        <v>0</v>
      </c>
      <c r="BL6" s="13">
        <f t="shared" si="5"/>
        <v>3159.59</v>
      </c>
      <c r="BM6" s="13">
        <f t="shared" si="5"/>
        <v>0</v>
      </c>
      <c r="BN6" s="13">
        <f t="shared" si="5"/>
        <v>0</v>
      </c>
      <c r="BO6" s="13">
        <f t="shared" si="5"/>
        <v>0</v>
      </c>
      <c r="BP6" s="13">
        <f t="shared" si="5"/>
        <v>0</v>
      </c>
      <c r="BQ6" s="13">
        <f t="shared" si="5"/>
        <v>478</v>
      </c>
      <c r="BR6" s="13">
        <f t="shared" si="5"/>
        <v>2681.59</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3382</v>
      </c>
      <c r="L9" s="809"/>
      <c r="M9" s="1603" t="s">
        <v>3390</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t="s">
        <v>3339</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t="s">
        <v>3383</v>
      </c>
      <c r="L11" s="1615"/>
      <c r="M11" s="1614" t="s">
        <v>3339</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标准厂房</v>
      </c>
      <c r="BC12" s="1624" t="str">
        <f>K11</f>
        <v>办公楼</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3385</v>
      </c>
      <c r="D13" s="1625" t="s">
        <v>3391</v>
      </c>
      <c r="E13" s="13">
        <f>IF($C$3="是",ROUND($A$3*G13/$B$3,2),ROUND($A$3*(G13-AT13)/$B$3,2))</f>
        <v>3510.4</v>
      </c>
      <c r="F13" s="29"/>
      <c r="G13" s="30">
        <f>H13+AC13+AT13</f>
        <v>5202.4000000000005</v>
      </c>
      <c r="H13" s="17">
        <f>SUMIF(I$12:AB$12,"总值",I13:AB13)</f>
        <v>5041.6000000000004</v>
      </c>
      <c r="I13" s="1626">
        <v>3797.8</v>
      </c>
      <c r="J13" s="1626"/>
      <c r="K13" s="1626">
        <v>1243.8</v>
      </c>
      <c r="L13" s="1626"/>
      <c r="M13" s="1626"/>
      <c r="N13" s="1626"/>
      <c r="O13" s="1626"/>
      <c r="P13" s="1626"/>
      <c r="Q13" s="1626"/>
      <c r="R13" s="1626"/>
      <c r="S13" s="1626"/>
      <c r="T13" s="1626"/>
      <c r="U13" s="1626"/>
      <c r="V13" s="1626"/>
      <c r="W13" s="1626"/>
      <c r="X13" s="1626"/>
      <c r="Y13" s="1626"/>
      <c r="Z13" s="1626"/>
      <c r="AA13" s="1626"/>
      <c r="AB13" s="1626"/>
      <c r="AC13" s="13">
        <f>SUMIF(AD$12:AS$12,"总值",AD13:AS13)</f>
        <v>160.80000000000001</v>
      </c>
      <c r="AD13" s="1627"/>
      <c r="AE13" s="1627"/>
      <c r="AF13" s="1627"/>
      <c r="AG13" s="1627"/>
      <c r="AH13" s="1627"/>
      <c r="AI13" s="1627"/>
      <c r="AJ13" s="1627"/>
      <c r="AK13" s="1627"/>
      <c r="AL13" s="1627">
        <v>160.80000000000001</v>
      </c>
      <c r="AM13" s="1627"/>
      <c r="AN13" s="1627"/>
      <c r="AO13" s="1627"/>
      <c r="AP13" s="1627"/>
      <c r="AQ13" s="1627"/>
      <c r="AR13" s="1627"/>
      <c r="AS13" s="1627"/>
      <c r="AT13" s="1628"/>
      <c r="AU13" s="1629"/>
      <c r="AV13" s="8">
        <f t="shared" ref="AV13:AX17" si="6">A13</f>
        <v>0</v>
      </c>
      <c r="AW13" s="8">
        <f t="shared" si="6"/>
        <v>0</v>
      </c>
      <c r="AX13" s="8" t="str">
        <f t="shared" si="6"/>
        <v>1#厂房</v>
      </c>
      <c r="AY13" s="1349">
        <f>ROUND($AY$6*AZ13/$AZ$5,2)</f>
        <v>3510.4</v>
      </c>
      <c r="AZ13" s="13">
        <f>BA13+BL13</f>
        <v>5202.4000000000005</v>
      </c>
      <c r="BA13" s="13">
        <f>SUM(BB13:BK13)</f>
        <v>5041.6000000000004</v>
      </c>
      <c r="BB13" s="13">
        <f>IF($D13="是",I13-J13,0)</f>
        <v>3797.8</v>
      </c>
      <c r="BC13" s="13">
        <f>IF($D13="是",K13-L13,0)</f>
        <v>1243.8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160.80000000000001</v>
      </c>
      <c r="BM13" s="13">
        <f>IF($D13="是",AD13-AE13,0)</f>
        <v>0</v>
      </c>
      <c r="BN13" s="13">
        <f>IF($D13="是",AF13-AG13,0)</f>
        <v>0</v>
      </c>
      <c r="BO13" s="13">
        <f>IF($D13="是",AH13-AI13,0)</f>
        <v>0</v>
      </c>
      <c r="BP13" s="13">
        <f>IF($D13="是",AJ13-AK13,0)</f>
        <v>0</v>
      </c>
      <c r="BQ13" s="13">
        <f>IF($D13="是",AL13-AM13,0)</f>
        <v>160.80000000000001</v>
      </c>
      <c r="BR13" s="13">
        <f>IF($D13="是",AN13-AO13,0)</f>
        <v>0</v>
      </c>
      <c r="BS13" s="13">
        <f>IF($D13="是",AP13-AQ13,0)</f>
        <v>0</v>
      </c>
      <c r="BT13" s="19">
        <f>IF($D13="是",AR13-AS13,0)</f>
        <v>0</v>
      </c>
    </row>
    <row r="14" spans="1:72" s="1579" customFormat="1" ht="12.75">
      <c r="A14" s="1051"/>
      <c r="B14" s="1051"/>
      <c r="C14" s="1570" t="s">
        <v>3386</v>
      </c>
      <c r="D14" s="1625" t="s">
        <v>3391</v>
      </c>
      <c r="E14" s="13">
        <f>IF($C$3="是",ROUND($A$3*G14/$B$3,2),ROUND($A$3*(G14-AT14)/$B$3,2))</f>
        <v>2919.31</v>
      </c>
      <c r="F14" s="29"/>
      <c r="G14" s="30">
        <f>H14+AC14+AT14</f>
        <v>4326.4000000000005</v>
      </c>
      <c r="H14" s="17">
        <f>SUMIF(I$12:AB$12,"总值",I14:AB14)</f>
        <v>4053.7</v>
      </c>
      <c r="I14" s="1626">
        <v>4053.7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222.6</v>
      </c>
      <c r="AD14" s="1627"/>
      <c r="AE14" s="1627"/>
      <c r="AF14" s="1627"/>
      <c r="AG14" s="1627"/>
      <c r="AH14" s="1627"/>
      <c r="AI14" s="1627"/>
      <c r="AJ14" s="1627"/>
      <c r="AK14" s="1627"/>
      <c r="AL14" s="1627">
        <v>222.6</v>
      </c>
      <c r="AM14" s="1627"/>
      <c r="AN14" s="1627"/>
      <c r="AO14" s="1627"/>
      <c r="AP14" s="1627"/>
      <c r="AQ14" s="1627"/>
      <c r="AR14" s="1627"/>
      <c r="AS14" s="1627"/>
      <c r="AT14" s="1628">
        <v>50.1</v>
      </c>
      <c r="AU14" s="1629"/>
      <c r="AV14" s="8">
        <f t="shared" si="6"/>
        <v>0</v>
      </c>
      <c r="AW14" s="8">
        <f t="shared" si="6"/>
        <v>0</v>
      </c>
      <c r="AX14" s="8" t="str">
        <f t="shared" si="6"/>
        <v>2#厂房</v>
      </c>
      <c r="AY14" s="1349">
        <f>ROUND($AY$6*AZ14/$AZ$5,2)</f>
        <v>2885.5</v>
      </c>
      <c r="AZ14" s="13">
        <f>BA14+BL14</f>
        <v>4276.3</v>
      </c>
      <c r="BA14" s="13">
        <f>SUM(BB14:BK14)</f>
        <v>4053.7</v>
      </c>
      <c r="BB14" s="13">
        <f>IF($D14="是",I14-J14,0)</f>
        <v>4053.7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222.6</v>
      </c>
      <c r="BM14" s="13">
        <f>IF($D14="是",AD14-AE14,0)</f>
        <v>0</v>
      </c>
      <c r="BN14" s="13">
        <f>IF($D14="是",AF14-AG14,0)</f>
        <v>0</v>
      </c>
      <c r="BO14" s="13">
        <f>IF($D14="是",AH14-AI14,0)</f>
        <v>0</v>
      </c>
      <c r="BP14" s="13">
        <f>IF($D14="是",AJ14-AK14,0)</f>
        <v>0</v>
      </c>
      <c r="BQ14" s="13">
        <f>IF($D14="是",AL14-AM14,0)</f>
        <v>222.6</v>
      </c>
      <c r="BR14" s="13">
        <f>IF($D14="是",AN14-AO14,0)</f>
        <v>0</v>
      </c>
      <c r="BS14" s="13">
        <f>IF($D14="是",AP14-AQ14,0)</f>
        <v>0</v>
      </c>
      <c r="BT14" s="19">
        <f>IF($D14="是",AR14-AS14,0)</f>
        <v>0</v>
      </c>
    </row>
    <row r="15" spans="1:72" s="1579" customFormat="1" ht="12.75">
      <c r="A15" s="1051"/>
      <c r="B15" s="1051"/>
      <c r="C15" s="1570" t="s">
        <v>3387</v>
      </c>
      <c r="D15" s="1625" t="s">
        <v>3391</v>
      </c>
      <c r="E15" s="13">
        <f>IF($C$3="是",ROUND($A$3*G15/$B$3,2),ROUND($A$3*(G15-AT15)/$B$3,2))</f>
        <v>9354.2800000000007</v>
      </c>
      <c r="F15" s="29"/>
      <c r="G15" s="30">
        <f>H15+AC15+AT15</f>
        <v>13863</v>
      </c>
      <c r="H15" s="17">
        <f>SUMIF(I$12:AB$12,"总值",I15:AB15)</f>
        <v>13568</v>
      </c>
      <c r="I15" s="1626">
        <f>6084+6784</f>
        <v>12868</v>
      </c>
      <c r="J15" s="1626"/>
      <c r="K15" s="1626">
        <v>700</v>
      </c>
      <c r="L15" s="1626"/>
      <c r="M15" s="1626"/>
      <c r="N15" s="1626"/>
      <c r="O15" s="1626"/>
      <c r="P15" s="1626"/>
      <c r="Q15" s="1626"/>
      <c r="R15" s="1626"/>
      <c r="S15" s="1626"/>
      <c r="T15" s="1626"/>
      <c r="U15" s="1626"/>
      <c r="V15" s="1626"/>
      <c r="W15" s="1626"/>
      <c r="X15" s="1626"/>
      <c r="Y15" s="1626"/>
      <c r="Z15" s="1626"/>
      <c r="AA15" s="1626"/>
      <c r="AB15" s="1626"/>
      <c r="AC15" s="13">
        <f>SUMIF(AD$12:AS$12,"总值",AD15:AS15)</f>
        <v>295</v>
      </c>
      <c r="AD15" s="1627"/>
      <c r="AE15" s="1627"/>
      <c r="AF15" s="1627"/>
      <c r="AG15" s="1627"/>
      <c r="AH15" s="1627"/>
      <c r="AI15" s="1627"/>
      <c r="AJ15" s="1627"/>
      <c r="AK15" s="1627"/>
      <c r="AL15" s="1627">
        <f>30+265</f>
        <v>295</v>
      </c>
      <c r="AM15" s="1627"/>
      <c r="AN15" s="1627"/>
      <c r="AO15" s="1627"/>
      <c r="AP15" s="1627"/>
      <c r="AQ15" s="1627"/>
      <c r="AR15" s="1627"/>
      <c r="AS15" s="1627"/>
      <c r="AT15" s="1628"/>
      <c r="AU15" s="1629"/>
      <c r="AV15" s="8">
        <f t="shared" si="6"/>
        <v>0</v>
      </c>
      <c r="AW15" s="8">
        <f t="shared" si="6"/>
        <v>0</v>
      </c>
      <c r="AX15" s="8" t="str">
        <f t="shared" si="6"/>
        <v>3#厂房</v>
      </c>
      <c r="AY15" s="1349">
        <f>ROUND($AY$6*AZ15/$AZ$5,2)</f>
        <v>9354.2900000000009</v>
      </c>
      <c r="AZ15" s="13">
        <f>BA15+BL15</f>
        <v>13863</v>
      </c>
      <c r="BA15" s="13">
        <f>SUM(BB15:BK15)</f>
        <v>13568</v>
      </c>
      <c r="BB15" s="13">
        <f>IF($D15="是",I15-J15,0)</f>
        <v>12868</v>
      </c>
      <c r="BC15" s="13">
        <f>IF($D15="是",K15-L15,0)</f>
        <v>700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295</v>
      </c>
      <c r="BM15" s="13">
        <f>IF($D15="是",AD15-AE15,0)</f>
        <v>0</v>
      </c>
      <c r="BN15" s="13">
        <f>IF($D15="是",AF15-AG15,0)</f>
        <v>0</v>
      </c>
      <c r="BO15" s="13">
        <f>IF($D15="是",AH15-AI15,0)</f>
        <v>0</v>
      </c>
      <c r="BP15" s="13">
        <f>IF($D15="是",AJ15-AK15,0)</f>
        <v>0</v>
      </c>
      <c r="BQ15" s="13">
        <f>IF($D15="是",AL15-AM15,0)</f>
        <v>295</v>
      </c>
      <c r="BR15" s="13">
        <f>IF($D15="是",AN15-AO15,0)</f>
        <v>0</v>
      </c>
      <c r="BS15" s="13">
        <f>IF($D15="是",AP15-AQ15,0)</f>
        <v>0</v>
      </c>
      <c r="BT15" s="19">
        <f>IF($D15="是",AR15-AS15,0)</f>
        <v>0</v>
      </c>
    </row>
    <row r="16" spans="1:72" s="1579" customFormat="1" ht="12.75">
      <c r="A16" s="1051"/>
      <c r="B16" s="1051"/>
      <c r="C16" s="3450" t="s">
        <v>3388</v>
      </c>
      <c r="D16" s="1625" t="s">
        <v>3391</v>
      </c>
      <c r="E16" s="13">
        <f>IF($C$3="是",ROUND($A$3*G16/$B$3,2),ROUND($A$3*(G16-AT16)/$B$3,2))</f>
        <v>20.239999999999998</v>
      </c>
      <c r="F16" s="29"/>
      <c r="G16" s="30">
        <f>H16+AC16+AT16</f>
        <v>30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30</v>
      </c>
      <c r="AD16" s="1627"/>
      <c r="AE16" s="1627"/>
      <c r="AF16" s="1627"/>
      <c r="AG16" s="1627"/>
      <c r="AH16" s="1627"/>
      <c r="AI16" s="1627"/>
      <c r="AJ16" s="1627"/>
      <c r="AK16" s="1627"/>
      <c r="AL16" s="1627">
        <v>30</v>
      </c>
      <c r="AM16" s="1627"/>
      <c r="AN16" s="1627"/>
      <c r="AO16" s="1627"/>
      <c r="AP16" s="1627"/>
      <c r="AQ16" s="1627"/>
      <c r="AR16" s="1627"/>
      <c r="AS16" s="1627"/>
      <c r="AT16" s="1628"/>
      <c r="AU16" s="1629"/>
      <c r="AV16" s="8">
        <f t="shared" si="6"/>
        <v>0</v>
      </c>
      <c r="AW16" s="8">
        <f t="shared" si="6"/>
        <v>0</v>
      </c>
      <c r="AX16" s="8" t="str">
        <f t="shared" si="6"/>
        <v>门卫</v>
      </c>
      <c r="AY16" s="1349">
        <f>ROUND($AY$6*AZ16/$AZ$5,2)</f>
        <v>20.239999999999998</v>
      </c>
      <c r="AZ16" s="13">
        <f>BA16+BL16</f>
        <v>30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30</v>
      </c>
      <c r="BM16" s="13">
        <f>IF($D16="是",AD16-AE16,0)</f>
        <v>0</v>
      </c>
      <c r="BN16" s="13">
        <f>IF($D16="是",AF16-AG16,0)</f>
        <v>0</v>
      </c>
      <c r="BO16" s="13">
        <f>IF($D16="是",AH16-AI16,0)</f>
        <v>0</v>
      </c>
      <c r="BP16" s="13">
        <f>IF($D16="是",AJ16-AK16,0)</f>
        <v>0</v>
      </c>
      <c r="BQ16" s="13">
        <f>IF($D16="是",AL16-AM16,0)</f>
        <v>30</v>
      </c>
      <c r="BR16" s="13">
        <f>IF($D16="是",AN16-AO16,0)</f>
        <v>0</v>
      </c>
      <c r="BS16" s="13">
        <f>IF($D16="是",AP16-AQ16,0)</f>
        <v>0</v>
      </c>
      <c r="BT16" s="19">
        <f>IF($D16="是",AR16-AS16,0)</f>
        <v>0</v>
      </c>
    </row>
    <row r="17" spans="1:72" s="1579" customFormat="1" ht="12.75">
      <c r="A17" s="1051"/>
      <c r="B17" s="1051"/>
      <c r="C17" s="3450" t="s">
        <v>3389</v>
      </c>
      <c r="D17" s="1625" t="s">
        <v>3391</v>
      </c>
      <c r="E17" s="13">
        <f>IF($C$3="是",ROUND($A$3*G17/$B$3,2),ROUND($A$3*(G17-AT17)/$B$3,2))</f>
        <v>7848.07</v>
      </c>
      <c r="F17" s="29"/>
      <c r="G17" s="30">
        <f>H17+AC17+AT17</f>
        <v>11630.800000000001</v>
      </c>
      <c r="H17" s="17">
        <f>SUMIF(I$12:AB$12,"总值",I17:AB17)</f>
        <v>7113.3</v>
      </c>
      <c r="I17" s="1626"/>
      <c r="J17" s="1626"/>
      <c r="K17" s="1626"/>
      <c r="L17" s="1626"/>
      <c r="M17" s="1626">
        <v>7113.3</v>
      </c>
      <c r="N17" s="1626"/>
      <c r="O17" s="1626"/>
      <c r="P17" s="1626"/>
      <c r="Q17" s="1626"/>
      <c r="R17" s="1626"/>
      <c r="S17" s="1626"/>
      <c r="T17" s="1626"/>
      <c r="U17" s="1626"/>
      <c r="V17" s="1626"/>
      <c r="W17" s="1626"/>
      <c r="X17" s="1626"/>
      <c r="Y17" s="1626"/>
      <c r="Z17" s="1626"/>
      <c r="AA17" s="1626"/>
      <c r="AB17" s="1626"/>
      <c r="AC17" s="13">
        <f>SUMIF(AD$12:AS$12,"总值",AD17:AS17)</f>
        <v>3974.1000000000004</v>
      </c>
      <c r="AD17" s="1627"/>
      <c r="AE17" s="1627"/>
      <c r="AF17" s="1627"/>
      <c r="AG17" s="1627"/>
      <c r="AH17" s="1627"/>
      <c r="AI17" s="1627"/>
      <c r="AJ17" s="1627"/>
      <c r="AK17" s="1627"/>
      <c r="AL17" s="1627"/>
      <c r="AM17" s="1627"/>
      <c r="AN17" s="1627">
        <f>410.3+3563.8</f>
        <v>3974.1000000000004</v>
      </c>
      <c r="AO17" s="1627"/>
      <c r="AP17" s="1627"/>
      <c r="AQ17" s="1627"/>
      <c r="AR17" s="1627"/>
      <c r="AS17" s="1627"/>
      <c r="AT17" s="1628">
        <v>543.4</v>
      </c>
      <c r="AU17" s="1629"/>
      <c r="AV17" s="8">
        <f t="shared" si="6"/>
        <v>0</v>
      </c>
      <c r="AW17" s="8">
        <f t="shared" si="6"/>
        <v>0</v>
      </c>
      <c r="AX17" s="8" t="str">
        <f t="shared" si="6"/>
        <v>地下车库</v>
      </c>
      <c r="AY17" s="1349">
        <f>ROUND($AY$6*AZ17/$AZ$5,2)</f>
        <v>7481.4</v>
      </c>
      <c r="AZ17" s="13">
        <f>BA17+BL17</f>
        <v>11087.400000000001</v>
      </c>
      <c r="BA17" s="13">
        <f>SUM(BB17:BK17)</f>
        <v>7113.3</v>
      </c>
      <c r="BB17" s="13">
        <f>IF($D17="是",I17-J17,0)</f>
        <v>0</v>
      </c>
      <c r="BC17" s="13">
        <f>IF($D17="是",K17-L17,0)</f>
        <v>0</v>
      </c>
      <c r="BD17" s="13">
        <f>IF($D17="是",M17-N17,0)</f>
        <v>7113.3</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3974.1000000000004</v>
      </c>
      <c r="BM17" s="13">
        <f>IF($D17="是",AD17-AE17,0)</f>
        <v>0</v>
      </c>
      <c r="BN17" s="13">
        <f>IF($D17="是",AF17-AG17,0)</f>
        <v>0</v>
      </c>
      <c r="BO17" s="13">
        <f>IF($D17="是",AH17-AI17,0)</f>
        <v>0</v>
      </c>
      <c r="BP17" s="13">
        <f>IF($D17="是",AJ17-AK17,0)</f>
        <v>0</v>
      </c>
      <c r="BQ17" s="13">
        <f>IF($D17="是",AL17-AM17,0)</f>
        <v>0</v>
      </c>
      <c r="BR17" s="13">
        <f>IF($D17="是",AN17-AO17,0)</f>
        <v>3974.1000000000004</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35" sqref="C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4" t="s">
        <v>1130</v>
      </c>
      <c r="B2" s="3534"/>
      <c r="C2" s="3534"/>
      <c r="D2" s="796" t="s">
        <v>1106</v>
      </c>
      <c r="E2" s="1639" t="s">
        <v>1107</v>
      </c>
      <c r="F2" s="2659"/>
      <c r="G2" s="2650"/>
      <c r="H2" s="2651"/>
      <c r="I2" s="2325" t="s">
        <v>1131</v>
      </c>
      <c r="J2" s="2659"/>
      <c r="K2" s="2659"/>
      <c r="L2" s="2659"/>
      <c r="M2" s="2659"/>
      <c r="N2" s="2661"/>
      <c r="O2" s="2659"/>
      <c r="P2" s="2659"/>
    </row>
    <row r="3" spans="1:16" ht="15.75" thickBot="1">
      <c r="A3" s="3535" t="s">
        <v>1104</v>
      </c>
      <c r="B3" s="3535"/>
      <c r="C3" s="3535"/>
      <c r="D3" s="43">
        <f>'数据-基础表'!AY6</f>
        <v>23251.84</v>
      </c>
      <c r="E3" s="43">
        <f>'数据-基础表'!AZ5</f>
        <v>34459.100000000006</v>
      </c>
      <c r="F3" s="2659"/>
      <c r="G3" s="1145"/>
      <c r="H3" s="1026" t="s">
        <v>1105</v>
      </c>
      <c r="I3" s="855">
        <f>ROUND('数据-基础表'!B3/'数据-基础表'!A3,2)</f>
        <v>1.48</v>
      </c>
      <c r="J3" s="2659"/>
      <c r="K3" s="2659"/>
      <c r="L3" s="2659"/>
      <c r="M3" s="2659"/>
      <c r="N3" s="2661"/>
      <c r="O3" s="2659"/>
      <c r="P3" s="2659"/>
    </row>
    <row r="4" spans="1:16" ht="15">
      <c r="A4" s="3536"/>
      <c r="B4" s="3537"/>
      <c r="C4" s="3538"/>
      <c r="D4" s="1641" t="s">
        <v>1106</v>
      </c>
      <c r="E4" s="1642" t="s">
        <v>1107</v>
      </c>
      <c r="F4" s="2659"/>
      <c r="G4" s="2652" t="s">
        <v>1132</v>
      </c>
      <c r="H4" s="1026" t="s">
        <v>1112</v>
      </c>
      <c r="I4" s="855">
        <f>ROUND(SUMIF('数据-基础表'!I9:AS9,"地上",'数据-基础表'!I5:AS5)/'数据-基础表'!A3,2)</f>
        <v>0.99</v>
      </c>
      <c r="J4" s="2659"/>
      <c r="K4" s="2659"/>
      <c r="L4" s="2659"/>
      <c r="M4" s="2659"/>
      <c r="N4" s="2661"/>
      <c r="O4" s="2659"/>
      <c r="P4" s="2659"/>
    </row>
    <row r="5" spans="1:16">
      <c r="A5" s="44" t="s">
        <v>1108</v>
      </c>
      <c r="B5" s="3539" t="s">
        <v>1109</v>
      </c>
      <c r="C5" s="3539"/>
      <c r="D5" s="45">
        <f>ROUND($D$3*E5/$E$3,2)</f>
        <v>0</v>
      </c>
      <c r="E5" s="46">
        <f>SUMIF('数据-基础表'!$11:$11,"住宅",'数据-基础表'!$5:$5)</f>
        <v>0</v>
      </c>
      <c r="F5" s="2659"/>
      <c r="G5" s="1145"/>
      <c r="H5" s="1026" t="s">
        <v>1105</v>
      </c>
      <c r="I5" s="855">
        <f>ROUND(E31/D31,2)</f>
        <v>1.48</v>
      </c>
      <c r="J5" s="2659"/>
      <c r="K5" s="2659"/>
      <c r="L5" s="2659"/>
      <c r="M5" s="2659"/>
      <c r="N5" s="2659"/>
      <c r="O5" s="2659"/>
      <c r="P5" s="2659"/>
    </row>
    <row r="6" spans="1:16" ht="15" thickBot="1">
      <c r="A6" s="1644"/>
      <c r="B6" s="3539" t="s">
        <v>1110</v>
      </c>
      <c r="C6" s="3539"/>
      <c r="D6" s="45">
        <f>ROUND($D$3*E6/$E$3,2)</f>
        <v>23251.84</v>
      </c>
      <c r="E6" s="46">
        <f>E3-E5</f>
        <v>34459.100000000006</v>
      </c>
      <c r="F6" s="2659"/>
      <c r="G6" s="2653" t="s">
        <v>1111</v>
      </c>
      <c r="H6" s="1146" t="s">
        <v>1112</v>
      </c>
      <c r="I6" s="2654">
        <f>ROUND(F31/D31,2)</f>
        <v>1.01</v>
      </c>
      <c r="J6" s="2659"/>
      <c r="K6" s="2659"/>
      <c r="L6" s="2659"/>
      <c r="M6" s="2659"/>
      <c r="N6" s="2659"/>
      <c r="O6" s="2659"/>
      <c r="P6" s="2659"/>
    </row>
    <row r="7" spans="1:16" ht="15.75" thickBot="1">
      <c r="A7" s="3531"/>
      <c r="B7" s="3532"/>
      <c r="C7" s="3533"/>
      <c r="D7" s="1641" t="s">
        <v>1106</v>
      </c>
      <c r="E7" s="1645" t="s">
        <v>1113</v>
      </c>
      <c r="F7" s="2659"/>
      <c r="G7" s="2655" t="s">
        <v>1114</v>
      </c>
      <c r="H7" s="2656"/>
      <c r="I7" s="2657"/>
      <c r="J7" s="2659"/>
      <c r="K7" s="2659"/>
      <c r="L7" s="2659"/>
      <c r="M7" s="2659"/>
      <c r="N7" s="2659"/>
      <c r="O7" s="2659"/>
      <c r="P7" s="2659"/>
    </row>
    <row r="8" spans="1:16">
      <c r="A8" s="44" t="s">
        <v>1115</v>
      </c>
      <c r="B8" s="47" t="s">
        <v>1116</v>
      </c>
      <c r="C8" s="45" t="s">
        <v>1117</v>
      </c>
      <c r="D8" s="45">
        <f t="shared" ref="D8:D15" si="0">ROUND($D$3*E8/$E$3,2)</f>
        <v>15292.43</v>
      </c>
      <c r="E8" s="48">
        <f>SUMIF('数据-基础表'!BB10:BK10,"地上",'数据-基础表'!BB5:BK5)</f>
        <v>22663.3</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4799.82</v>
      </c>
      <c r="E13" s="48">
        <f>SUMPRODUCT(('数据-基础表'!BB10:BK10="地下")*('数据-基础表'!BB11:BK11="车库")*('数据-基础表'!BB5:BK5))</f>
        <v>7113.3</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20092.25</v>
      </c>
      <c r="E16" s="50">
        <f>SUM(E8:E15)</f>
        <v>29776.6</v>
      </c>
      <c r="F16" s="2659"/>
      <c r="G16" s="2660"/>
      <c r="H16" s="1648" t="s">
        <v>1134</v>
      </c>
      <c r="I16" s="1649"/>
      <c r="J16" s="1139"/>
      <c r="K16" s="3528" t="s">
        <v>1134</v>
      </c>
      <c r="L16" s="3529"/>
      <c r="M16" s="3529"/>
      <c r="N16" s="3529"/>
      <c r="O16" s="3529"/>
      <c r="P16" s="3530"/>
    </row>
    <row r="17" spans="1:19" ht="15">
      <c r="A17" s="1650" t="s">
        <v>1135</v>
      </c>
      <c r="B17" s="1651" t="s">
        <v>1136</v>
      </c>
      <c r="C17" s="1652" t="s">
        <v>1137</v>
      </c>
      <c r="D17" s="1653" t="s">
        <v>1125</v>
      </c>
      <c r="E17" s="1654" t="s">
        <v>1126</v>
      </c>
      <c r="F17" s="1655"/>
      <c r="G17" s="1656"/>
      <c r="H17" s="1657" t="s">
        <v>1138</v>
      </c>
      <c r="I17" s="1658" t="s">
        <v>1123</v>
      </c>
      <c r="J17" s="1139"/>
      <c r="K17" s="3525" t="s">
        <v>1139</v>
      </c>
      <c r="L17" s="3526"/>
      <c r="M17" s="3527"/>
      <c r="N17" s="3525" t="s">
        <v>1140</v>
      </c>
      <c r="O17" s="3526"/>
      <c r="P17" s="352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3392</v>
      </c>
      <c r="D19" s="45">
        <f>ROUND($D$3*E19/$E$3,2)</f>
        <v>15292.43</v>
      </c>
      <c r="E19" s="53">
        <f t="shared" ref="E19:E26" si="1">SUM(F19:G19)</f>
        <v>22663.3</v>
      </c>
      <c r="F19" s="2795">
        <f>'数据-基础表'!I5+'数据-基础表'!K5</f>
        <v>22663.3</v>
      </c>
      <c r="G19" s="2796"/>
      <c r="H19" s="670">
        <f>ROUND($D$3*I19/$E$3,2)</f>
        <v>2404.8000000000002</v>
      </c>
      <c r="I19" s="48">
        <f t="shared" ref="I19:I26" si="2">IF($I$17="自定义",P19,M19)</f>
        <v>3563.9</v>
      </c>
      <c r="J19" s="1139"/>
      <c r="K19" s="1138">
        <f t="shared" ref="K19:K26" si="3">ROUND(E$28*E19/E$27,2)</f>
        <v>3563.9</v>
      </c>
      <c r="L19" s="1026">
        <f t="shared" ref="L19:L26" si="4">ROUND(IF(COUNTIF(C19,"*住宅*")&gt;0,E$29*E19/E$32,0),2)</f>
        <v>0</v>
      </c>
      <c r="M19" s="1150">
        <f>K19+L19</f>
        <v>3563.9</v>
      </c>
      <c r="N19" s="1668"/>
      <c r="O19" s="1669"/>
      <c r="P19" s="1150">
        <f>N19+O19</f>
        <v>0</v>
      </c>
      <c r="R19" s="1026">
        <f t="shared" ref="R19:S26" si="5">D19+H19</f>
        <v>17697.23</v>
      </c>
      <c r="S19" s="1027">
        <f t="shared" si="5"/>
        <v>26227.200000000001</v>
      </c>
    </row>
    <row r="20" spans="1:19">
      <c r="A20" s="1670"/>
      <c r="B20" s="47" t="s">
        <v>1152</v>
      </c>
      <c r="C20" s="3417" t="s">
        <v>3393</v>
      </c>
      <c r="D20" s="45">
        <f t="shared" ref="D20:D26" si="6">ROUND($D$3*E20/$E$3,2)</f>
        <v>4799.82</v>
      </c>
      <c r="E20" s="53">
        <f t="shared" si="1"/>
        <v>7113.3</v>
      </c>
      <c r="F20" s="2795"/>
      <c r="G20" s="2796">
        <f>'数据-基础表'!M5</f>
        <v>7113.3</v>
      </c>
      <c r="H20" s="670">
        <f t="shared" ref="H20:H26" si="7">ROUND($D$3*I20/$E$3,2)</f>
        <v>754.79</v>
      </c>
      <c r="I20" s="48">
        <f t="shared" si="2"/>
        <v>1118.5999999999999</v>
      </c>
      <c r="J20" s="1139"/>
      <c r="K20" s="1138">
        <f t="shared" si="3"/>
        <v>1118.5999999999999</v>
      </c>
      <c r="L20" s="1026">
        <f t="shared" si="4"/>
        <v>0</v>
      </c>
      <c r="M20" s="1150">
        <f t="shared" ref="M20:M26" si="8">K20+L20</f>
        <v>1118.5999999999999</v>
      </c>
      <c r="N20" s="1668"/>
      <c r="O20" s="1669"/>
      <c r="P20" s="1150">
        <f t="shared" ref="P20:P26" si="9">N20+O20</f>
        <v>0</v>
      </c>
      <c r="R20" s="1026">
        <f t="shared" si="5"/>
        <v>5554.61</v>
      </c>
      <c r="S20" s="1027">
        <f t="shared" si="5"/>
        <v>8231.9</v>
      </c>
    </row>
    <row r="21" spans="1:19">
      <c r="A21" s="1670"/>
      <c r="B21" s="47" t="s">
        <v>1152</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20092.25</v>
      </c>
      <c r="E27" s="1141">
        <f>IF(SUM(E19:E26)='数据-基础表'!BA5,SUM(E19:E26),IF(F27="地上面积有误","面积有误","地下面积有误"))</f>
        <v>29776.6</v>
      </c>
      <c r="F27" s="1140">
        <f>IF(SUM(F19:F26)=E8,SUM(F19:F26),"地上面积有误")</f>
        <v>22663.3</v>
      </c>
      <c r="G27" s="1142">
        <f>SUM(G19:G26)</f>
        <v>7113.3</v>
      </c>
      <c r="H27" s="1143">
        <f>SUM(H19:H26)</f>
        <v>3159.59</v>
      </c>
      <c r="I27" s="1144">
        <f>SUM(I19:I26)</f>
        <v>4682.5</v>
      </c>
      <c r="J27" s="1139"/>
      <c r="K27" s="1147">
        <f>SUM(K19:K26)</f>
        <v>4682.5</v>
      </c>
      <c r="L27" s="1148">
        <f>SUM(L19:L26)</f>
        <v>0</v>
      </c>
      <c r="M27" s="1151">
        <f>SUM(M19:M26)</f>
        <v>4682.5</v>
      </c>
      <c r="N27" s="1147">
        <f t="shared" ref="N27:O27" si="10">SUM(N19:N26)</f>
        <v>0</v>
      </c>
      <c r="O27" s="1148">
        <f t="shared" si="10"/>
        <v>0</v>
      </c>
      <c r="P27" s="1149">
        <f>SUM(P19:P26)</f>
        <v>0</v>
      </c>
      <c r="R27" s="1028">
        <f>IF(SUM(R19:R26)=$D$3,SUM(R19:R26),SUM(R19:R26)&amp;"误差"&amp;ROUND(SUM(R19:R26)-$D$3,2))</f>
        <v>23251.84</v>
      </c>
      <c r="S27" s="1026">
        <f>IF(SUM(S19:S26)=$E$3,SUM(S19:S26),SUM(S19:S26)&amp;"误差"&amp;ROUND(SUM(S19:S26)-E3,2))</f>
        <v>34459.1</v>
      </c>
    </row>
    <row r="28" spans="1:19">
      <c r="A28" s="1670"/>
      <c r="B28" s="47" t="s">
        <v>1154</v>
      </c>
      <c r="C28" s="1038" t="s">
        <v>1155</v>
      </c>
      <c r="D28" s="45">
        <f>ROUND($D$3*E28/$E$3,2)</f>
        <v>3159.59</v>
      </c>
      <c r="E28" s="53">
        <f>SUM(F28:G28)</f>
        <v>4682.5</v>
      </c>
      <c r="F28" s="56">
        <f>'数据-基础表'!BQ5+'数据-基础表'!BS5</f>
        <v>708.4</v>
      </c>
      <c r="G28" s="57">
        <f>'数据-基础表'!BR5+'数据-基础表'!BT5</f>
        <v>3974.1000000000004</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3159.59</v>
      </c>
      <c r="E30" s="1140">
        <f>SUM(E28:E29)</f>
        <v>4682.5</v>
      </c>
      <c r="F30" s="1140">
        <f>SUM(F28:F29)</f>
        <v>708.4</v>
      </c>
      <c r="G30" s="1142">
        <f>SUM(G28:G29)</f>
        <v>3974.1000000000004</v>
      </c>
      <c r="H30" s="2659"/>
      <c r="I30" s="2659"/>
      <c r="J30" s="2659"/>
      <c r="K30" s="2659"/>
      <c r="L30" s="2659"/>
      <c r="M30" s="2659"/>
      <c r="N30" s="2659"/>
      <c r="O30" s="2659"/>
      <c r="P30" s="2659"/>
    </row>
    <row r="31" spans="1:19" ht="15.75" thickBot="1">
      <c r="A31" s="1676"/>
      <c r="B31" s="1677"/>
      <c r="C31" s="835" t="s">
        <v>1157</v>
      </c>
      <c r="D31" s="676">
        <f>D27+D30</f>
        <v>23251.84</v>
      </c>
      <c r="E31" s="676">
        <f>E27+E30</f>
        <v>34459.1</v>
      </c>
      <c r="F31" s="677">
        <f>F27+F30</f>
        <v>23371.7</v>
      </c>
      <c r="G31" s="678">
        <f>G27+G30</f>
        <v>11087.400000000001</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9" sqref="L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45026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20</v>
      </c>
      <c r="E6" s="857">
        <f>IF(B6="","",SUMIF(项目基本情况!C$12:I$12,C6,项目基本情况!C$13:I$13))</f>
        <v>51806</v>
      </c>
      <c r="F6" s="64">
        <f>SUMIF(项目基本情况!C$12:I$12,C6,项目基本情况!C$15:I$15)</f>
        <v>18.57</v>
      </c>
      <c r="G6" s="65">
        <f>IF(ISERROR(ROUND(POWER(1+H6,D6-F6)*(POWER(1+H6,F6)-1)/(POWER(1+H6,D6)-1),3)),0,ROUND(POWER(1+H6,D6-F6)*(POWER(1+H6,F6)-1)/(POWER(1+H6,D6)-1),3))</f>
        <v>0.95599999999999996</v>
      </c>
      <c r="H6" s="732">
        <v>0.05</v>
      </c>
      <c r="I6" s="732">
        <v>5.5E-2</v>
      </c>
      <c r="J6" s="66">
        <v>7.4999999999999997E-2</v>
      </c>
      <c r="K6" s="1030">
        <f>SUMIF('数据-汇总表'!C$19:C$33,A6,'数据-汇总表'!E$19:E$33)</f>
        <v>22663.3</v>
      </c>
      <c r="L6" s="733">
        <v>3000</v>
      </c>
      <c r="M6" s="67">
        <f t="shared" ref="M6:M14" si="0">ROUND(K6*L6/10000,0)</f>
        <v>6799</v>
      </c>
      <c r="N6" s="731">
        <v>0.6</v>
      </c>
      <c r="O6" s="67">
        <f>IF($N$5="成新度","——",ROUND(M6*N6,0))</f>
        <v>4079</v>
      </c>
      <c r="P6" s="68">
        <f>IF($N$5="成新度","——",M6-O6)</f>
        <v>2720</v>
      </c>
      <c r="Q6" s="734">
        <v>0.1</v>
      </c>
      <c r="R6" s="69">
        <f ca="1">SUMIF('数据-汇总表'!C$19:C$33,A6,'数据-汇总表'!R$19:R$27)</f>
        <v>17697.23</v>
      </c>
      <c r="S6" s="51">
        <f>IF('数据-汇总表'!$I$17="按面积比例",SUMIF('数据-汇总表'!C$19:C$33,A6,'数据-汇总表'!K$19:K$33),SUMIF('数据-汇总表'!C$19:C$33,A6,'数据-汇总表'!N$19:N$33))</f>
        <v>3563.9</v>
      </c>
      <c r="T6" s="1172">
        <f>ROUND($L$14*S6/10000,0)</f>
        <v>1069</v>
      </c>
      <c r="U6" s="3452">
        <v>2.5</v>
      </c>
      <c r="V6" s="70">
        <v>2.5000000000000001E-2</v>
      </c>
      <c r="W6" s="70">
        <v>0.15</v>
      </c>
      <c r="X6" s="1040"/>
      <c r="Y6" s="71">
        <v>1</v>
      </c>
      <c r="Z6" s="72"/>
      <c r="AA6" s="66"/>
      <c r="AB6" s="66"/>
      <c r="AC6" s="1040"/>
      <c r="AD6" s="73"/>
      <c r="AE6" s="1041">
        <f ca="1">IF(AN6="",0,SUMIF(INDIRECT("'"&amp;AN6&amp;"'"&amp;"!E:E"),$AE$5,INDIRECT("'"&amp;AN6&amp;"'"&amp;"!F:F")))</f>
        <v>18.57</v>
      </c>
      <c r="AF6" s="1348"/>
      <c r="AG6" s="138">
        <f>IF(AF6="",0,AE6-AF6)</f>
        <v>0</v>
      </c>
      <c r="AH6" s="74"/>
      <c r="AI6" s="76">
        <v>365</v>
      </c>
      <c r="AJ6" s="77"/>
      <c r="AK6" s="78">
        <v>0.01</v>
      </c>
      <c r="AL6" s="79">
        <v>1.5E-3</v>
      </c>
      <c r="AM6" s="80">
        <v>0.01</v>
      </c>
      <c r="AN6" s="1715" t="s">
        <v>3396</v>
      </c>
      <c r="AO6" s="52">
        <f ca="1">SUMIF(INDIRECT("'"&amp;AN6&amp;"'"&amp;"!A:A"),"总价",INDIRECT("'"&amp;AN6&amp;"'"&amp;"!B:B"))</f>
        <v>20068</v>
      </c>
      <c r="AP6" s="1716">
        <f>IF(C6="住宅",K6*L6,0)</f>
        <v>0</v>
      </c>
      <c r="AQ6" s="52">
        <f>ROUND($L$14*$N$14*S6/10000,0)</f>
        <v>642</v>
      </c>
      <c r="AR6" s="52">
        <f>ROUND($L$14*(1-$N$14)*S6/10000,0)</f>
        <v>428</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3339</v>
      </c>
      <c r="D7" s="858">
        <f>SUMIF(项目基本情况!C$12:I$12,C7,项目基本情况!C$14:I$14)</f>
        <v>20</v>
      </c>
      <c r="E7" s="857">
        <f>IF(B7="","",SUMIF(项目基本情况!C$12:I$12,C7,项目基本情况!C$13:I$13))</f>
        <v>51806</v>
      </c>
      <c r="F7" s="64">
        <f>SUMIF(项目基本情况!C$12:I$12,C7,项目基本情况!C$15:I$15)</f>
        <v>18.57</v>
      </c>
      <c r="G7" s="65">
        <f t="shared" ref="G7:G11" si="2">IF(ISERROR(ROUND(POWER(1+H7,D7-F7)*(POWER(1+H7,F7)-1)/(POWER(1+H7,D7)-1),3)),0,ROUND(POWER(1+H7,D7-F7)*(POWER(1+H7,F7)-1)/(POWER(1+H7,D7)-1),3))</f>
        <v>0.95399999999999996</v>
      </c>
      <c r="H7" s="732">
        <v>4.4999999999999998E-2</v>
      </c>
      <c r="I7" s="732">
        <v>0.05</v>
      </c>
      <c r="J7" s="66">
        <v>7.4999999999999997E-2</v>
      </c>
      <c r="K7" s="1030">
        <f>SUMIF('数据-汇总表'!C$19:C$33,A7,'数据-汇总表'!E$19:E$33)</f>
        <v>7113.3</v>
      </c>
      <c r="L7" s="733">
        <f>L6</f>
        <v>3000</v>
      </c>
      <c r="M7" s="67">
        <f t="shared" si="0"/>
        <v>2134</v>
      </c>
      <c r="N7" s="731">
        <f>N6</f>
        <v>0.6</v>
      </c>
      <c r="O7" s="67">
        <f t="shared" ref="O7:O14" si="3">IF($N$5="成新度","——",ROUND(M7*N7,0))</f>
        <v>1280</v>
      </c>
      <c r="P7" s="68">
        <f t="shared" ref="P7:P14" si="4">IF($N$5="成新度","——",M7-O7)</f>
        <v>854</v>
      </c>
      <c r="Q7" s="734">
        <v>0.1</v>
      </c>
      <c r="R7" s="69">
        <f ca="1">SUMIF('数据-汇总表'!C$19:C$33,A7,'数据-汇总表'!R$19:R$27)</f>
        <v>5554.61</v>
      </c>
      <c r="S7" s="51">
        <f>IF('数据-汇总表'!$I$17="按面积比例",SUMIF('数据-汇总表'!C$19:C$33,A7,'数据-汇总表'!K$19:K$33),SUMIF('数据-汇总表'!C$19:C$33,A7,'数据-汇总表'!N$19:N$33))</f>
        <v>1118.5999999999999</v>
      </c>
      <c r="T7" s="1172">
        <f t="shared" ref="T7:T13" si="5">ROUND($L$14*S7/10000,0)</f>
        <v>336</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201</v>
      </c>
      <c r="AR7" s="52">
        <f t="shared" ref="AR7:AR13" si="11">ROUND($L$14*(1-$N$14)*S7/10000,0)</f>
        <v>134</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4682.5</v>
      </c>
      <c r="L14" s="82">
        <f>L6</f>
        <v>3000</v>
      </c>
      <c r="M14" s="67">
        <f t="shared" si="0"/>
        <v>1405</v>
      </c>
      <c r="N14" s="83">
        <f>N6</f>
        <v>0.6</v>
      </c>
      <c r="O14" s="67">
        <f t="shared" si="3"/>
        <v>843</v>
      </c>
      <c r="P14" s="68">
        <f t="shared" si="4"/>
        <v>562</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0.95599999999999996</v>
      </c>
      <c r="H16" s="90">
        <f>ROUND(SUMPRODUCT(H6:H13,K6:K13)/SUMPRODUCT((H6:H13&gt;0)*(K6:K13)),3)</f>
        <v>4.9000000000000002E-2</v>
      </c>
      <c r="I16" s="91"/>
      <c r="J16" s="91"/>
      <c r="K16" s="92">
        <f>SUM(K6:K15)</f>
        <v>34459.1</v>
      </c>
      <c r="L16" s="93">
        <f>ROUND(M16*10000/SUM(K6:K14),0)</f>
        <v>3000</v>
      </c>
      <c r="M16" s="93">
        <f>SUM(M6:M14)</f>
        <v>10338</v>
      </c>
      <c r="N16" s="94">
        <f>ROUND(SUMPRODUCT(M6:M14,N6:N14)/M16,3)</f>
        <v>0.6</v>
      </c>
      <c r="O16" s="93">
        <f>SUM(O6:O14)</f>
        <v>6202</v>
      </c>
      <c r="P16" s="93">
        <f>SUM(P6:P14)</f>
        <v>4136</v>
      </c>
      <c r="Q16" s="95">
        <f>ROUND(SUMPRODUCT(Q6:Q13,K6:K13)/SUMPRODUCT((Q6:Q13&gt;0)*(K6:K13)),2)</f>
        <v>0.1</v>
      </c>
      <c r="R16" s="1034">
        <f ca="1">SUM(R6:R13)</f>
        <v>23251.84</v>
      </c>
      <c r="S16" s="96">
        <f>SUM(S6:S13)</f>
        <v>4682.5</v>
      </c>
      <c r="T16" s="97">
        <f>IF(SUMIF(T6:T13,"&lt;9E307")=M14,SUMIF(T6:T13,"&lt;9E307"),"有误，请检查")</f>
        <v>1405</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1.5</v>
      </c>
      <c r="C20" s="2800" t="s">
        <v>2302</v>
      </c>
      <c r="D20" s="2676"/>
      <c r="E20" s="2673"/>
      <c r="F20" s="2673"/>
      <c r="G20" s="2673"/>
      <c r="H20" s="2673"/>
      <c r="I20" s="2673"/>
      <c r="J20" s="3451" t="s">
        <v>3408</v>
      </c>
      <c r="K20" s="2672">
        <f>'数据-基础表'!K5</f>
        <v>1943.8</v>
      </c>
      <c r="L20" s="2672">
        <v>2.5</v>
      </c>
      <c r="M20" s="2671">
        <f>L20*K20</f>
        <v>4859.5</v>
      </c>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f>B20*N16</f>
        <v>0.89999999999999991</v>
      </c>
      <c r="C21" s="2673"/>
      <c r="D21" s="2676"/>
      <c r="E21" s="2673"/>
      <c r="F21" s="2673"/>
      <c r="G21" s="2673"/>
      <c r="H21" s="2673"/>
      <c r="I21" s="2673"/>
      <c r="J21" s="3451" t="s">
        <v>3409</v>
      </c>
      <c r="K21" s="2672">
        <f>'数据-基础表'!I5</f>
        <v>20719.5</v>
      </c>
      <c r="L21" s="2672">
        <v>2</v>
      </c>
      <c r="M21" s="2671">
        <f>L21*K21</f>
        <v>41439</v>
      </c>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1.5</v>
      </c>
      <c r="C22" s="2673"/>
      <c r="D22" s="2676"/>
      <c r="E22" s="2673"/>
      <c r="F22" s="2673"/>
      <c r="G22" s="2673"/>
      <c r="H22" s="2673"/>
      <c r="I22" s="2673"/>
      <c r="J22" s="2673"/>
      <c r="K22" s="2672">
        <f>K20+K21</f>
        <v>22663.3</v>
      </c>
      <c r="L22" s="2672">
        <f>M22/K22</f>
        <v>2.0428843107579215</v>
      </c>
      <c r="M22" s="2671">
        <f>M20+M21</f>
        <v>46298.5</v>
      </c>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0.89999999999999991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0.60000000000000009</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689</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29</v>
      </c>
      <c r="C53" s="2661" t="s">
        <v>1245</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2285</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34459.100000000006</v>
      </c>
      <c r="C1" s="2686"/>
      <c r="D1" s="2686"/>
      <c r="E1" s="2686"/>
      <c r="F1" s="2686"/>
      <c r="G1" s="2687"/>
      <c r="H1" s="2688"/>
      <c r="I1" s="2688"/>
      <c r="J1" s="2688"/>
      <c r="K1" s="2688"/>
    </row>
    <row r="2" spans="1:11" ht="16.5">
      <c r="A2" s="2512" t="s">
        <v>653</v>
      </c>
      <c r="B2" s="2512">
        <f>SUM(C14:C23)</f>
        <v>23251.84</v>
      </c>
      <c r="C2" s="2686"/>
      <c r="D2" s="2686"/>
      <c r="E2" s="2686"/>
      <c r="F2" s="2686"/>
      <c r="G2" s="2687"/>
      <c r="H2" s="2688"/>
      <c r="I2" s="2688"/>
      <c r="J2" s="2688"/>
      <c r="K2" s="2688"/>
    </row>
    <row r="3" spans="1:11" ht="16.5">
      <c r="A3" s="2512" t="s">
        <v>662</v>
      </c>
      <c r="B3" s="2514">
        <f>项目基本情况!D3</f>
        <v>45026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12483</v>
      </c>
      <c r="C5" s="2512">
        <f ca="1">IF(B5=D14,结果表!H102,ROUND(B5*10000/$B$1,0))</f>
        <v>3623</v>
      </c>
      <c r="D5" s="2512">
        <f ca="1">ROUND(B5*10000/$B$2,0)</f>
        <v>5369</v>
      </c>
      <c r="E5" s="2686"/>
      <c r="F5" s="2687"/>
      <c r="G5" s="2687"/>
      <c r="H5" s="2688"/>
      <c r="I5" s="2688"/>
      <c r="J5" s="2688"/>
      <c r="K5" s="2688"/>
    </row>
    <row r="6" spans="1:11" ht="16.5">
      <c r="A6" s="2512" t="s">
        <v>656</v>
      </c>
      <c r="B6" s="2512">
        <f ca="1">SUM(G14:G23)</f>
        <v>12483</v>
      </c>
      <c r="C6" s="2512">
        <f ca="1">IF(B6=G14,结果表!H108,ROUND(B6*10000/$B$1,0))</f>
        <v>3623</v>
      </c>
      <c r="D6" s="2512">
        <f ca="1">ROUND(B6*10000/$B$2,0)</f>
        <v>5369</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34459.100000000006</v>
      </c>
      <c r="C14" s="2518">
        <f>结果表!C118</f>
        <v>23251.84</v>
      </c>
      <c r="D14" s="2518">
        <f ca="1">结果表!H118</f>
        <v>12483</v>
      </c>
      <c r="E14" s="2518">
        <f ca="1">ROUND(D14*10000/B14,0)</f>
        <v>3623</v>
      </c>
      <c r="F14" s="2518">
        <f ca="1">ROUND(D14*10000/C14,0)</f>
        <v>5369</v>
      </c>
      <c r="G14" s="2518">
        <f ca="1">结果表!D122</f>
        <v>12483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1263</v>
      </c>
      <c r="B3" s="3581"/>
      <c r="C3" s="3581"/>
      <c r="D3" s="3581"/>
      <c r="E3" s="3581"/>
      <c r="F3" s="3581"/>
      <c r="G3" s="3581"/>
      <c r="H3" s="3581"/>
      <c r="I3" s="3581"/>
    </row>
    <row r="4" spans="1:12" ht="14.25">
      <c r="A4" s="1754" t="s">
        <v>1264</v>
      </c>
      <c r="B4" s="1755" t="s">
        <v>1265</v>
      </c>
      <c r="C4" s="1756" t="s">
        <v>3406</v>
      </c>
      <c r="D4" s="1756" t="s">
        <v>3407</v>
      </c>
      <c r="E4" s="3582" t="s">
        <v>1266</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56" t="s">
        <v>1267</v>
      </c>
      <c r="B5" s="3543">
        <v>25</v>
      </c>
      <c r="C5" s="3559"/>
      <c r="D5" s="3579"/>
      <c r="E5" s="131" t="s">
        <v>1268</v>
      </c>
      <c r="F5" s="1757"/>
      <c r="G5" s="1757"/>
      <c r="H5" s="1757"/>
      <c r="I5" s="1373"/>
    </row>
    <row r="6" spans="1:12" ht="12.75">
      <c r="A6" s="3556"/>
      <c r="B6" s="3543"/>
      <c r="C6" s="3560"/>
      <c r="D6" s="3579"/>
      <c r="E6" s="131" t="s">
        <v>1269</v>
      </c>
      <c r="F6" s="1757"/>
      <c r="G6" s="1757"/>
      <c r="H6" s="1757"/>
      <c r="I6" s="1373"/>
    </row>
    <row r="7" spans="1:12" ht="12.75">
      <c r="A7" s="3556"/>
      <c r="B7" s="3543"/>
      <c r="C7" s="3561"/>
      <c r="D7" s="3579"/>
      <c r="E7" s="131" t="s">
        <v>1270</v>
      </c>
      <c r="F7" s="1757"/>
      <c r="G7" s="1757"/>
      <c r="H7" s="1757"/>
      <c r="I7" s="1373"/>
    </row>
    <row r="8" spans="1:12" ht="12.75">
      <c r="A8" s="3556" t="s">
        <v>1271</v>
      </c>
      <c r="B8" s="3543">
        <v>15</v>
      </c>
      <c r="C8" s="3559"/>
      <c r="D8" s="3579"/>
      <c r="E8" s="131" t="s">
        <v>1272</v>
      </c>
      <c r="F8" s="1757"/>
      <c r="G8" s="1757"/>
      <c r="H8" s="1757"/>
      <c r="I8" s="1373"/>
    </row>
    <row r="9" spans="1:12" ht="12.75">
      <c r="A9" s="3556"/>
      <c r="B9" s="3543"/>
      <c r="C9" s="3561"/>
      <c r="D9" s="3579"/>
      <c r="E9" s="131" t="s">
        <v>1273</v>
      </c>
      <c r="F9" s="1757"/>
      <c r="G9" s="1757"/>
      <c r="H9" s="1757"/>
      <c r="I9" s="1373"/>
    </row>
    <row r="10" spans="1:12" ht="12.75">
      <c r="A10" s="3556" t="s">
        <v>1274</v>
      </c>
      <c r="B10" s="3543">
        <v>15</v>
      </c>
      <c r="C10" s="3559"/>
      <c r="D10" s="3579"/>
      <c r="E10" s="131" t="s">
        <v>1275</v>
      </c>
      <c r="F10" s="1757"/>
      <c r="G10" s="1757"/>
      <c r="H10" s="1757"/>
      <c r="I10" s="1373"/>
    </row>
    <row r="11" spans="1:12" ht="12.75">
      <c r="A11" s="3556"/>
      <c r="B11" s="3543"/>
      <c r="C11" s="3561"/>
      <c r="D11" s="3579"/>
      <c r="E11" s="131" t="s">
        <v>1276</v>
      </c>
      <c r="F11" s="1757"/>
      <c r="G11" s="1757"/>
      <c r="H11" s="1757"/>
      <c r="I11" s="1373"/>
    </row>
    <row r="12" spans="1:12" ht="12.75">
      <c r="A12" s="3556" t="s">
        <v>1277</v>
      </c>
      <c r="B12" s="3543">
        <v>15</v>
      </c>
      <c r="C12" s="3559"/>
      <c r="D12" s="3579"/>
      <c r="E12" s="131" t="s">
        <v>1278</v>
      </c>
      <c r="F12" s="1757"/>
      <c r="G12" s="1757"/>
      <c r="H12" s="1757"/>
      <c r="I12" s="1373"/>
    </row>
    <row r="13" spans="1:12" ht="12.75">
      <c r="A13" s="3556"/>
      <c r="B13" s="3543"/>
      <c r="C13" s="3561"/>
      <c r="D13" s="3579"/>
      <c r="E13" s="131" t="s">
        <v>1279</v>
      </c>
      <c r="F13" s="1757"/>
      <c r="G13" s="1757"/>
      <c r="H13" s="1757"/>
      <c r="I13" s="1373"/>
    </row>
    <row r="14" spans="1:12" ht="12.75">
      <c r="A14" s="3556" t="s">
        <v>1280</v>
      </c>
      <c r="B14" s="3543">
        <v>30</v>
      </c>
      <c r="C14" s="3559">
        <v>5</v>
      </c>
      <c r="D14" s="3579">
        <v>5</v>
      </c>
      <c r="E14" s="131" t="s">
        <v>1281</v>
      </c>
      <c r="F14" s="1757"/>
      <c r="G14" s="1757"/>
      <c r="H14" s="1757"/>
      <c r="I14" s="1373"/>
    </row>
    <row r="15" spans="1:12" ht="12.75">
      <c r="A15" s="3556"/>
      <c r="B15" s="3543"/>
      <c r="C15" s="3560"/>
      <c r="D15" s="3579"/>
      <c r="E15" s="131" t="s">
        <v>1282</v>
      </c>
      <c r="F15" s="1757"/>
      <c r="G15" s="1757"/>
      <c r="H15" s="1757"/>
      <c r="I15" s="1373"/>
    </row>
    <row r="16" spans="1:12" ht="12.75">
      <c r="A16" s="3556"/>
      <c r="B16" s="3543"/>
      <c r="C16" s="3561"/>
      <c r="D16" s="3579"/>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66" t="s">
        <v>2130</v>
      </c>
      <c r="F18" s="3567"/>
      <c r="G18" s="3567"/>
      <c r="H18" s="3567"/>
      <c r="I18" s="3567"/>
      <c r="K18" s="302" t="s">
        <v>1288</v>
      </c>
      <c r="L18" s="302">
        <f>IF(C1="",'数据-汇总表'!E3,SUMIF(项目类型,C1,'数据-汇总表'!E17:E26)+SUMIF(项目类型,C1,'数据-汇总表'!I17:I26))</f>
        <v>34459.100000000006</v>
      </c>
      <c r="M18" s="302">
        <f>IF(C1="",'数据-汇总表'!E3,SUMIF(项目类型,C1,'数据-汇总表'!E17:E26))</f>
        <v>34459.100000000006</v>
      </c>
    </row>
    <row r="19" spans="1:36" ht="15">
      <c r="A19" s="1761" t="s">
        <v>1289</v>
      </c>
      <c r="B19" s="1762" t="s">
        <v>1290</v>
      </c>
      <c r="C19" s="134">
        <f ca="1">SUMIF(INDIRECT("'"&amp;C4&amp;"'"&amp;"!A:A"),结果表!B19,INDIRECT("'"&amp;C4&amp;"'"&amp;"!B:B"))</f>
        <v>12534</v>
      </c>
      <c r="D19" s="135">
        <f ca="1">SUMIF(INDIRECT("'"&amp;D4&amp;"'"&amp;"!A:A"),结果表!B19,INDIRECT("'"&amp;D4&amp;"'"&amp;"!B:B"))</f>
        <v>12432</v>
      </c>
      <c r="E19" s="1761" t="s">
        <v>1291</v>
      </c>
      <c r="F19" s="1762" t="s">
        <v>1290</v>
      </c>
      <c r="G19" s="136">
        <f ca="1">ROUND(C19*$C$18+D19*$D$18,0)</f>
        <v>12483</v>
      </c>
      <c r="H19" s="1763" t="s">
        <v>1292</v>
      </c>
      <c r="I19" s="129"/>
      <c r="K19" s="302" t="s">
        <v>1293</v>
      </c>
      <c r="L19" s="302">
        <f>IF(C1="",'数据-汇总表'!D3,SUMIF(项目类型,C1,'数据-汇总表'!D17:D26)+SUMIF(项目类型,C1,'数据-汇总表'!H17:H27))</f>
        <v>23251.84</v>
      </c>
      <c r="M19" s="302">
        <f>IF(C1="",'数据-汇总表'!D3,SUMIF(项目类型,C1,'数据-汇总表'!D17:D26))</f>
        <v>23251.84</v>
      </c>
    </row>
    <row r="20" spans="1:36" ht="15">
      <c r="A20" s="1764"/>
      <c r="B20" s="1026" t="s">
        <v>1294</v>
      </c>
      <c r="C20" s="137">
        <f ca="1">SUMIF(INDIRECT("'"&amp;C4&amp;"'"&amp;"!A:A"),结果表!B20,INDIRECT("'"&amp;C4&amp;"'"&amp;"!B:B"))</f>
        <v>3637</v>
      </c>
      <c r="D20" s="138">
        <f ca="1">SUMIF(INDIRECT("'"&amp;D4&amp;"'"&amp;"!A:A"),结果表!B20,INDIRECT("'"&amp;D4&amp;"'"&amp;"!B:B"))</f>
        <v>3608</v>
      </c>
      <c r="E20" s="1764"/>
      <c r="F20" s="1026" t="s">
        <v>1294</v>
      </c>
      <c r="G20" s="139">
        <f ca="1">ROUND(C20*$C$18+D20*$D$18,0)</f>
        <v>3623</v>
      </c>
      <c r="H20" s="808" t="s">
        <v>1295</v>
      </c>
      <c r="I20" s="129"/>
    </row>
    <row r="21" spans="1:36" ht="15" customHeight="1" thickBot="1">
      <c r="A21" s="828"/>
      <c r="B21" s="1765" t="s">
        <v>1296</v>
      </c>
      <c r="C21" s="719">
        <f ca="1">ROUND(C19*10000/L19,0)</f>
        <v>5391</v>
      </c>
      <c r="D21" s="720">
        <f ca="1">ROUND(D19*10000/L19,0)</f>
        <v>5347</v>
      </c>
      <c r="E21" s="828"/>
      <c r="F21" s="1765" t="s">
        <v>1296</v>
      </c>
      <c r="G21" s="140">
        <f ca="1">ROUND(G19*10000/L19,0)</f>
        <v>5369</v>
      </c>
      <c r="H21" s="1766" t="s">
        <v>1295</v>
      </c>
      <c r="I21" s="129"/>
    </row>
    <row r="22" spans="1:36" ht="15" thickBot="1">
      <c r="A22" s="1688" t="s">
        <v>1297</v>
      </c>
      <c r="B22" s="1767"/>
      <c r="C22" s="1768"/>
      <c r="D22" s="721">
        <f ca="1">IF(C19&lt;D19,D19/C19-1,C19/D19-1)</f>
        <v>8.2046332046332715E-3</v>
      </c>
      <c r="E22" s="129"/>
      <c r="F22" s="129"/>
      <c r="G22" s="129"/>
      <c r="H22" s="129"/>
      <c r="I22" s="129"/>
    </row>
    <row r="23" spans="1:36" ht="13.5" thickBot="1">
      <c r="A23" s="1747"/>
      <c r="B23" s="1747"/>
      <c r="C23" s="1747"/>
      <c r="D23" s="1747"/>
      <c r="E23" s="129"/>
      <c r="F23" s="129"/>
      <c r="G23" s="129"/>
      <c r="H23" s="129"/>
      <c r="I23" s="129"/>
    </row>
    <row r="24" spans="1:36" ht="14.25">
      <c r="A24" s="3550" t="s">
        <v>1298</v>
      </c>
      <c r="B24" s="1762" t="s">
        <v>1290</v>
      </c>
      <c r="C24" s="136">
        <f>IF(B30=0,0,D30)</f>
        <v>0</v>
      </c>
      <c r="D24" s="1769"/>
      <c r="E24" s="129"/>
      <c r="F24" s="129"/>
      <c r="G24" s="129"/>
      <c r="H24" s="129"/>
      <c r="I24" s="129"/>
    </row>
    <row r="25" spans="1:36" ht="14.25">
      <c r="A25" s="355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12483</v>
      </c>
      <c r="D32" s="1775" t="s">
        <v>3410</v>
      </c>
      <c r="E32" s="129"/>
      <c r="F32" s="129"/>
      <c r="G32" s="129"/>
      <c r="H32" s="129"/>
      <c r="I32" s="129"/>
    </row>
    <row r="33" spans="1:15" ht="15">
      <c r="A33" s="786" t="s">
        <v>1305</v>
      </c>
      <c r="B33" s="1776"/>
      <c r="C33" s="1777" t="s">
        <v>3411</v>
      </c>
      <c r="D33" s="1778" t="s">
        <v>3406</v>
      </c>
      <c r="E33" s="1779" t="s">
        <v>1306</v>
      </c>
      <c r="F33" s="1780" t="str">
        <f>IF(D32="楼面单价","取值（单价）","取值（总价）")</f>
        <v>取值（总价）</v>
      </c>
      <c r="G33" s="129"/>
      <c r="H33" s="129"/>
      <c r="I33" s="129"/>
    </row>
    <row r="34" spans="1:15" ht="15">
      <c r="A34" s="1781"/>
      <c r="B34" s="1782" t="s">
        <v>1307</v>
      </c>
      <c r="C34" s="148">
        <f ca="1">IF(C33="自定义",F34,C32-C35)</f>
        <v>4020</v>
      </c>
      <c r="D34" s="861">
        <f ca="1">IF(C33="自定义",ROUND(C34/C32,3),IF(C33="收益比率",SUMIF(INDIRECT("'"&amp;D33&amp;"'"&amp;"!b:b"),"土地收益比率",INDIRECT("'"&amp;D33&amp;"'"&amp;"!c:c")),SUMIF(INDIRECT("'"&amp;D33&amp;"'"&amp;"!b:b"),"土地成本比率",INDIRECT("'"&amp;D33&amp;"'"&amp;"!c:c"))))</f>
        <v>0.32199999999999995</v>
      </c>
      <c r="E34" s="1783" t="s">
        <v>1308</v>
      </c>
      <c r="F34" s="1330"/>
      <c r="G34" s="129"/>
      <c r="H34" s="129"/>
      <c r="I34" s="129"/>
    </row>
    <row r="35" spans="1:15" ht="15.75" thickBot="1">
      <c r="A35" s="1784"/>
      <c r="B35" s="1785" t="s">
        <v>1309</v>
      </c>
      <c r="C35" s="1170">
        <f ca="1">IF(C33="自定义",F35,ROUND(C32*D35,0))</f>
        <v>8463</v>
      </c>
      <c r="D35" s="1171">
        <f ca="1">IF(C33="自定义",ROUND(C35/C32,3),IF(C33="收益比率",SUMIF(INDIRECT("'"&amp;D33&amp;"'"&amp;"!b:b"),"建筑物收益比率",INDIRECT("'"&amp;D33&amp;"'"&amp;"!c:c")),SUMIF(INDIRECT("'"&amp;D33&amp;"'"&amp;"!b:b"),"建筑物成本比率",INDIRECT("'"&amp;D33&amp;"'"&amp;"!c:c"))))</f>
        <v>0.67800000000000005</v>
      </c>
      <c r="E35" s="1786" t="s">
        <v>1310</v>
      </c>
      <c r="F35" s="154"/>
      <c r="G35" s="129"/>
      <c r="H35" s="129"/>
      <c r="I35" s="129"/>
    </row>
    <row r="36" spans="1:15" ht="15.75" thickBot="1">
      <c r="A36" s="3570" t="s">
        <v>1311</v>
      </c>
      <c r="B36" s="1787" t="s">
        <v>1312</v>
      </c>
      <c r="C36" s="145"/>
      <c r="D36" s="1788"/>
      <c r="E36" s="1789"/>
      <c r="F36" s="1790"/>
      <c r="G36" s="129"/>
      <c r="H36" s="129"/>
      <c r="I36" s="129"/>
    </row>
    <row r="37" spans="1:15" ht="15.75" thickBot="1">
      <c r="A37" s="3571"/>
      <c r="B37" s="1674" t="s">
        <v>1313</v>
      </c>
      <c r="C37" s="147"/>
      <c r="D37" s="1139"/>
      <c r="E37" s="1139"/>
      <c r="F37" s="1790"/>
      <c r="G37" s="129"/>
      <c r="H37" s="129"/>
      <c r="I37" s="129"/>
    </row>
    <row r="38" spans="1:15" ht="15.75" thickBot="1">
      <c r="A38" s="357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47" t="s">
        <v>1325</v>
      </c>
      <c r="B45" s="3548"/>
      <c r="C45" s="3549"/>
      <c r="D45" s="155">
        <f ca="1">ROUND(H101*F45,0)</f>
        <v>12483</v>
      </c>
      <c r="E45" s="156" t="s">
        <v>1326</v>
      </c>
      <c r="F45" s="157">
        <v>1</v>
      </c>
      <c r="G45" s="158" t="s">
        <v>1327</v>
      </c>
      <c r="H45" s="129"/>
      <c r="I45" s="129"/>
      <c r="J45" s="3625" t="s">
        <v>1328</v>
      </c>
      <c r="K45" s="3625"/>
      <c r="L45" s="3625"/>
      <c r="M45" s="3625"/>
      <c r="N45" s="3625"/>
      <c r="O45" s="3625"/>
    </row>
    <row r="46" spans="1:15" ht="14.25" customHeight="1">
      <c r="A46" s="3544" t="s">
        <v>1329</v>
      </c>
      <c r="B46" s="3545"/>
      <c r="C46" s="3545"/>
      <c r="D46" s="3545"/>
      <c r="E46" s="3545"/>
      <c r="F46" s="3545"/>
      <c r="G46" s="3546"/>
      <c r="H46" s="1806"/>
      <c r="I46" s="159"/>
      <c r="J46" s="2523">
        <v>1</v>
      </c>
      <c r="K46" s="3606" t="s">
        <v>1330</v>
      </c>
      <c r="L46" s="3606"/>
      <c r="M46" s="3626"/>
      <c r="N46" s="3626"/>
      <c r="O46" s="3626"/>
    </row>
    <row r="47" spans="1:15" ht="12" customHeight="1">
      <c r="A47" s="160" t="s">
        <v>1331</v>
      </c>
      <c r="B47" s="161"/>
      <c r="C47" s="162"/>
      <c r="D47" s="1087" t="s">
        <v>1332</v>
      </c>
      <c r="E47" s="302" t="s">
        <v>1333</v>
      </c>
      <c r="F47" s="163" t="s">
        <v>1334</v>
      </c>
      <c r="G47" s="2546" t="s">
        <v>1335</v>
      </c>
      <c r="H47" s="2547"/>
      <c r="I47" s="159"/>
      <c r="J47" s="2523">
        <v>2</v>
      </c>
      <c r="K47" s="3606" t="s">
        <v>1336</v>
      </c>
      <c r="L47" s="3606"/>
      <c r="M47" s="3627">
        <f>'数据-取费表'!B2</f>
        <v>45026</v>
      </c>
      <c r="N47" s="3627"/>
      <c r="O47" s="3627"/>
    </row>
    <row r="48" spans="1:15" ht="25.5">
      <c r="A48" s="3575" t="s">
        <v>1337</v>
      </c>
      <c r="B48" s="3558"/>
      <c r="C48" s="355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1338</v>
      </c>
      <c r="H48" s="2550"/>
      <c r="I48" s="1806"/>
      <c r="J48" s="2523">
        <v>3</v>
      </c>
      <c r="K48" s="3606" t="s">
        <v>1339</v>
      </c>
      <c r="L48" s="3606"/>
      <c r="M48" s="3628">
        <f ca="1">H101</f>
        <v>12483</v>
      </c>
      <c r="N48" s="3628"/>
      <c r="O48" s="3628"/>
    </row>
    <row r="49" spans="1:35" ht="25.5" customHeight="1">
      <c r="A49" s="2333" t="s">
        <v>1340</v>
      </c>
      <c r="B49" s="3542" t="s">
        <v>1341</v>
      </c>
      <c r="C49" s="3542"/>
      <c r="D49" s="1590">
        <v>0</v>
      </c>
      <c r="E49" s="324" t="s">
        <v>1342</v>
      </c>
      <c r="F49" s="2424" t="s">
        <v>28</v>
      </c>
      <c r="G49" s="3612"/>
      <c r="H49" s="2310" t="s">
        <v>2133</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12483</v>
      </c>
      <c r="N49" s="3628"/>
      <c r="O49" s="3628"/>
    </row>
    <row r="50" spans="1:35" ht="25.5" customHeight="1">
      <c r="A50" s="2551"/>
      <c r="B50" s="3542" t="s">
        <v>1343</v>
      </c>
      <c r="C50" s="3542"/>
      <c r="D50" s="2552"/>
      <c r="E50" s="332"/>
      <c r="F50" s="2424"/>
      <c r="G50" s="3613"/>
      <c r="H50" s="2312" t="s">
        <v>2134</v>
      </c>
      <c r="I50" s="2311"/>
      <c r="J50" s="3625" t="s">
        <v>1344</v>
      </c>
      <c r="K50" s="3625"/>
      <c r="L50" s="3625"/>
      <c r="M50" s="3625"/>
      <c r="N50" s="3625"/>
      <c r="O50" s="3625"/>
    </row>
    <row r="51" spans="1:35" ht="20.45" customHeight="1">
      <c r="A51" s="2553"/>
      <c r="B51" s="3542" t="s">
        <v>1345</v>
      </c>
      <c r="C51" s="3542"/>
      <c r="D51" s="1087"/>
      <c r="E51" s="327"/>
      <c r="F51" s="2424"/>
      <c r="G51" s="3614"/>
      <c r="H51" s="2312" t="s">
        <v>2135</v>
      </c>
      <c r="I51" s="2311"/>
      <c r="J51" s="2524" t="s">
        <v>1346</v>
      </c>
      <c r="K51" s="3606" t="s">
        <v>1347</v>
      </c>
      <c r="L51" s="3606"/>
      <c r="M51" s="2524" t="s">
        <v>1348</v>
      </c>
      <c r="N51" s="2524" t="s">
        <v>1349</v>
      </c>
      <c r="O51" s="2524" t="s">
        <v>1350</v>
      </c>
    </row>
    <row r="52" spans="1:35" ht="24" customHeight="1">
      <c r="A52" s="2335" t="s">
        <v>1351</v>
      </c>
      <c r="B52" s="3542" t="s">
        <v>1352</v>
      </c>
      <c r="C52" s="3542"/>
      <c r="D52" s="1087">
        <f ca="1">ROUND(D45*'数据-取费表'!B41/(1+'数据-取费表'!C42),0)</f>
        <v>654</v>
      </c>
      <c r="E52" s="2334" t="s">
        <v>1353</v>
      </c>
      <c r="F52" s="2554">
        <f>'数据-取费表'!B41</f>
        <v>5.5000000000000007E-2</v>
      </c>
      <c r="G52" s="2555"/>
      <c r="H52" s="2544"/>
      <c r="I52" s="1807"/>
      <c r="J52" s="2523">
        <v>1</v>
      </c>
      <c r="K52" s="3607" t="s">
        <v>1354</v>
      </c>
      <c r="L52" s="3607"/>
      <c r="M52" s="2525" t="b">
        <f>D48</f>
        <v>0</v>
      </c>
      <c r="N52" s="2523" t="str">
        <f>E48</f>
        <v>销售额×税（费）率</v>
      </c>
      <c r="O52" s="2526">
        <f>F48</f>
        <v>5.5000000000000007E-2</v>
      </c>
    </row>
    <row r="53" spans="1:35" ht="12" customHeight="1">
      <c r="A53" s="2335" t="s">
        <v>1355</v>
      </c>
      <c r="B53" s="3568" t="s">
        <v>2290</v>
      </c>
      <c r="C53" s="3569"/>
      <c r="D53" s="1087">
        <f ca="1">ROUND(D45*'数据-取费表'!B41/(1+'数据-取费表'!C42),0)</f>
        <v>654</v>
      </c>
      <c r="E53" s="2334" t="s">
        <v>1353</v>
      </c>
      <c r="F53" s="2554">
        <f>'数据-取费表'!B41</f>
        <v>5.5000000000000007E-2</v>
      </c>
      <c r="G53" s="2555"/>
      <c r="H53" s="2544"/>
      <c r="I53" s="1807"/>
      <c r="J53" s="2523">
        <v>2</v>
      </c>
      <c r="K53" s="3607" t="s">
        <v>1356</v>
      </c>
      <c r="L53" s="3607"/>
      <c r="M53" s="2525">
        <f t="shared" ref="M53:O54" ca="1" si="0">D55</f>
        <v>6</v>
      </c>
      <c r="N53" s="2523" t="str">
        <f t="shared" si="0"/>
        <v>销售额×税（费）率</v>
      </c>
      <c r="O53" s="2526" t="str">
        <f t="shared" si="0"/>
        <v>免征</v>
      </c>
    </row>
    <row r="54" spans="1:35" ht="12" customHeight="1">
      <c r="A54" s="2335" t="s">
        <v>1357</v>
      </c>
      <c r="B54" s="3568" t="s">
        <v>2291</v>
      </c>
      <c r="C54" s="3569"/>
      <c r="D54" s="1087">
        <f ca="1">C68</f>
        <v>654</v>
      </c>
      <c r="E54" s="327" t="s">
        <v>1358</v>
      </c>
      <c r="F54" s="2554">
        <f>'数据-取费表'!B41</f>
        <v>5.5000000000000007E-2</v>
      </c>
      <c r="G54" s="2555"/>
      <c r="H54" s="2556"/>
      <c r="I54" s="1807"/>
      <c r="J54" s="2523">
        <v>3</v>
      </c>
      <c r="K54" s="3607" t="s">
        <v>1359</v>
      </c>
      <c r="L54" s="3607"/>
      <c r="M54" s="2525">
        <f t="shared" ca="1" si="0"/>
        <v>7077</v>
      </c>
      <c r="N54" s="2523" t="str">
        <f t="shared" si="0"/>
        <v>增值额×税（费）率</v>
      </c>
      <c r="O54" s="2527" t="str">
        <f t="shared" si="0"/>
        <v>免征</v>
      </c>
    </row>
    <row r="55" spans="1:35" ht="24" customHeight="1">
      <c r="A55" s="3557" t="s">
        <v>1360</v>
      </c>
      <c r="B55" s="3558"/>
      <c r="C55" s="3558"/>
      <c r="D55" s="2324">
        <f ca="1">IF(H55="个人住宅",0,ROUND(D45*I55,0))</f>
        <v>6</v>
      </c>
      <c r="E55" s="2334" t="s">
        <v>1361</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119</v>
      </c>
      <c r="N55" s="2040" t="str">
        <f>E59</f>
        <v>差额计税</v>
      </c>
      <c r="O55" s="2529">
        <f>F59</f>
        <v>0.01</v>
      </c>
    </row>
    <row r="56" spans="1:35" ht="24.75">
      <c r="A56" s="3557" t="s">
        <v>1362</v>
      </c>
      <c r="B56" s="3558"/>
      <c r="C56" s="3558"/>
      <c r="D56" s="2324">
        <f ca="1">IF(H56="个人住宅",D57,D58)</f>
        <v>7077</v>
      </c>
      <c r="E56" s="2334" t="s">
        <v>1363</v>
      </c>
      <c r="F56" s="2554" t="str">
        <f>IF(H56="正常",F58,"免征")</f>
        <v>免征</v>
      </c>
      <c r="G56" s="2557" t="s">
        <v>1364</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1340</v>
      </c>
      <c r="B57" s="3568" t="s">
        <v>1365</v>
      </c>
      <c r="C57" s="3569"/>
      <c r="D57" s="1590">
        <v>0</v>
      </c>
      <c r="E57" s="324" t="s">
        <v>1342</v>
      </c>
      <c r="F57" s="302"/>
      <c r="G57" s="2555"/>
      <c r="H57" s="2559"/>
      <c r="I57" s="1808"/>
      <c r="J57" s="3607">
        <f>IF(AND(J55="",J56=""),4,IF(项目基本情况!K6="上海银行",结果表!J56+1,结果表!J55+1))</f>
        <v>5</v>
      </c>
      <c r="K57" s="3607" t="s">
        <v>1366</v>
      </c>
      <c r="L57" s="2530" t="s">
        <v>1367</v>
      </c>
      <c r="M57" s="2531"/>
      <c r="N57" s="2532">
        <f ca="1">SUMIF(M52:M56,"&lt;9e307")</f>
        <v>7202</v>
      </c>
      <c r="O57" s="2533"/>
      <c r="P57" s="2690">
        <f ca="1">N57/M49</f>
        <v>0.57694464471681484</v>
      </c>
    </row>
    <row r="58" spans="1:35" ht="24.75">
      <c r="A58" s="2335" t="s">
        <v>1351</v>
      </c>
      <c r="B58" s="3568" t="s">
        <v>1368</v>
      </c>
      <c r="C58" s="3542"/>
      <c r="D58" s="2324">
        <f ca="1">IF(H58="转让取得",C81,C97)</f>
        <v>7077</v>
      </c>
      <c r="E58" s="2334" t="s">
        <v>1363</v>
      </c>
      <c r="F58" s="302" t="s">
        <v>28</v>
      </c>
      <c r="G58" s="2555"/>
      <c r="H58" s="2558"/>
      <c r="I58" s="1808"/>
      <c r="J58" s="3607"/>
      <c r="K58" s="3607"/>
      <c r="L58" s="2530" t="s">
        <v>1369</v>
      </c>
      <c r="M58" s="2534"/>
      <c r="N58" s="2535" t="str">
        <f ca="1">NUMBERSTRING(INT(N57*10000),2)&amp;"元整"</f>
        <v>柒仟贰佰零贰万元整</v>
      </c>
      <c r="O58" s="2536"/>
    </row>
    <row r="59" spans="1:35" ht="24.75" thickBot="1">
      <c r="A59" s="3610" t="s">
        <v>1370</v>
      </c>
      <c r="B59" s="3611"/>
      <c r="C59" s="3611"/>
      <c r="D59" s="2560">
        <f ca="1">IF(H59="非个人房产","——",IF(H59="个人住宅（满五唯一有凭证）",0,IF(H59="个人其他（无凭证）",ROUND(D45*F59,0),ROUND(C67*F59,0))))</f>
        <v>119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2136</v>
      </c>
      <c r="J59" s="3608">
        <f>J57+1</f>
        <v>6</v>
      </c>
      <c r="K59" s="3607" t="s">
        <v>1371</v>
      </c>
      <c r="L59" s="2523" t="s">
        <v>1367</v>
      </c>
      <c r="M59" s="2537"/>
      <c r="N59" s="2538">
        <f ca="1">M49-N57</f>
        <v>5281</v>
      </c>
      <c r="O59" s="2539"/>
    </row>
    <row r="60" spans="1:35" ht="12" customHeight="1">
      <c r="A60" s="1809"/>
      <c r="B60" s="1747"/>
      <c r="C60" s="1747"/>
      <c r="D60" s="1747"/>
      <c r="E60" s="1578"/>
      <c r="F60" s="1808"/>
      <c r="G60" s="1808"/>
      <c r="H60" s="1810"/>
      <c r="I60" s="129"/>
      <c r="J60" s="3609"/>
      <c r="K60" s="3607"/>
      <c r="L60" s="2530" t="s">
        <v>1369</v>
      </c>
      <c r="M60" s="2534"/>
      <c r="N60" s="2535" t="str">
        <f ca="1">NUMBERSTRING(INT(N59*10000),2)&amp;"元整"</f>
        <v>伍仟贰佰捌拾壹万元整</v>
      </c>
      <c r="O60" s="2536"/>
    </row>
    <row r="61" spans="1:35" ht="13.5" thickBot="1">
      <c r="A61" s="3555" t="s">
        <v>1372</v>
      </c>
      <c r="B61" s="3555"/>
      <c r="C61" s="3555"/>
      <c r="D61" s="3555"/>
      <c r="E61" s="3555"/>
      <c r="F61" s="1808"/>
      <c r="G61" s="1808"/>
      <c r="H61" s="1810"/>
      <c r="I61" s="129"/>
      <c r="J61" s="2523">
        <f>J59+1</f>
        <v>7</v>
      </c>
      <c r="K61" s="3607" t="s">
        <v>1373</v>
      </c>
      <c r="L61" s="3607"/>
      <c r="M61" s="2540"/>
      <c r="N61" s="2541">
        <f ca="1">ROUND(N59*10000/'数据-汇总表'!E3,0)</f>
        <v>1533</v>
      </c>
      <c r="O61" s="2542"/>
    </row>
    <row r="62" spans="1:35" ht="12.75">
      <c r="A62" s="3573" t="s">
        <v>1374</v>
      </c>
      <c r="B62" s="3574"/>
      <c r="C62" s="2021"/>
      <c r="D62" s="2021" t="s">
        <v>1375</v>
      </c>
      <c r="E62" s="166" t="s">
        <v>1376</v>
      </c>
      <c r="F62" s="1808"/>
      <c r="G62" s="1808"/>
      <c r="H62" s="1810"/>
      <c r="I62" s="129"/>
    </row>
    <row r="63" spans="1:35" ht="12.75">
      <c r="A63" s="173" t="s">
        <v>330</v>
      </c>
      <c r="B63" s="167" t="s">
        <v>1377</v>
      </c>
      <c r="C63" s="2564">
        <f ca="1">ROUND((C64+C65)/(1+'数据-取费表'!C42),0)</f>
        <v>11889</v>
      </c>
      <c r="D63" s="167"/>
      <c r="E63" s="168"/>
      <c r="F63" s="1808"/>
      <c r="G63" s="1808"/>
      <c r="H63" s="1810"/>
      <c r="I63" s="129"/>
      <c r="J63" s="3632" t="s">
        <v>1378</v>
      </c>
      <c r="K63" s="1332" t="s">
        <v>1379</v>
      </c>
      <c r="L63" s="1332">
        <f ca="1">IF(M49&gt;10000,M49*0.5%,IF(AND(M49&gt;1000,M49&lt;=10000),M49*1%,IF(AND(M49&gt;100,M49&lt;=1000),M49*3%,IF(AND(M49&gt;10,M49&lt;=100),M49*5%,M49*8%))))</f>
        <v>62.414999999999999</v>
      </c>
      <c r="M63" s="302">
        <f ca="1">ROUND(L63,1)</f>
        <v>62.4</v>
      </c>
      <c r="N63" s="2543"/>
      <c r="Z63" s="1752"/>
      <c r="AI63" s="1753"/>
    </row>
    <row r="64" spans="1:35" ht="14.25" customHeight="1">
      <c r="A64" s="169" t="s">
        <v>325</v>
      </c>
      <c r="B64" s="170" t="s">
        <v>1380</v>
      </c>
      <c r="C64" s="2565">
        <f ca="1">D45</f>
        <v>12483</v>
      </c>
      <c r="D64" s="170" t="s">
        <v>26</v>
      </c>
      <c r="E64" s="172"/>
      <c r="F64" s="1808"/>
      <c r="G64" s="1808"/>
      <c r="H64" s="1810"/>
      <c r="I64" s="129"/>
      <c r="J64" s="3632"/>
      <c r="K64" s="1332" t="s">
        <v>1381</v>
      </c>
      <c r="L64" s="1332">
        <f ca="1">IF(M49&gt;2000,M49*0.5%,IF(AND(M49&gt;1000,M49&lt;=2000),M49*0.6%,IF(AND(M49&gt;500,M49&lt;=1000),M49*0.7%,IF(AND(M49&gt;200,M49&lt;=500),M49*0.8%,IF(AND(M49&gt;100,M49&lt;=200),M49*0.9%,IF(AND(M49&gt;50,M49&lt;=100),M49*1%,IF(AND(M49&gt;20,M49&lt;=50),M49*1.5%,IF(AND(M49&gt;10,M49&lt;=20),M49*2%,IF(AND(M49&gt;1,M49&lt;=10),M49*2.5%)))))))))</f>
        <v>62.414999999999999</v>
      </c>
      <c r="M64" s="302">
        <f t="shared" ref="M64:M65" ca="1" si="1">ROUND(L64,1)</f>
        <v>62.4</v>
      </c>
      <c r="N64" s="2544" t="s">
        <v>1382</v>
      </c>
      <c r="Z64" s="1752"/>
      <c r="AI64" s="1753"/>
    </row>
    <row r="65" spans="1:35" ht="14.25" customHeight="1">
      <c r="A65" s="169" t="s">
        <v>326</v>
      </c>
      <c r="B65" s="170" t="s">
        <v>1383</v>
      </c>
      <c r="C65" s="2566"/>
      <c r="D65" s="170"/>
      <c r="E65" s="172"/>
      <c r="F65" s="1808"/>
      <c r="G65" s="1808"/>
      <c r="H65" s="1810"/>
      <c r="I65" s="129"/>
      <c r="J65" s="3632"/>
      <c r="K65" s="1332" t="s">
        <v>1384</v>
      </c>
      <c r="L65" s="1332">
        <f ca="1">IF(M49&gt;1000,M49*0.1%,IF(AND(M49&gt;500,M49&lt;=1000),M49*0.5%,IF(AND(M49&gt;50,M49&lt;=500),M49*1%,IF(AND(M49&gt;1,M49&lt;=50),M49*1.5%))))</f>
        <v>12.483000000000001</v>
      </c>
      <c r="M65" s="302">
        <f t="shared" ca="1" si="1"/>
        <v>12.5</v>
      </c>
      <c r="N65" s="2544" t="s">
        <v>1382</v>
      </c>
      <c r="Z65" s="1752"/>
      <c r="AI65" s="1753"/>
    </row>
    <row r="66" spans="1:35" ht="14.25" customHeight="1">
      <c r="A66" s="173" t="s">
        <v>327</v>
      </c>
      <c r="B66" s="174" t="s">
        <v>1385</v>
      </c>
      <c r="C66" s="2567"/>
      <c r="D66" s="174" t="s">
        <v>26</v>
      </c>
      <c r="E66" s="1338" t="s">
        <v>671</v>
      </c>
      <c r="F66" s="1808"/>
      <c r="G66" s="1808"/>
      <c r="H66" s="1810"/>
      <c r="I66" s="129"/>
      <c r="J66" s="3632"/>
      <c r="K66" s="1332" t="s">
        <v>1386</v>
      </c>
      <c r="L66" s="1332">
        <f ca="1">M49*0.5%</f>
        <v>62.414999999999999</v>
      </c>
      <c r="M66" s="302">
        <f ca="1">IF(L66&gt;0.5,0.5,ROUND(L66,0))</f>
        <v>0.5</v>
      </c>
      <c r="N66" s="2544" t="s">
        <v>1387</v>
      </c>
      <c r="Z66" s="1752"/>
      <c r="AI66" s="1753"/>
    </row>
    <row r="67" spans="1:35" ht="14.25" customHeight="1">
      <c r="A67" s="173" t="s">
        <v>328</v>
      </c>
      <c r="B67" s="174" t="s">
        <v>1388</v>
      </c>
      <c r="C67" s="2568">
        <f ca="1">C63-C66</f>
        <v>11889</v>
      </c>
      <c r="D67" s="170" t="s">
        <v>26</v>
      </c>
      <c r="E67" s="172"/>
      <c r="F67" s="1808"/>
      <c r="G67" s="1808"/>
      <c r="H67" s="1810"/>
      <c r="I67" s="129"/>
      <c r="J67" s="3632"/>
      <c r="K67" s="1332" t="s">
        <v>1389</v>
      </c>
      <c r="L67" s="1332">
        <f ca="1">IF(M49&gt;=10000,(8.25+(M49-10000)*0.01%),IF(AND(M49&gt;=8000,M49&lt;10000),(7.85+(M49-8000)*0.02%),IF(AND(M49&gt;=5000,M49&lt;8000),(6.65+(M49-5000)*0.04%),IF(AND(M49&gt;=2000,M49&lt;5000),(4.25+(PM49-2000)*0.08%),IF(AND(M49&gt;=1000,M49&lt;2000),(2.75+(M49-1000)*0.15%),IF(AND(M49&gt;=100,M49&lt;1000),(0.5+(M49-100)*0.25%),IF(AND(M49&gt;0,M49&lt;100),M49*0.5%)))))))</f>
        <v>8.4983000000000004</v>
      </c>
      <c r="M67" s="302">
        <f ca="1">ROUND(L67*0.9,1)</f>
        <v>7.6</v>
      </c>
      <c r="N67" s="2543"/>
      <c r="Z67" s="1752"/>
      <c r="AI67" s="1753"/>
    </row>
    <row r="68" spans="1:35" ht="14.25" customHeight="1" thickBot="1">
      <c r="A68" s="176" t="s">
        <v>329</v>
      </c>
      <c r="B68" s="177" t="s">
        <v>1390</v>
      </c>
      <c r="C68" s="2569">
        <f ca="1">IF(C67&lt;=0,0,ROUND(C67*D68,0))</f>
        <v>654</v>
      </c>
      <c r="D68" s="2570">
        <f>'数据-取费表'!B41</f>
        <v>5.5000000000000007E-2</v>
      </c>
      <c r="E68" s="178"/>
      <c r="F68" s="1808"/>
      <c r="G68" s="1808"/>
      <c r="H68" s="1810"/>
      <c r="I68" s="129"/>
      <c r="J68" s="3632"/>
      <c r="K68" s="1332" t="s">
        <v>1391</v>
      </c>
      <c r="L68" s="1332">
        <f ca="1">IF(M49&gt;10000,M49*0.5%,IF(AND(M49&gt;5000,M49&lt;=10000),M49*1%,IF(AND(M49&gt;1000,M49&lt;=5000),M49*2%,IF(AND(M49&gt;200,M49&lt;=1000),M49*3%,M49*5%))))</f>
        <v>62.414999999999999</v>
      </c>
      <c r="M68" s="302">
        <f ca="1">ROUND(L68,1)</f>
        <v>62.4</v>
      </c>
      <c r="N68" s="2543"/>
      <c r="Z68" s="1752"/>
      <c r="AI68" s="1753"/>
    </row>
    <row r="69" spans="1:35" s="1772" customFormat="1" ht="16.5" customHeight="1">
      <c r="A69" s="1811"/>
      <c r="B69" s="1812"/>
      <c r="C69" s="1813"/>
      <c r="D69" s="1814"/>
      <c r="E69" s="1815"/>
      <c r="F69" s="1578"/>
      <c r="G69" s="1578"/>
      <c r="H69" s="1577"/>
      <c r="I69" s="1747"/>
      <c r="J69" s="3632"/>
      <c r="K69" s="1332" t="s">
        <v>1392</v>
      </c>
      <c r="L69" s="1332"/>
      <c r="M69" s="302">
        <f ca="1">ROUND(SUM(M63:M68),0)</f>
        <v>208</v>
      </c>
      <c r="N69" s="2545">
        <f ca="1">M69/M49</f>
        <v>1.666266121925819E-2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1393</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1374</v>
      </c>
      <c r="B71" s="3574"/>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11889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59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568" t="s">
        <v>1401</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59</v>
      </c>
      <c r="D78" s="2577">
        <f>'数据-取费表'!B43</f>
        <v>5.000000000000001E-3</v>
      </c>
      <c r="E78" s="3552" t="s">
        <v>1405</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11830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200.5084745762712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7077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1409</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1374</v>
      </c>
      <c r="B84" s="357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11889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59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c r="D88" s="2577"/>
      <c r="E88" s="193" t="s">
        <v>1412</v>
      </c>
      <c r="F88" s="2327"/>
      <c r="G88" s="194" t="s">
        <v>1413</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634" t="s">
        <v>2128</v>
      </c>
      <c r="H90" s="363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IF(H91="——",成本法!C33,I91)</f>
        <v>0</v>
      </c>
      <c r="D91" s="2577"/>
      <c r="E91" s="3552" t="s">
        <v>1418</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ROUND((C87+C90+C91)*D92,0)</f>
        <v>0</v>
      </c>
      <c r="D92" s="2583"/>
      <c r="E92" s="3552" t="s">
        <v>1421</v>
      </c>
      <c r="F92" s="3553"/>
      <c r="G92" s="3553"/>
      <c r="H92" s="356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59</v>
      </c>
      <c r="D93" s="2577">
        <f>'数据-取费表'!B43</f>
        <v>5.000000000000001E-3</v>
      </c>
      <c r="E93" s="3552" t="s">
        <v>1405</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ROUND((C87+C90+C91)*D94,0)</f>
        <v>0</v>
      </c>
      <c r="D94" s="2577">
        <v>0.2</v>
      </c>
      <c r="E94" s="3563" t="s">
        <v>1425</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11830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200.5084745762712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7077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6" t="s">
        <v>1427</v>
      </c>
      <c r="B100" s="3537"/>
      <c r="C100" s="3537"/>
      <c r="D100" s="3554"/>
      <c r="E100" s="3537" t="s">
        <v>1428</v>
      </c>
      <c r="F100" s="3537"/>
      <c r="G100" s="3537"/>
      <c r="H100" s="3554"/>
      <c r="I100" s="129"/>
    </row>
    <row r="101" spans="1:35" ht="18.75" customHeight="1">
      <c r="A101" s="3615" t="s">
        <v>1429</v>
      </c>
      <c r="B101" s="3616"/>
      <c r="C101" s="2585" t="str">
        <f>C4</f>
        <v>成本法</v>
      </c>
      <c r="D101" s="2586" t="str">
        <f>D4</f>
        <v>假设开发法</v>
      </c>
      <c r="E101" s="3629" t="s">
        <v>1430</v>
      </c>
      <c r="F101" s="3586"/>
      <c r="G101" s="1827" t="s">
        <v>1431</v>
      </c>
      <c r="H101" s="2595">
        <f ca="1">H118</f>
        <v>12483</v>
      </c>
      <c r="I101" s="129"/>
    </row>
    <row r="102" spans="1:35" ht="18.75" customHeight="1">
      <c r="A102" s="3588" t="s">
        <v>1432</v>
      </c>
      <c r="B102" s="2584" t="s">
        <v>1431</v>
      </c>
      <c r="C102" s="2585">
        <f ca="1">IF(D32="楼面单价",ROUND(C19,0),C19)</f>
        <v>12534</v>
      </c>
      <c r="D102" s="2586">
        <f ca="1">IF(D32="楼面单价",ROUND(D19,0),D19)</f>
        <v>12432</v>
      </c>
      <c r="E102" s="3629"/>
      <c r="F102" s="3586"/>
      <c r="G102" s="1827" t="s">
        <v>1433</v>
      </c>
      <c r="H102" s="2555">
        <f ca="1">I118</f>
        <v>3623</v>
      </c>
      <c r="I102" s="129"/>
    </row>
    <row r="103" spans="1:35" ht="42.75" customHeight="1">
      <c r="A103" s="3588"/>
      <c r="B103" s="2584" t="s">
        <v>1433</v>
      </c>
      <c r="C103" s="2587">
        <f ca="1">C20</f>
        <v>3637</v>
      </c>
      <c r="D103" s="2588">
        <f ca="1">D20</f>
        <v>3608</v>
      </c>
      <c r="E103" s="3623" t="s">
        <v>1434</v>
      </c>
      <c r="F103" s="3624"/>
      <c r="G103" s="1828" t="s">
        <v>1435</v>
      </c>
      <c r="H103" s="2595">
        <f>IF(D36="正常操作",H104+H105+H106,H105+H106)</f>
        <v>0</v>
      </c>
      <c r="I103" s="129"/>
    </row>
    <row r="104" spans="1:35" ht="18.75" customHeight="1">
      <c r="A104" s="3588" t="s">
        <v>1436</v>
      </c>
      <c r="B104" s="2589" t="s">
        <v>1431</v>
      </c>
      <c r="C104" s="2590">
        <f ca="1">H118</f>
        <v>12483</v>
      </c>
      <c r="D104" s="2591"/>
      <c r="E104" s="1674" t="s">
        <v>1437</v>
      </c>
      <c r="F104" s="1666"/>
      <c r="G104" s="1828" t="s">
        <v>1435</v>
      </c>
      <c r="H104" s="2596">
        <f>IF(D36="同一抵押权人同一抵押物续贷",C36&amp;"（续贷，未扣减，详见特别提示）",C36)</f>
        <v>0</v>
      </c>
      <c r="I104" s="129"/>
    </row>
    <row r="105" spans="1:35" ht="18.75" customHeight="1" thickBot="1">
      <c r="A105" s="3589"/>
      <c r="B105" s="2592" t="s">
        <v>1433</v>
      </c>
      <c r="C105" s="2593">
        <f ca="1">I118</f>
        <v>3623</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585" t="str">
        <f>IF(项目基本情况!E8="已注销","——","3.房地产抵押价值")</f>
        <v>3.房地产抵押价值</v>
      </c>
      <c r="F107" s="3586"/>
      <c r="G107" s="1827" t="s">
        <v>1431</v>
      </c>
      <c r="H107" s="2595">
        <f ca="1">IF(E107="——","——",H101-H103)</f>
        <v>12483</v>
      </c>
      <c r="I107" s="129"/>
    </row>
    <row r="108" spans="1:35" ht="18.75" customHeight="1">
      <c r="A108" s="129"/>
      <c r="B108" s="129"/>
      <c r="C108" s="129"/>
      <c r="D108" s="129"/>
      <c r="E108" s="3585"/>
      <c r="F108" s="3586"/>
      <c r="G108" s="1827" t="s">
        <v>1433</v>
      </c>
      <c r="H108" s="2555">
        <f ca="1">IF(H107=H101,H102,ROUND(H107*10000/'数据-汇总表'!E3,0))</f>
        <v>3623</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1431</v>
      </c>
      <c r="H109" s="2598" t="str">
        <f>IF(E109="——","——",H101-H105-H106)</f>
        <v>——</v>
      </c>
      <c r="I109" s="129"/>
    </row>
    <row r="110" spans="1:35" ht="18.75" customHeight="1">
      <c r="A110" s="129"/>
      <c r="B110" s="129"/>
      <c r="C110" s="129"/>
      <c r="D110" s="129"/>
      <c r="E110" s="3585"/>
      <c r="F110" s="3586"/>
      <c r="G110" s="1827" t="s">
        <v>1433</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1431</v>
      </c>
      <c r="H111" s="2595" t="str">
        <f>IF(E111="——","——",N59)</f>
        <v>——</v>
      </c>
      <c r="I111" s="129"/>
    </row>
    <row r="112" spans="1:35" ht="18.75" customHeight="1" thickBot="1">
      <c r="A112" s="129"/>
      <c r="B112" s="129"/>
      <c r="C112" s="129"/>
      <c r="D112" s="129"/>
      <c r="E112" s="3618"/>
      <c r="F112" s="3619"/>
      <c r="G112" s="1830" t="s">
        <v>1433</v>
      </c>
      <c r="H112" s="2599" t="str">
        <f>IF(E111="——","——",N61)</f>
        <v>——</v>
      </c>
      <c r="I112" s="129"/>
    </row>
    <row r="113" spans="1:27" ht="18.75" customHeight="1">
      <c r="A113" s="129"/>
      <c r="B113" s="129"/>
      <c r="C113" s="129"/>
      <c r="D113" s="129"/>
      <c r="E113" s="3590" t="s">
        <v>1439</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1441</v>
      </c>
      <c r="B115" s="3601"/>
      <c r="C115" s="3601"/>
      <c r="D115" s="3601"/>
      <c r="E115" s="3601"/>
      <c r="F115" s="3601"/>
      <c r="G115" s="3601"/>
      <c r="H115" s="3601"/>
      <c r="I115" s="3602"/>
    </row>
    <row r="116" spans="1:27" ht="27" customHeight="1">
      <c r="A116" s="3556" t="s">
        <v>1442</v>
      </c>
      <c r="B116" s="3591" t="s">
        <v>1443</v>
      </c>
      <c r="C116" s="3591" t="s">
        <v>1444</v>
      </c>
      <c r="D116" s="3604" t="s">
        <v>1445</v>
      </c>
      <c r="E116" s="3605"/>
      <c r="F116" s="3599" t="s">
        <v>1446</v>
      </c>
      <c r="G116" s="3599"/>
      <c r="H116" s="3556" t="s">
        <v>1447</v>
      </c>
      <c r="I116" s="3556"/>
    </row>
    <row r="117" spans="1:27" ht="18.75" customHeight="1">
      <c r="A117" s="3556"/>
      <c r="B117" s="3592"/>
      <c r="C117" s="3592"/>
      <c r="D117" s="2329" t="s">
        <v>1448</v>
      </c>
      <c r="E117" s="2329" t="s">
        <v>1449</v>
      </c>
      <c r="F117" s="2329" t="s">
        <v>1448</v>
      </c>
      <c r="G117" s="2329" t="s">
        <v>1450</v>
      </c>
      <c r="H117" s="2329" t="s">
        <v>1448</v>
      </c>
      <c r="I117" s="2329" t="s">
        <v>1450</v>
      </c>
    </row>
    <row r="118" spans="1:27" ht="24.75" customHeight="1">
      <c r="A118" s="2600" t="str">
        <f>项目基本情况!S2</f>
        <v>北京市房地产</v>
      </c>
      <c r="B118" s="2329">
        <f>M18</f>
        <v>34459.100000000006</v>
      </c>
      <c r="C118" s="2329">
        <f>M19</f>
        <v>23251.84</v>
      </c>
      <c r="D118" s="2329">
        <f ca="1">ROUND(IF(D32="总价",C34,E118*B118/10000),0)</f>
        <v>4020</v>
      </c>
      <c r="E118" s="2329">
        <f ca="1">ROUND(IF(C33="自定义",IF(D32="楼面单价",C34,D118*10000/B118),I118-G118),0)</f>
        <v>1167</v>
      </c>
      <c r="F118" s="2329">
        <f ca="1">ROUND(IF(D32="总价",C35,G118*B118/10000),0)</f>
        <v>8463</v>
      </c>
      <c r="G118" s="2329">
        <f ca="1">ROUND(IF(D32="楼面单价",C35,F118*10000/B118),0)</f>
        <v>2456</v>
      </c>
      <c r="H118" s="2329">
        <f ca="1">ROUND(IF(D32="总价",C32,I118*B118/10000),0)</f>
        <v>12483</v>
      </c>
      <c r="I118" s="2329">
        <f ca="1">ROUND(IF(D32="楼面单价",C32,H118*10000/B118),0)</f>
        <v>3623</v>
      </c>
      <c r="J118" s="725">
        <f ca="1">D118/C118*666.67</f>
        <v>115.26027187525803</v>
      </c>
    </row>
    <row r="119" spans="1:27" ht="18.75" customHeight="1">
      <c r="A119" s="3556" t="s">
        <v>1451</v>
      </c>
      <c r="B119" s="3556"/>
      <c r="C119" s="3556"/>
      <c r="D119" s="3596" t="str">
        <f ca="1">NUMBERSTRING(INT(D118*10000),2)&amp;"元整"</f>
        <v>肆仟零贰拾万元整</v>
      </c>
      <c r="E119" s="3598"/>
      <c r="F119" s="3596" t="str">
        <f ca="1">NUMBERSTRING(INT(F118*10000),2)&amp;"元整"</f>
        <v>捌仟肆佰陆拾叁万元整</v>
      </c>
      <c r="G119" s="3598"/>
      <c r="H119" s="3596" t="str">
        <f ca="1">NUMBERSTRING(INT(H118*10000),2)&amp;"元整"</f>
        <v>壹亿贰仟肆佰捌拾叁万元整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1451</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12483</v>
      </c>
      <c r="E122" s="3621"/>
      <c r="F122" s="3621"/>
      <c r="G122" s="3621"/>
      <c r="H122" s="3621"/>
      <c r="I122" s="3622"/>
      <c r="AA122" s="725"/>
    </row>
    <row r="123" spans="1:27" ht="18.75" customHeight="1">
      <c r="A123" s="3556" t="s">
        <v>1451</v>
      </c>
      <c r="B123" s="3556"/>
      <c r="C123" s="3556"/>
      <c r="D123" s="3596" t="str">
        <f ca="1">NUMBERSTRING(INT(D122*10000),2)&amp;"元整"</f>
        <v>壹亿贰仟肆佰捌拾叁万元整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1451</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1451</v>
      </c>
      <c r="B127" s="3556"/>
      <c r="C127" s="3556"/>
      <c r="D127" s="3596" t="e">
        <f>NUMBERSTRING(INT(D126*10000),2)&amp;"元整"</f>
        <v>#VALUE!</v>
      </c>
      <c r="E127" s="3597"/>
      <c r="F127" s="3597"/>
      <c r="G127" s="3597"/>
      <c r="H127" s="3597"/>
      <c r="I127" s="3598"/>
      <c r="AA127" s="725"/>
    </row>
    <row r="128" spans="1:27" ht="21.75" customHeight="1">
      <c r="A128" s="3603" t="s">
        <v>1452</v>
      </c>
      <c r="B128" s="3603"/>
      <c r="C128" s="3603"/>
      <c r="D128" s="3603"/>
      <c r="E128" s="3603"/>
      <c r="F128" s="3603"/>
      <c r="G128" s="3603"/>
      <c r="H128" s="3603"/>
      <c r="I128" s="3603"/>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12534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3637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3337.8870000000002</v>
      </c>
      <c r="D5" s="211" t="s">
        <v>1468</v>
      </c>
      <c r="E5" s="212" t="s">
        <v>1469</v>
      </c>
      <c r="F5" s="212" t="s">
        <v>1470</v>
      </c>
      <c r="G5" s="213"/>
    </row>
    <row r="6" spans="1:9" s="214" customFormat="1" ht="13.5" customHeight="1">
      <c r="A6" s="778" t="s">
        <v>1471</v>
      </c>
      <c r="B6" s="215" t="s">
        <v>1472</v>
      </c>
      <c r="C6" s="216">
        <f>1100*'数据-汇总表'!F31/10000</f>
        <v>2570.8870000000002</v>
      </c>
      <c r="D6" s="217"/>
      <c r="E6" s="218"/>
      <c r="F6" s="218"/>
      <c r="G6" s="219"/>
    </row>
    <row r="7" spans="1:9" s="214" customFormat="1" ht="13.5" customHeight="1">
      <c r="A7" s="778" t="s">
        <v>1473</v>
      </c>
      <c r="B7" s="215" t="s">
        <v>1474</v>
      </c>
      <c r="C7" s="220">
        <f>ROUND(C6*F7,0)</f>
        <v>78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689</v>
      </c>
      <c r="D8" s="222"/>
      <c r="E8" s="220"/>
      <c r="F8" s="221"/>
      <c r="G8" s="1856" t="s">
        <v>3403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t="s">
        <v>3404</v>
      </c>
      <c r="H9" s="1137"/>
      <c r="I9" s="1858" t="s">
        <v>1478</v>
      </c>
    </row>
    <row r="10" spans="1:9" s="214" customFormat="1" ht="13.5" customHeight="1">
      <c r="A10" s="779" t="s">
        <v>356</v>
      </c>
      <c r="B10" s="224" t="s">
        <v>1479</v>
      </c>
      <c r="C10" s="225">
        <f ca="1">ROUND(D10*E10/10000,0)</f>
        <v>689</v>
      </c>
      <c r="D10" s="845">
        <f ca="1">IF(B1="",'数据-汇总表'!E6,IF(INDIRECT("'数据-取费表'!c"&amp;$G$1)="住宅",INDIRECT("'数据-取费表'!s"&amp;$G$1),INDIRECT("'数据-取费表'!k"&amp;$G$1)+INDIRECT("'数据-取费表'!s"&amp;$G$1)))</f>
        <v>34459.100000000006</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34459.100000000006</v>
      </c>
      <c r="E19" s="211">
        <f>'数据-取费表'!B31</f>
        <v>200</v>
      </c>
      <c r="F19" s="231"/>
      <c r="G19" s="1856" t="s">
        <v>3405</v>
      </c>
    </row>
    <row r="20" spans="1:7" s="214" customFormat="1" ht="13.5" customHeight="1">
      <c r="A20" s="255" t="s">
        <v>1492</v>
      </c>
      <c r="B20" s="210" t="s">
        <v>1493</v>
      </c>
      <c r="C20" s="232">
        <f ca="1">ROUND((C5+C19)*F20,0)</f>
        <v>67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125</v>
      </c>
      <c r="D22" s="235">
        <f ca="1">C26</f>
        <v>4.0000000000000002E-4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124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204</v>
      </c>
      <c r="D27" s="235">
        <f ca="1">C29</f>
        <v>1.1999999999999999E-3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204</v>
      </c>
      <c r="D28" s="235"/>
      <c r="E28" s="236"/>
      <c r="F28" s="246"/>
      <c r="G28" s="247"/>
    </row>
    <row r="29" spans="1:7" s="214" customFormat="1" ht="13.5" customHeight="1">
      <c r="A29" s="780" t="s">
        <v>347</v>
      </c>
      <c r="B29" s="248" t="s">
        <v>1516</v>
      </c>
      <c r="C29" s="238">
        <f ca="1">ROUND(C21*F27*'数据-取费表'!B21/'数据-取费表'!B20,4)</f>
        <v>1.1999999999999999E-3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4032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6895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6202</v>
      </c>
      <c r="D34" s="217"/>
      <c r="E34" s="220"/>
      <c r="F34" s="257">
        <f ca="1">IF('数据-取费表'!B24=0,1,IF(B1="",'数据-取费表'!N16,INDIRECT("'数据-取费表'!n"&amp;$G$1)))</f>
        <v>0.6</v>
      </c>
      <c r="G34" s="219" t="s">
        <v>1525</v>
      </c>
    </row>
    <row r="35" spans="1:7" ht="13.5" customHeight="1">
      <c r="A35" s="780" t="s">
        <v>351</v>
      </c>
      <c r="B35" s="215" t="s">
        <v>1526</v>
      </c>
      <c r="C35" s="220">
        <f ca="1">ROUND(C34*F35,0)</f>
        <v>186</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414</v>
      </c>
      <c r="D37" s="217">
        <f ca="1">D19</f>
        <v>34459.100000000006</v>
      </c>
      <c r="E37" s="249">
        <f>'数据-取费表'!B35</f>
        <v>200</v>
      </c>
      <c r="F37" s="259"/>
      <c r="G37" s="261" t="s">
        <v>1531</v>
      </c>
    </row>
    <row r="38" spans="1:7" ht="13.5" customHeight="1">
      <c r="A38" s="780" t="s">
        <v>354</v>
      </c>
      <c r="B38" s="215" t="s">
        <v>1532</v>
      </c>
      <c r="C38" s="220">
        <f ca="1">ROUND(C34*F38,0)</f>
        <v>93</v>
      </c>
      <c r="D38" s="220"/>
      <c r="E38" s="220"/>
      <c r="F38" s="259">
        <f>'数据-取费表'!B36</f>
        <v>1.4999999999999999E-2</v>
      </c>
      <c r="G38" s="219" t="s">
        <v>1527</v>
      </c>
    </row>
    <row r="39" spans="1:7" s="214" customFormat="1" ht="13.5" customHeight="1">
      <c r="A39" s="255" t="s">
        <v>1533</v>
      </c>
      <c r="B39" s="210" t="s">
        <v>1534</v>
      </c>
      <c r="C39" s="232">
        <f ca="1">ROUND(C33*F20,0)</f>
        <v>138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130</v>
      </c>
      <c r="D41" s="235">
        <f ca="1">C44</f>
        <v>4.0000000000000002E-4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127</v>
      </c>
      <c r="D42" s="238"/>
      <c r="E42" s="238"/>
      <c r="F42" s="239"/>
      <c r="G42" s="3636" t="s">
        <v>1543</v>
      </c>
    </row>
    <row r="43" spans="1:7" ht="13.5" customHeight="1">
      <c r="A43" s="780" t="s">
        <v>347</v>
      </c>
      <c r="B43" s="215" t="s">
        <v>1544</v>
      </c>
      <c r="C43" s="238">
        <f ca="1">ROUND(IF('数据-取费表'!B22&lt;=1,C39*F22*'数据-取费表'!B21/2,C39*(POWER((1+F22),'数据-取费表'!B21/2)-1)),0)</f>
        <v>3</v>
      </c>
      <c r="D43" s="238"/>
      <c r="E43" s="238"/>
      <c r="F43" s="239"/>
      <c r="G43" s="3637"/>
    </row>
    <row r="44" spans="1:7" ht="13.5" customHeight="1">
      <c r="A44" s="780" t="s">
        <v>348</v>
      </c>
      <c r="B44" s="215" t="s">
        <v>1545</v>
      </c>
      <c r="C44" s="238">
        <f ca="1">ROUND(IF('数据-取费表'!B22&lt;=1,C40*F22*'数据-取费表'!B21/2,C40*(POWER((1+F22),'数据-取费表'!B21/2)-1)),4)</f>
        <v>4.0000000000000002E-4</v>
      </c>
      <c r="D44" s="238"/>
      <c r="E44" s="238"/>
      <c r="F44" s="239"/>
      <c r="G44" s="3638"/>
    </row>
    <row r="45" spans="1:7" s="214" customFormat="1" ht="13.5" customHeight="1">
      <c r="A45" s="255" t="s">
        <v>1546</v>
      </c>
      <c r="B45" s="244" t="s">
        <v>1512</v>
      </c>
      <c r="C45" s="245">
        <f ca="1">C46</f>
        <v>703</v>
      </c>
      <c r="D45" s="235">
        <f ca="1">C47</f>
        <v>2E-3</v>
      </c>
      <c r="E45" s="236" t="s">
        <v>1538</v>
      </c>
      <c r="F45" s="246">
        <f ca="1">F27</f>
        <v>0.1</v>
      </c>
      <c r="G45" s="247" t="s">
        <v>1547</v>
      </c>
    </row>
    <row r="46" spans="1:7" s="214" customFormat="1" ht="13.5" customHeight="1">
      <c r="A46" s="780" t="s">
        <v>346</v>
      </c>
      <c r="B46" s="248" t="s">
        <v>1548</v>
      </c>
      <c r="C46" s="249">
        <f ca="1">ROUND((C33+C39)*F27,0)</f>
        <v>703</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8502</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8502</v>
      </c>
      <c r="D51" s="232"/>
      <c r="E51" s="232"/>
      <c r="F51" s="264"/>
      <c r="G51" s="234" t="s">
        <v>1559</v>
      </c>
    </row>
    <row r="52" spans="1:7" s="208" customFormat="1" ht="16.5" thickBot="1">
      <c r="A52" s="265" t="s">
        <v>1560</v>
      </c>
      <c r="B52" s="266"/>
      <c r="C52" s="267">
        <f ca="1">C31+C51</f>
        <v>12534</v>
      </c>
      <c r="D52" s="266"/>
      <c r="E52" s="266"/>
      <c r="F52" s="266"/>
      <c r="G52" s="268"/>
    </row>
    <row r="55" spans="1:7" ht="15">
      <c r="B55" s="270" t="s">
        <v>1561</v>
      </c>
      <c r="C55" s="271"/>
    </row>
    <row r="56" spans="1:7">
      <c r="B56" s="273" t="s">
        <v>802</v>
      </c>
      <c r="C56" s="275">
        <f ca="1">1-C57</f>
        <v>0.32199999999999995</v>
      </c>
    </row>
    <row r="57" spans="1:7">
      <c r="B57" s="273" t="s">
        <v>803</v>
      </c>
      <c r="C57" s="274">
        <f ca="1">ROUND(C51/C52,3)</f>
        <v>0.67800000000000005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4">
        <f ca="1">ROUND(IF(D2="——",C52/10000,C52/10000-E2),4)</f>
        <v>16098.5923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4672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6891820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6891820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6891820</v>
      </c>
      <c r="D10" s="845">
        <f ca="1">IF(B1="",'数据-汇总表'!E6,IF(INDIRECT("'数据-取费表'!c"&amp;$G$1)="住宅",INDIRECT("'数据-取费表'!s"&amp;$G$1),INDIRECT("'数据-取费表'!k"&amp;$G$1)+INDIRECT("'数据-取费表'!s"&amp;$G$1)))</f>
        <v>34459.100000000006</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6891820</v>
      </c>
      <c r="D19" s="849">
        <f ca="1">D9+D10</f>
        <v>34459.100000000006</v>
      </c>
      <c r="E19" s="211">
        <f>'数据-取费表'!B31</f>
        <v>200</v>
      </c>
      <c r="F19" s="231"/>
      <c r="G19" s="1856"/>
    </row>
    <row r="20" spans="1:7" s="214" customFormat="1" ht="13.5" customHeight="1">
      <c r="A20" s="255" t="s">
        <v>1573</v>
      </c>
      <c r="B20" s="210" t="s">
        <v>1574</v>
      </c>
      <c r="C20" s="232">
        <f ca="1">ROUND((C5+C19)*F20,0)</f>
        <v>275673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875411</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433437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433437</v>
      </c>
      <c r="D24" s="238"/>
      <c r="E24" s="238"/>
      <c r="F24" s="239"/>
      <c r="G24" s="240" t="s">
        <v>1585</v>
      </c>
    </row>
    <row r="25" spans="1:7" s="214" customFormat="1" ht="24">
      <c r="A25" s="780" t="s">
        <v>1475</v>
      </c>
      <c r="B25" s="215" t="s">
        <v>1586</v>
      </c>
      <c r="C25" s="1128">
        <f ca="1">ROUND(IF('数据-取费表'!B22&lt;=1,C20*F22*'数据-取费表'!B22/2,C20*(POWER((1+F22),'数据-取费表'!B22/2)-1)),0)</f>
        <v>8537</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1405931</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1405931</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17665573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114921099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103377300</v>
      </c>
      <c r="D34" s="217"/>
      <c r="E34" s="220"/>
      <c r="F34" s="257"/>
      <c r="G34" s="219"/>
    </row>
    <row r="35" spans="1:7" ht="13.5" customHeight="1">
      <c r="A35" s="780" t="s">
        <v>351</v>
      </c>
      <c r="B35" s="215" t="s">
        <v>1526</v>
      </c>
      <c r="C35" s="220">
        <f ca="1">ROUND(C34*F35,0)</f>
        <v>3101319</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6891820</v>
      </c>
      <c r="D37" s="217">
        <f ca="1">D19</f>
        <v>34459.100000000006</v>
      </c>
      <c r="E37" s="249">
        <f>'数据-取费表'!B35</f>
        <v>200</v>
      </c>
      <c r="F37" s="259"/>
      <c r="G37" s="261"/>
    </row>
    <row r="38" spans="1:7" ht="13.5" customHeight="1">
      <c r="A38" s="780" t="s">
        <v>354</v>
      </c>
      <c r="B38" s="215" t="s">
        <v>1532</v>
      </c>
      <c r="C38" s="220">
        <f ca="1">ROUND(C34*F38,0)</f>
        <v>1550660</v>
      </c>
      <c r="D38" s="220"/>
      <c r="E38" s="220"/>
      <c r="F38" s="259">
        <f>'数据-取费表'!B36</f>
        <v>1.4999999999999999E-2</v>
      </c>
      <c r="G38" s="219" t="s">
        <v>1527</v>
      </c>
    </row>
    <row r="39" spans="1:7" s="214" customFormat="1" ht="13.5" customHeight="1">
      <c r="A39" s="255" t="s">
        <v>1533</v>
      </c>
      <c r="B39" s="210" t="s">
        <v>1534</v>
      </c>
      <c r="C39" s="232">
        <f ca="1">ROUND(C33*F20,0)</f>
        <v>2298422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3629851</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3558677</v>
      </c>
      <c r="D42" s="238"/>
      <c r="E42" s="238"/>
      <c r="F42" s="239"/>
      <c r="G42" s="3636" t="s">
        <v>1590</v>
      </c>
    </row>
    <row r="43" spans="1:7" ht="13.5" customHeight="1">
      <c r="A43" s="780" t="s">
        <v>347</v>
      </c>
      <c r="B43" s="215" t="s">
        <v>1544</v>
      </c>
      <c r="C43" s="238">
        <f ca="1">ROUND(IF('数据-取费表'!B22&lt;=1,C39*F22*'数据-取费表'!B20/2,C39*(POWER((1+F22),'数据-取费表'!B20/2)-1)),0)</f>
        <v>71174</v>
      </c>
      <c r="D43" s="238"/>
      <c r="E43" s="238"/>
      <c r="F43" s="239"/>
      <c r="G43" s="3637"/>
    </row>
    <row r="44" spans="1:7" ht="13.5" customHeight="1">
      <c r="A44" s="780" t="s">
        <v>348</v>
      </c>
      <c r="B44" s="215" t="s">
        <v>1545</v>
      </c>
      <c r="C44" s="238">
        <f ca="1">ROUND(IF('数据-取费表'!B22&lt;=1,C40*F22*'数据-取费表'!B20/2,C40*(POWER((1+F22),'数据-取费表'!B20/2)-1)),4)</f>
        <v>5.9999999999999995E-4</v>
      </c>
      <c r="D44" s="238"/>
      <c r="E44" s="238"/>
      <c r="F44" s="239"/>
      <c r="G44" s="3638"/>
    </row>
    <row r="45" spans="1:7" s="214" customFormat="1" ht="13.5" customHeight="1">
      <c r="A45" s="255" t="s">
        <v>1546</v>
      </c>
      <c r="B45" s="244" t="s">
        <v>1512</v>
      </c>
      <c r="C45" s="245">
        <f ca="1">C46</f>
        <v>11721952</v>
      </c>
      <c r="D45" s="235">
        <f ca="1">C47</f>
        <v>2E-3</v>
      </c>
      <c r="E45" s="236" t="s">
        <v>1538</v>
      </c>
      <c r="F45" s="246">
        <f ca="1">F27</f>
        <v>0.1</v>
      </c>
      <c r="G45" s="247" t="s">
        <v>1547</v>
      </c>
    </row>
    <row r="46" spans="1:7" s="214" customFormat="1" ht="13.5" customHeight="1">
      <c r="A46" s="780" t="s">
        <v>346</v>
      </c>
      <c r="B46" s="248" t="s">
        <v>1548</v>
      </c>
      <c r="C46" s="249">
        <f ca="1">ROUND((C33+C39)*F27,0)</f>
        <v>11721952</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143320350</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143320350</v>
      </c>
      <c r="D51" s="232"/>
      <c r="E51" s="232"/>
      <c r="F51" s="264"/>
      <c r="G51" s="234" t="s">
        <v>1559</v>
      </c>
    </row>
    <row r="52" spans="1:7" s="208" customFormat="1" ht="16.5" thickBot="1">
      <c r="A52" s="265" t="s">
        <v>1560</v>
      </c>
      <c r="B52" s="266"/>
      <c r="C52" s="267">
        <f ca="1">C31+C51</f>
        <v>160985923</v>
      </c>
      <c r="D52" s="266"/>
      <c r="E52" s="266"/>
      <c r="F52" s="266"/>
      <c r="G52" s="268"/>
    </row>
    <row r="55" spans="1:7" ht="15">
      <c r="B55" s="270" t="s">
        <v>1561</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39" t="s">
        <v>1769</v>
      </c>
      <c r="D4" s="3665"/>
      <c r="E4" s="3666" t="s">
        <v>1770</v>
      </c>
      <c r="F4" s="3667"/>
      <c r="G4" s="3639" t="s">
        <v>1771</v>
      </c>
      <c r="H4" s="3665"/>
      <c r="I4" s="3639" t="s">
        <v>1772</v>
      </c>
      <c r="J4" s="3665"/>
      <c r="K4" s="559" t="s">
        <v>1773</v>
      </c>
      <c r="L4" s="2715"/>
      <c r="M4" s="2716"/>
      <c r="N4" s="2716"/>
      <c r="O4" s="2716"/>
      <c r="P4" s="3668" t="s">
        <v>1774</v>
      </c>
      <c r="Q4" s="3669"/>
      <c r="R4" s="3645" t="s">
        <v>1770</v>
      </c>
      <c r="S4" s="3646"/>
      <c r="T4" s="3645" t="s">
        <v>1771</v>
      </c>
      <c r="U4" s="3646"/>
      <c r="V4" s="3658" t="s">
        <v>1772</v>
      </c>
      <c r="W4" s="3658"/>
      <c r="X4" s="1355"/>
      <c r="Y4" s="3645" t="s">
        <v>1774</v>
      </c>
      <c r="Z4" s="3646"/>
      <c r="AA4" s="3662" t="s">
        <v>1770</v>
      </c>
      <c r="AB4" s="3663" t="s">
        <v>1771</v>
      </c>
      <c r="AC4" s="3662" t="s">
        <v>1772</v>
      </c>
    </row>
    <row r="5" spans="1:29" ht="15">
      <c r="A5" s="358"/>
      <c r="B5" s="359"/>
      <c r="C5" s="3649" t="s">
        <v>1672</v>
      </c>
      <c r="D5" s="3650"/>
      <c r="E5" s="3674" t="s">
        <v>1673</v>
      </c>
      <c r="F5" s="3675"/>
      <c r="G5" s="3649" t="s">
        <v>1674</v>
      </c>
      <c r="H5" s="3650"/>
      <c r="I5" s="3649" t="s">
        <v>1675</v>
      </c>
      <c r="J5" s="3650"/>
      <c r="K5" s="559"/>
      <c r="L5" s="2715"/>
      <c r="M5" s="2716"/>
      <c r="N5" s="2716"/>
      <c r="O5" s="2716"/>
      <c r="P5" s="3670"/>
      <c r="Q5" s="3671"/>
      <c r="R5" s="3647"/>
      <c r="S5" s="3648"/>
      <c r="T5" s="3647"/>
      <c r="U5" s="3648"/>
      <c r="V5" s="3658"/>
      <c r="W5" s="3658"/>
      <c r="X5" s="1355"/>
      <c r="Y5" s="3647"/>
      <c r="Z5" s="3648"/>
      <c r="AA5" s="3663"/>
      <c r="AB5" s="3663"/>
      <c r="AC5" s="3663"/>
    </row>
    <row r="6" spans="1:29" ht="15.75" thickBot="1">
      <c r="A6" s="360"/>
      <c r="B6" s="361"/>
      <c r="C6" s="3651" t="s">
        <v>1918</v>
      </c>
      <c r="D6" s="3652"/>
      <c r="E6" s="3654" t="s">
        <v>1918</v>
      </c>
      <c r="F6" s="3655"/>
      <c r="G6" s="3651" t="s">
        <v>1918</v>
      </c>
      <c r="H6" s="3652"/>
      <c r="I6" s="3651" t="s">
        <v>1918</v>
      </c>
      <c r="J6" s="3652"/>
      <c r="K6" s="559" t="s">
        <v>1677</v>
      </c>
      <c r="L6" s="2715"/>
      <c r="M6" s="2716"/>
      <c r="N6" s="2716"/>
      <c r="O6" s="2716"/>
      <c r="P6" s="3672"/>
      <c r="Q6" s="3673"/>
      <c r="R6" s="3647"/>
      <c r="S6" s="3648"/>
      <c r="T6" s="3656"/>
      <c r="U6" s="3657"/>
      <c r="V6" s="3658"/>
      <c r="W6" s="3658"/>
      <c r="X6" s="1355"/>
      <c r="Y6" s="3656"/>
      <c r="Z6" s="3657"/>
      <c r="AA6" s="3664"/>
      <c r="AB6" s="3664"/>
      <c r="AC6" s="3664"/>
    </row>
    <row r="7" spans="1:29" s="108" customFormat="1" ht="15.75" thickBot="1">
      <c r="A7" s="362" t="s">
        <v>1678</v>
      </c>
      <c r="B7" s="363"/>
      <c r="C7" s="364">
        <f>'数据-取费表'!B2</f>
        <v>45026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3" t="s">
        <v>1679</v>
      </c>
      <c r="Q7" s="3653"/>
      <c r="R7" s="701" t="s">
        <v>14</v>
      </c>
      <c r="S7" s="702">
        <f t="shared" ref="S7:S15" si="0">F7</f>
        <v>0</v>
      </c>
      <c r="T7" s="701" t="s">
        <v>14</v>
      </c>
      <c r="U7" s="702">
        <f t="shared" ref="U7:U15" si="1">H7</f>
        <v>0</v>
      </c>
      <c r="V7" s="701" t="s">
        <v>14</v>
      </c>
      <c r="W7" s="702">
        <f t="shared" ref="W7:W15" si="2">J7</f>
        <v>0</v>
      </c>
      <c r="X7" s="703"/>
      <c r="Y7" s="3643" t="s">
        <v>1679</v>
      </c>
      <c r="Z7" s="364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3" t="s">
        <v>1682</v>
      </c>
      <c r="Q8" s="3644"/>
      <c r="R8" s="701" t="s">
        <v>14</v>
      </c>
      <c r="S8" s="702">
        <f t="shared" si="0"/>
        <v>0</v>
      </c>
      <c r="T8" s="701" t="s">
        <v>14</v>
      </c>
      <c r="U8" s="702">
        <f t="shared" si="1"/>
        <v>0</v>
      </c>
      <c r="V8" s="701" t="s">
        <v>14</v>
      </c>
      <c r="W8" s="702">
        <f t="shared" si="2"/>
        <v>0</v>
      </c>
      <c r="X8" s="703"/>
      <c r="Y8" s="3643" t="s">
        <v>1682</v>
      </c>
      <c r="Z8" s="3644"/>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2"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105</v>
      </c>
      <c r="G10" s="383"/>
      <c r="H10" s="127">
        <f>ROUND(100/'数据-取费表'!G16,0)</f>
        <v>105</v>
      </c>
      <c r="I10" s="383"/>
      <c r="J10" s="127">
        <f>ROUND(100/'数据-取费表'!G16,0)</f>
        <v>105</v>
      </c>
      <c r="K10" s="620"/>
      <c r="L10" s="2719"/>
      <c r="M10" s="2720"/>
      <c r="N10" s="2720"/>
      <c r="O10" s="2773"/>
      <c r="P10" s="3642"/>
      <c r="Q10" s="1343" t="str">
        <f t="shared" si="6"/>
        <v>土地使用年限（年）</v>
      </c>
      <c r="R10" s="701" t="s">
        <v>14</v>
      </c>
      <c r="S10" s="702">
        <f t="shared" si="0"/>
        <v>105</v>
      </c>
      <c r="T10" s="701" t="s">
        <v>14</v>
      </c>
      <c r="U10" s="702">
        <f t="shared" si="1"/>
        <v>105</v>
      </c>
      <c r="V10" s="701" t="s">
        <v>14</v>
      </c>
      <c r="W10" s="702">
        <f t="shared" si="2"/>
        <v>105</v>
      </c>
      <c r="X10" s="703"/>
      <c r="Y10" s="3543"/>
      <c r="Z10" s="52" t="str">
        <f t="shared" si="7"/>
        <v>土地使用年限（年）</v>
      </c>
      <c r="AA10" s="704">
        <f t="shared" si="3"/>
        <v>0.95238095238095233</v>
      </c>
      <c r="AB10" s="704">
        <f t="shared" si="4"/>
        <v>0.95238095238095233</v>
      </c>
      <c r="AC10" s="704">
        <f t="shared" si="5"/>
        <v>0.95238095238095233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2"/>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2"/>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2"/>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9" t="s">
        <v>1690</v>
      </c>
      <c r="Q15" s="1352" t="str">
        <f t="shared" si="6"/>
        <v>产业集聚程度</v>
      </c>
      <c r="R15" s="705" t="s">
        <v>14</v>
      </c>
      <c r="S15" s="706">
        <f t="shared" si="0"/>
        <v>100</v>
      </c>
      <c r="T15" s="705" t="s">
        <v>14</v>
      </c>
      <c r="U15" s="706">
        <f t="shared" si="1"/>
        <v>100</v>
      </c>
      <c r="V15" s="705" t="s">
        <v>14</v>
      </c>
      <c r="W15" s="706">
        <f t="shared" si="2"/>
        <v>100</v>
      </c>
      <c r="X15" s="1355"/>
      <c r="Y15" s="365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0"/>
      <c r="Q16" s="1352"/>
      <c r="R16" s="705"/>
      <c r="S16" s="706"/>
      <c r="T16" s="705"/>
      <c r="U16" s="706"/>
      <c r="V16" s="705"/>
      <c r="W16" s="706"/>
      <c r="X16" s="1355"/>
      <c r="Y16" s="366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0"/>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0"/>
      <c r="Q18" s="1352"/>
      <c r="R18" s="705"/>
      <c r="S18" s="706"/>
      <c r="T18" s="705"/>
      <c r="U18" s="706"/>
      <c r="V18" s="705"/>
      <c r="W18" s="706"/>
      <c r="X18" s="1355"/>
      <c r="Y18" s="366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0"/>
      <c r="Q19" s="1352" t="str">
        <f t="shared" ref="Q19:Q33" si="8">B19</f>
        <v>区域土地利用方向</v>
      </c>
      <c r="R19" s="705" t="s">
        <v>14</v>
      </c>
      <c r="S19" s="706">
        <f>F19</f>
        <v>100</v>
      </c>
      <c r="T19" s="705" t="s">
        <v>14</v>
      </c>
      <c r="U19" s="706">
        <f>H19</f>
        <v>100</v>
      </c>
      <c r="V19" s="705" t="s">
        <v>14</v>
      </c>
      <c r="W19" s="706">
        <f>J19</f>
        <v>100</v>
      </c>
      <c r="X19" s="1355"/>
      <c r="Y19" s="366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0"/>
      <c r="Q20" s="1352"/>
      <c r="R20" s="705"/>
      <c r="S20" s="706"/>
      <c r="T20" s="705"/>
      <c r="U20" s="706"/>
      <c r="V20" s="705"/>
      <c r="W20" s="706"/>
      <c r="X20" s="1355"/>
      <c r="Y20" s="366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0"/>
      <c r="Q21" s="1352" t="str">
        <f t="shared" si="8"/>
        <v>环境状况</v>
      </c>
      <c r="R21" s="705" t="s">
        <v>14</v>
      </c>
      <c r="S21" s="706">
        <f>F21</f>
        <v>100</v>
      </c>
      <c r="T21" s="705" t="s">
        <v>14</v>
      </c>
      <c r="U21" s="706">
        <f>H21</f>
        <v>100</v>
      </c>
      <c r="V21" s="705" t="s">
        <v>14</v>
      </c>
      <c r="W21" s="706">
        <f>J21</f>
        <v>100</v>
      </c>
      <c r="X21" s="1355"/>
      <c r="Y21" s="366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0"/>
      <c r="Q22" s="1352"/>
      <c r="R22" s="705"/>
      <c r="S22" s="706"/>
      <c r="T22" s="705"/>
      <c r="U22" s="706"/>
      <c r="V22" s="705"/>
      <c r="W22" s="706"/>
      <c r="X22" s="1355"/>
      <c r="Y22" s="366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0"/>
      <c r="Q23" s="1343" t="str">
        <f t="shared" si="8"/>
        <v>公共配套设施</v>
      </c>
      <c r="R23" s="701" t="s">
        <v>14</v>
      </c>
      <c r="S23" s="702">
        <f>F23</f>
        <v>100</v>
      </c>
      <c r="T23" s="701" t="s">
        <v>14</v>
      </c>
      <c r="U23" s="702">
        <f>H23</f>
        <v>100</v>
      </c>
      <c r="V23" s="701" t="s">
        <v>14</v>
      </c>
      <c r="W23" s="702">
        <f>J23</f>
        <v>100</v>
      </c>
      <c r="X23" s="703"/>
      <c r="Y23" s="366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0"/>
      <c r="Q24" s="1343"/>
      <c r="R24" s="701"/>
      <c r="S24" s="702"/>
      <c r="T24" s="701"/>
      <c r="U24" s="702"/>
      <c r="V24" s="701"/>
      <c r="W24" s="702"/>
      <c r="X24" s="703"/>
      <c r="Y24" s="366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0"/>
      <c r="Q25" s="1343" t="str">
        <f t="shared" ref="Q25" si="9">B25</f>
        <v>基础设施水平</v>
      </c>
      <c r="R25" s="701" t="s">
        <v>14</v>
      </c>
      <c r="S25" s="702">
        <f>F25</f>
        <v>100</v>
      </c>
      <c r="T25" s="701" t="s">
        <v>14</v>
      </c>
      <c r="U25" s="702">
        <f>H25</f>
        <v>100</v>
      </c>
      <c r="V25" s="701" t="s">
        <v>14</v>
      </c>
      <c r="W25" s="702">
        <f>J25</f>
        <v>100</v>
      </c>
      <c r="X25" s="703"/>
      <c r="Y25" s="366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0"/>
      <c r="Q26" s="1343"/>
      <c r="R26" s="701"/>
      <c r="S26" s="702"/>
      <c r="T26" s="701"/>
      <c r="U26" s="702"/>
      <c r="V26" s="701"/>
      <c r="W26" s="702"/>
      <c r="X26" s="703"/>
      <c r="Y26" s="366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0"/>
      <c r="Q28" s="1352" t="str">
        <f t="shared" si="8"/>
        <v>毗邻道路的类型与等级</v>
      </c>
      <c r="R28" s="705" t="s">
        <v>14</v>
      </c>
      <c r="S28" s="706">
        <f t="shared" si="10"/>
        <v>100</v>
      </c>
      <c r="T28" s="705" t="s">
        <v>14</v>
      </c>
      <c r="U28" s="706">
        <f t="shared" si="11"/>
        <v>100</v>
      </c>
      <c r="V28" s="705" t="s">
        <v>14</v>
      </c>
      <c r="W28" s="706">
        <f t="shared" si="12"/>
        <v>100</v>
      </c>
      <c r="X28" s="1355"/>
      <c r="Y28" s="366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0"/>
      <c r="Q29" s="1352"/>
      <c r="R29" s="705"/>
      <c r="S29" s="706"/>
      <c r="T29" s="705"/>
      <c r="U29" s="706"/>
      <c r="V29" s="705"/>
      <c r="W29" s="706"/>
      <c r="X29" s="1355"/>
      <c r="Y29" s="366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0"/>
      <c r="Q30" s="1352" t="str">
        <f t="shared" si="8"/>
        <v>土地级别</v>
      </c>
      <c r="R30" s="705" t="s">
        <v>14</v>
      </c>
      <c r="S30" s="706">
        <f t="shared" si="10"/>
        <v>100</v>
      </c>
      <c r="T30" s="705" t="s">
        <v>14</v>
      </c>
      <c r="U30" s="706">
        <f t="shared" si="11"/>
        <v>100</v>
      </c>
      <c r="V30" s="705" t="s">
        <v>14</v>
      </c>
      <c r="W30" s="706">
        <f t="shared" si="12"/>
        <v>100</v>
      </c>
      <c r="X30" s="1355"/>
      <c r="Y30" s="366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0"/>
      <c r="Q31" s="1352">
        <f t="shared" si="8"/>
        <v>111</v>
      </c>
      <c r="R31" s="705" t="s">
        <v>14</v>
      </c>
      <c r="S31" s="706">
        <f t="shared" si="10"/>
        <v>100</v>
      </c>
      <c r="T31" s="705" t="s">
        <v>14</v>
      </c>
      <c r="U31" s="706">
        <f t="shared" si="11"/>
        <v>100</v>
      </c>
      <c r="V31" s="705" t="s">
        <v>14</v>
      </c>
      <c r="W31" s="706">
        <f t="shared" si="12"/>
        <v>100</v>
      </c>
      <c r="X31" s="1355"/>
      <c r="Y31" s="366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76" t="s">
        <v>1695</v>
      </c>
      <c r="Q32" s="1352">
        <f t="shared" si="8"/>
        <v>111</v>
      </c>
      <c r="R32" s="705" t="s">
        <v>14</v>
      </c>
      <c r="S32" s="706">
        <f t="shared" si="10"/>
        <v>100</v>
      </c>
      <c r="T32" s="705" t="s">
        <v>14</v>
      </c>
      <c r="U32" s="706">
        <f t="shared" si="11"/>
        <v>100</v>
      </c>
      <c r="V32" s="705" t="s">
        <v>14</v>
      </c>
      <c r="W32" s="706">
        <f t="shared" si="12"/>
        <v>100</v>
      </c>
      <c r="X32" s="1355"/>
      <c r="Y32" s="366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1"/>
      <c r="Q33" s="1352">
        <f t="shared" si="8"/>
        <v>111</v>
      </c>
      <c r="R33" s="708" t="s">
        <v>14</v>
      </c>
      <c r="S33" s="709">
        <f t="shared" si="10"/>
        <v>100</v>
      </c>
      <c r="T33" s="708" t="s">
        <v>14</v>
      </c>
      <c r="U33" s="709">
        <f t="shared" si="11"/>
        <v>100</v>
      </c>
      <c r="V33" s="708" t="s">
        <v>14</v>
      </c>
      <c r="W33" s="709">
        <f t="shared" si="12"/>
        <v>100</v>
      </c>
      <c r="X33" s="710"/>
      <c r="Y33" s="366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1"/>
      <c r="Q34" s="1352" t="str">
        <f>B34</f>
        <v>宗地面积</v>
      </c>
      <c r="R34" s="705" t="s">
        <v>14</v>
      </c>
      <c r="S34" s="706" t="e">
        <f t="shared" si="10"/>
        <v>#N/A</v>
      </c>
      <c r="T34" s="705" t="s">
        <v>14</v>
      </c>
      <c r="U34" s="706" t="e">
        <f t="shared" si="11"/>
        <v>#N/A</v>
      </c>
      <c r="V34" s="705" t="s">
        <v>14</v>
      </c>
      <c r="W34" s="706" t="e">
        <f t="shared" si="12"/>
        <v>#N/A</v>
      </c>
      <c r="X34" s="1355"/>
      <c r="Y34" s="366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1"/>
      <c r="Q35" s="1352" t="str">
        <f t="shared" ref="Q35:Q40" si="14">B35</f>
        <v>宗地形状</v>
      </c>
      <c r="R35" s="705" t="s">
        <v>14</v>
      </c>
      <c r="S35" s="706">
        <f t="shared" si="10"/>
        <v>100</v>
      </c>
      <c r="T35" s="705" t="s">
        <v>14</v>
      </c>
      <c r="U35" s="706">
        <f t="shared" si="11"/>
        <v>100</v>
      </c>
      <c r="V35" s="705" t="s">
        <v>14</v>
      </c>
      <c r="W35" s="706">
        <f t="shared" si="12"/>
        <v>100</v>
      </c>
      <c r="X35" s="1355"/>
      <c r="Y35" s="366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1"/>
      <c r="Q36" s="1352" t="str">
        <f t="shared" si="14"/>
        <v>宗地开发程度</v>
      </c>
      <c r="R36" s="701" t="s">
        <v>14</v>
      </c>
      <c r="S36" s="702">
        <f t="shared" si="10"/>
        <v>100</v>
      </c>
      <c r="T36" s="701" t="s">
        <v>14</v>
      </c>
      <c r="U36" s="702">
        <f t="shared" si="11"/>
        <v>100</v>
      </c>
      <c r="V36" s="701" t="s">
        <v>14</v>
      </c>
      <c r="W36" s="702">
        <f t="shared" si="12"/>
        <v>100</v>
      </c>
      <c r="X36" s="703"/>
      <c r="Y36" s="366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1" t="s">
        <v>1695</v>
      </c>
      <c r="Q37" s="1352" t="str">
        <f t="shared" si="14"/>
        <v>工程地质条件</v>
      </c>
      <c r="R37" s="705" t="s">
        <v>14</v>
      </c>
      <c r="S37" s="706">
        <f t="shared" si="10"/>
        <v>100</v>
      </c>
      <c r="T37" s="705" t="s">
        <v>14</v>
      </c>
      <c r="U37" s="706">
        <f t="shared" si="11"/>
        <v>100</v>
      </c>
      <c r="V37" s="705" t="s">
        <v>14</v>
      </c>
      <c r="W37" s="706">
        <f t="shared" si="12"/>
        <v>100</v>
      </c>
      <c r="X37" s="1355"/>
      <c r="Y37" s="366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1"/>
      <c r="Q38" s="1352">
        <f t="shared" si="14"/>
        <v>111</v>
      </c>
      <c r="R38" s="705" t="s">
        <v>14</v>
      </c>
      <c r="S38" s="706">
        <f t="shared" si="10"/>
        <v>100</v>
      </c>
      <c r="T38" s="705" t="s">
        <v>14</v>
      </c>
      <c r="U38" s="706">
        <f t="shared" si="11"/>
        <v>100</v>
      </c>
      <c r="V38" s="705" t="s">
        <v>14</v>
      </c>
      <c r="W38" s="706">
        <f t="shared" si="12"/>
        <v>100</v>
      </c>
      <c r="X38" s="1355"/>
      <c r="Y38" s="36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1"/>
      <c r="Q39" s="1352">
        <f t="shared" si="14"/>
        <v>111</v>
      </c>
      <c r="R39" s="705" t="s">
        <v>14</v>
      </c>
      <c r="S39" s="706">
        <f t="shared" si="10"/>
        <v>100</v>
      </c>
      <c r="T39" s="705" t="s">
        <v>14</v>
      </c>
      <c r="U39" s="706">
        <f t="shared" si="11"/>
        <v>100</v>
      </c>
      <c r="V39" s="705" t="s">
        <v>14</v>
      </c>
      <c r="W39" s="706">
        <f t="shared" si="12"/>
        <v>100</v>
      </c>
      <c r="X39" s="1355"/>
      <c r="Y39" s="36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1"/>
      <c r="Q40" s="1352">
        <f t="shared" si="14"/>
        <v>111</v>
      </c>
      <c r="R40" s="708" t="s">
        <v>14</v>
      </c>
      <c r="S40" s="709">
        <f t="shared" si="10"/>
        <v>100</v>
      </c>
      <c r="T40" s="708" t="s">
        <v>14</v>
      </c>
      <c r="U40" s="709">
        <f t="shared" si="11"/>
        <v>100</v>
      </c>
      <c r="V40" s="708" t="s">
        <v>14</v>
      </c>
      <c r="W40" s="709">
        <f t="shared" si="12"/>
        <v>100</v>
      </c>
      <c r="X40" s="710"/>
      <c r="Y40" s="366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642" t="str">
        <f>A41</f>
        <v>成交单价</v>
      </c>
      <c r="Q41" s="3642"/>
      <c r="R41" s="3658">
        <f>E41</f>
        <v>0</v>
      </c>
      <c r="S41" s="3658"/>
      <c r="T41" s="3658">
        <f>G41</f>
        <v>0</v>
      </c>
      <c r="U41" s="3658"/>
      <c r="V41" s="3658">
        <f>I41</f>
        <v>0</v>
      </c>
      <c r="W41" s="3658"/>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42" t="str">
        <f>A42</f>
        <v>比较价值（元/平方米）</v>
      </c>
      <c r="Q42" s="3642"/>
      <c r="R42" s="3680" t="e">
        <f>ROUND(PRODUCT(R41,AA7:AA40),0)</f>
        <v>#DIV/0!</v>
      </c>
      <c r="S42" s="3680"/>
      <c r="T42" s="3680" t="e">
        <f>ROUND(PRODUCT(T41,AB7:AB40),0)</f>
        <v>#DIV/0!</v>
      </c>
      <c r="U42" s="3680"/>
      <c r="V42" s="3680" t="e">
        <f>ROUND(PRODUCT(V41,AC7:AC40),0)</f>
        <v>#DIV/0!</v>
      </c>
      <c r="W42" s="368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677" t="str">
        <f>A43</f>
        <v>估价对象XX用房的比较价值（楼面单价，元/平方米）</v>
      </c>
      <c r="Q43" s="3678"/>
      <c r="R43" s="3679" t="e">
        <f>ROUND(IF(D42="简单平均",AVERAGE(R42:W42),R42*F42+T42*H42+V42*J42),0)</f>
        <v>#DIV/0!</v>
      </c>
      <c r="S43" s="3679"/>
      <c r="T43" s="3679"/>
      <c r="U43" s="3679"/>
      <c r="V43" s="3679"/>
      <c r="W43" s="367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639" t="s">
        <v>1886</v>
      </c>
      <c r="H50" s="3640"/>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22663.3</v>
      </c>
      <c r="F51" s="639" t="e">
        <f t="shared" ref="F51:F60" si="15">ROUND(B51*E51/10000,0)</f>
        <v>#DIV/0!</v>
      </c>
      <c r="G51" s="3641"/>
      <c r="H51" s="364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7113.3</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23251.84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18" sqref="F1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8</v>
      </c>
    </row>
    <row r="2" spans="1:33" ht="18" customHeight="1">
      <c r="A2" s="201" t="s">
        <v>1461</v>
      </c>
      <c r="B2" s="204">
        <f ca="1">C32</f>
        <v>12432</v>
      </c>
      <c r="C2" s="276" t="s">
        <v>1594</v>
      </c>
      <c r="D2" s="276"/>
      <c r="E2" s="2806"/>
      <c r="F2" s="2806"/>
      <c r="G2" s="2806"/>
      <c r="H2" s="2806"/>
      <c r="I2" s="2806"/>
      <c r="J2" s="2806"/>
      <c r="K2" s="2806"/>
    </row>
    <row r="3" spans="1:33" ht="18" customHeight="1" thickBot="1">
      <c r="A3" s="203" t="s">
        <v>1463</v>
      </c>
      <c r="B3" s="204">
        <f ca="1">ROUND(B2*10000/IF(C1="",'数据-汇总表'!E3,INDIRECT("'数据-取费表'!K"&amp;$K$1)),0)</f>
        <v>3608</v>
      </c>
      <c r="C3" s="276" t="s">
        <v>1595</v>
      </c>
      <c r="D3" s="276"/>
      <c r="E3" s="2806"/>
      <c r="F3" s="2806"/>
      <c r="G3" s="2806"/>
      <c r="H3" s="2806"/>
      <c r="I3" s="2806"/>
      <c r="J3" s="2806"/>
      <c r="K3" s="2806"/>
    </row>
    <row r="4" spans="1:33" s="785" customFormat="1" ht="16.5" customHeight="1">
      <c r="A4" s="782" t="s">
        <v>1596</v>
      </c>
      <c r="B4" s="783"/>
      <c r="C4" s="824">
        <f ca="1">SUM(C8:K8)</f>
        <v>20068</v>
      </c>
      <c r="D4" s="783"/>
      <c r="E4" s="783"/>
      <c r="F4" s="783"/>
      <c r="G4" s="783"/>
      <c r="H4" s="783"/>
      <c r="I4" s="783"/>
      <c r="J4" s="783"/>
      <c r="K4" s="784"/>
    </row>
    <row r="5" spans="1:33" s="789" customFormat="1" ht="15">
      <c r="A5" s="786" t="s">
        <v>1597</v>
      </c>
      <c r="B5" s="787" t="s">
        <v>1598</v>
      </c>
      <c r="C5" s="1860" t="s">
        <v>3</v>
      </c>
      <c r="D5" s="1860" t="s">
        <v>3339</v>
      </c>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8855</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22663.3</v>
      </c>
      <c r="D7" s="277">
        <f>SUMIF('数据-汇总表'!$C19:$C33,假设开发法!D5,'数据-汇总表'!$E19:$E33)</f>
        <v>7113.3</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 ca="1">收益法!B2</f>
        <v>20068</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4136</v>
      </c>
      <c r="D11" s="802"/>
      <c r="E11" s="329"/>
      <c r="F11" s="812">
        <f ca="1">1-IF('数据-取费表'!B24=0,1,IF(C1="",'数据-取费表'!N16,INDIRECT("'数据-取费表'!n"&amp;$K$1)))</f>
        <v>0.4</v>
      </c>
      <c r="G11" s="5"/>
      <c r="H11" s="797"/>
      <c r="I11" s="797"/>
      <c r="J11" s="797"/>
      <c r="K11" s="798"/>
    </row>
    <row r="12" spans="1:33" s="803" customFormat="1" ht="13.5" customHeight="1">
      <c r="A12" s="800" t="s">
        <v>636</v>
      </c>
      <c r="B12" s="801" t="s">
        <v>1612</v>
      </c>
      <c r="C12" s="21">
        <f ca="1">ROUND(C11*F12,0)</f>
        <v>124</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276</v>
      </c>
      <c r="D14" s="846">
        <f ca="1">IF(C1="",'数据-汇总表'!E3,INDIRECT("'数据-取费表'!K"&amp;$K$1)+INDIRECT("'数据-取费表'!S"&amp;$K$1))</f>
        <v>34459.100000000006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62</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4598</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34459.100000000006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689</v>
      </c>
      <c r="D20" s="846">
        <f ca="1">IF(C1="",'数据-汇总表'!E6,IF(INDIRECT("'数据-取费表'!c"&amp;$K$1)="住宅",INDIRECT("'数据-取费表'!s"&amp;$K$1),INDIRECT("'数据-取费表'!k"&amp;$K$1)+INDIRECT("'数据-取费表'!s"&amp;$K$1)))</f>
        <v>34459.100000000006</v>
      </c>
      <c r="E20" s="21">
        <f>'数据-取费表'!B28</f>
        <v>200</v>
      </c>
      <c r="F20" s="804"/>
      <c r="G20" s="12"/>
      <c r="H20" s="809"/>
      <c r="I20" s="809"/>
      <c r="J20" s="809"/>
      <c r="K20" s="810"/>
    </row>
    <row r="21" spans="1:33" s="803" customFormat="1" ht="13.5" customHeight="1">
      <c r="A21" s="790" t="s">
        <v>357</v>
      </c>
      <c r="B21" s="813" t="s">
        <v>1627</v>
      </c>
      <c r="C21" s="814">
        <f ca="1">C16+C17+C18</f>
        <v>4598</v>
      </c>
      <c r="D21" s="815"/>
      <c r="E21" s="281"/>
      <c r="F21" s="281"/>
      <c r="G21" s="131" t="s">
        <v>1628</v>
      </c>
      <c r="H21" s="807"/>
      <c r="I21" s="807"/>
      <c r="J21" s="807"/>
      <c r="K21" s="808"/>
    </row>
    <row r="22" spans="1:33" s="803" customFormat="1" ht="13.5" customHeight="1">
      <c r="A22" s="790" t="s">
        <v>1600</v>
      </c>
      <c r="B22" s="813" t="s">
        <v>1629</v>
      </c>
      <c r="C22" s="814">
        <f ca="1">ROUND(C21*F22,0)</f>
        <v>92</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161</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60</v>
      </c>
      <c r="D25" s="280">
        <f ca="1">C26</f>
        <v>2.5399999999999999E-2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2.5399999999999999E-2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60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485</v>
      </c>
      <c r="D28" s="280">
        <f ca="1">C29</f>
        <v>4.1200000000000001E-2</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4.1200000000000001E-2</v>
      </c>
      <c r="D29" s="284"/>
      <c r="E29" s="285"/>
      <c r="F29" s="290"/>
      <c r="G29" s="131" t="s">
        <v>1643</v>
      </c>
      <c r="H29" s="807"/>
      <c r="I29" s="807"/>
      <c r="J29" s="807"/>
      <c r="K29" s="808"/>
    </row>
    <row r="30" spans="1:33" s="291" customFormat="1" ht="13.5" customHeight="1">
      <c r="A30" s="800" t="s">
        <v>359</v>
      </c>
      <c r="B30" s="822" t="s">
        <v>1644</v>
      </c>
      <c r="C30" s="292">
        <f ca="1">ROUND((C21+C22+C23)*F28,0)</f>
        <v>485</v>
      </c>
      <c r="D30" s="284"/>
      <c r="E30" s="285"/>
      <c r="F30" s="290"/>
      <c r="G30" s="131"/>
      <c r="H30" s="807"/>
      <c r="I30" s="807"/>
      <c r="J30" s="807"/>
      <c r="K30" s="808"/>
    </row>
    <row r="31" spans="1:33" s="803" customFormat="1" ht="13.5" customHeight="1" thickBot="1">
      <c r="A31" s="1866" t="s">
        <v>1645</v>
      </c>
      <c r="B31" s="833" t="s">
        <v>1646</v>
      </c>
      <c r="C31" s="834">
        <f ca="1">ROUND(C4*F31/(1+'数据-取费表'!C42),0)</f>
        <v>1051</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12432</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18.57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20068</v>
      </c>
      <c r="C2" s="1387" t="s">
        <v>805</v>
      </c>
      <c r="D2" s="1387"/>
      <c r="E2" s="1388"/>
      <c r="F2" s="1389"/>
      <c r="G2" s="2706"/>
      <c r="H2" s="2695"/>
      <c r="I2" s="2695"/>
      <c r="J2" s="2695"/>
      <c r="K2" s="2696"/>
      <c r="L2" s="2695"/>
      <c r="M2" s="2695"/>
    </row>
    <row r="3" spans="1:37" ht="18" customHeight="1" thickBot="1">
      <c r="A3" s="1390" t="s">
        <v>806</v>
      </c>
      <c r="B3" s="1391">
        <f ca="1">IF(ISERROR(B2*10000/F43),0,ROUND(B2*10000/F43,0))</f>
        <v>8855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1760</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1758</v>
      </c>
      <c r="D6" s="155" t="s">
        <v>2108</v>
      </c>
      <c r="E6" s="302" t="s">
        <v>696</v>
      </c>
      <c r="F6" s="303">
        <f ca="1">INDIRECT("'数据-取费表'!u"&amp;$G$1)</f>
        <v>2.5</v>
      </c>
      <c r="G6" s="1384"/>
      <c r="H6" s="1069" t="s">
        <v>398</v>
      </c>
      <c r="I6" s="3683" t="s">
        <v>694</v>
      </c>
      <c r="J6" s="301">
        <f ca="1">ROUND(M6*M8*M7*(1-M9)/10000,0)</f>
        <v>0</v>
      </c>
      <c r="K6" s="155"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22663.3</v>
      </c>
      <c r="G7" s="1384"/>
      <c r="H7" s="304"/>
      <c r="I7" s="3684"/>
      <c r="J7" s="306"/>
      <c r="K7" s="307"/>
      <c r="L7" s="302" t="s">
        <v>697</v>
      </c>
      <c r="M7" s="303">
        <f ca="1">F7</f>
        <v>22663.3</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0.15</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2116</v>
      </c>
      <c r="E10" s="313" t="s">
        <v>701</v>
      </c>
      <c r="F10" s="1116" t="s">
        <v>3397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10908</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7868</v>
      </c>
      <c r="D14" s="1345" t="s">
        <v>708</v>
      </c>
      <c r="E14" s="1342"/>
      <c r="F14" s="319"/>
      <c r="G14" s="1384"/>
      <c r="H14" s="982" t="s">
        <v>398</v>
      </c>
      <c r="I14" s="302" t="s">
        <v>709</v>
      </c>
      <c r="J14" s="21">
        <f ca="1">C29</f>
        <v>10908</v>
      </c>
      <c r="K14" s="12"/>
      <c r="L14" s="807"/>
      <c r="M14" s="808"/>
    </row>
    <row r="15" spans="1:37" s="1397" customFormat="1" ht="18" customHeight="1" thickBot="1">
      <c r="A15" s="982" t="s">
        <v>399</v>
      </c>
      <c r="B15" s="302" t="s">
        <v>710</v>
      </c>
      <c r="C15" s="21">
        <f ca="1">ROUND(C14*F15,0)</f>
        <v>236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112</v>
      </c>
      <c r="K16" s="1087" t="s">
        <v>715</v>
      </c>
      <c r="L16" s="1088"/>
      <c r="M16" s="1072"/>
    </row>
    <row r="17" spans="1:37" s="1397" customFormat="1" ht="18" customHeight="1">
      <c r="A17" s="982" t="s">
        <v>681</v>
      </c>
      <c r="B17" s="302" t="s">
        <v>716</v>
      </c>
      <c r="C17" s="21">
        <f ca="1">ROUND(F17*(F43+INDIRECT("'数据-取费表'!S"&amp;$G$1))/10000,0)</f>
        <v>525</v>
      </c>
      <c r="D17" s="302" t="s">
        <v>717</v>
      </c>
      <c r="E17" s="302" t="s">
        <v>718</v>
      </c>
      <c r="F17" s="23">
        <f>'数据-取费表'!B35</f>
        <v>200</v>
      </c>
      <c r="G17" s="1396"/>
      <c r="H17" s="982" t="s">
        <v>398</v>
      </c>
      <c r="I17" s="302" t="s">
        <v>719</v>
      </c>
      <c r="J17" s="2316">
        <f ca="1">ROUND(IF(AND(项目基本情况!B11="自然人",项目基本情况!B10="北京市"),J6*M17/(1+'数据-取费表'!C42),J18+J19+J20),2)</f>
        <v>2.65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8747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175</v>
      </c>
      <c r="D20" s="323" t="s">
        <v>729</v>
      </c>
      <c r="E20" s="302" t="s">
        <v>712</v>
      </c>
      <c r="F20" s="322">
        <f>'数据-取费表'!B37</f>
        <v>0.02</v>
      </c>
      <c r="G20" s="1396"/>
      <c r="H20" s="982" t="s">
        <v>680</v>
      </c>
      <c r="I20" s="155" t="s">
        <v>730</v>
      </c>
      <c r="J20" s="22">
        <f ca="1">ROUND(M20*M21/10000,2)</f>
        <v>2.65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17697.23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109.08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276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-112</v>
      </c>
      <c r="K25" s="1095" t="s">
        <v>753</v>
      </c>
      <c r="L25" s="1096"/>
      <c r="M25" s="1097"/>
    </row>
    <row r="26" spans="1:37">
      <c r="A26" s="982" t="s">
        <v>397</v>
      </c>
      <c r="B26" s="302" t="s">
        <v>754</v>
      </c>
      <c r="C26" s="21">
        <f ca="1">ROUND((C19+C20)*F26,0)</f>
        <v>892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10908</v>
      </c>
      <c r="D29" s="1092"/>
      <c r="E29" s="1090"/>
      <c r="F29" s="1093"/>
      <c r="G29" s="1396"/>
      <c r="H29" s="334" t="s">
        <v>396</v>
      </c>
      <c r="I29" s="335" t="s">
        <v>768</v>
      </c>
      <c r="J29" s="336">
        <f ca="1">ROUND(J26/(1+F40)^F41,0)</f>
        <v>0</v>
      </c>
      <c r="K29" s="337" t="s">
        <v>769</v>
      </c>
      <c r="L29" s="338"/>
      <c r="M29" s="339">
        <f ca="1">INDIRECT("'数据-取费表'!k"&amp;$G$1)</f>
        <v>22663.3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295.64999999999998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92.09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200.91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2.65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17697.23</v>
      </c>
      <c r="G35" s="1384"/>
      <c r="H35" s="2697"/>
      <c r="I35" s="1398"/>
      <c r="J35" s="1399"/>
      <c r="K35" s="2701"/>
      <c r="L35" s="2700"/>
      <c r="M35" s="2700"/>
    </row>
    <row r="36" spans="1:18" ht="18" customHeight="1">
      <c r="A36" s="1102" t="s">
        <v>402</v>
      </c>
      <c r="B36" s="302" t="s">
        <v>738</v>
      </c>
      <c r="C36" s="21">
        <f ca="1">ROUND(C29*F36,2)</f>
        <v>109.08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16.36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17.600000000000001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1321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18263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18.57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8058</v>
      </c>
      <c r="D43" s="337" t="s">
        <v>777</v>
      </c>
      <c r="E43" s="338" t="s">
        <v>778</v>
      </c>
      <c r="F43" s="339">
        <f ca="1">INDIRECT("'数据-取费表'!k"&amp;$G$1)</f>
        <v>22663.3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-19729</v>
      </c>
      <c r="D46" s="1406" t="str">
        <f>C2</f>
        <v>万元</v>
      </c>
      <c r="E46" s="1400"/>
      <c r="F46" s="1400"/>
      <c r="I46" s="1407" t="s">
        <v>810</v>
      </c>
      <c r="J46" s="1408"/>
      <c r="K46" s="1409"/>
      <c r="L46" s="1410">
        <f ca="1">IF(M47="住宅",0,IF(L48&gt;J51,L60,J60))</f>
        <v>1805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20</v>
      </c>
      <c r="M47" s="1380" t="str">
        <f>IF(ISNUMBER(FIND("住宅",C1)),"住宅","非住宅")</f>
        <v>非住宅</v>
      </c>
      <c r="O47" s="1418" t="s">
        <v>403</v>
      </c>
      <c r="P47" s="1419" t="s">
        <v>817</v>
      </c>
      <c r="Q47" s="1420">
        <f ca="1">C40+J29</f>
        <v>18263</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18.57</v>
      </c>
      <c r="O48" s="1418" t="s">
        <v>404</v>
      </c>
      <c r="P48" s="1419" t="s">
        <v>821</v>
      </c>
      <c r="Q48" s="1420">
        <f ca="1">J60</f>
        <v>1805</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2023</v>
      </c>
      <c r="K49" s="1423" t="s">
        <v>824</v>
      </c>
      <c r="L49" s="1427"/>
      <c r="O49" s="1428" t="s">
        <v>405</v>
      </c>
      <c r="P49" s="1419" t="s">
        <v>825</v>
      </c>
      <c r="Q49" s="1420">
        <f ca="1">C29</f>
        <v>10908</v>
      </c>
      <c r="R49" s="1420" t="s">
        <v>818</v>
      </c>
    </row>
    <row r="50" spans="1:18" s="1384" customFormat="1" ht="13.5" thickBot="1">
      <c r="A50" s="976"/>
      <c r="B50" s="979"/>
      <c r="C50" s="1118"/>
      <c r="D50" s="953"/>
      <c r="E50" s="1056" t="s">
        <v>697</v>
      </c>
      <c r="F50" s="1057">
        <f ca="1">F7</f>
        <v>22663.3</v>
      </c>
      <c r="H50" s="723"/>
      <c r="I50" s="1421" t="s">
        <v>826</v>
      </c>
      <c r="J50" s="1429">
        <f>SUMPRODUCT((I63:I65=J47)*(J62:L62=J48)*(J63:L65))</f>
        <v>60</v>
      </c>
      <c r="K50" s="1423" t="s">
        <v>827</v>
      </c>
      <c r="L50" s="1427"/>
      <c r="M50" s="1430"/>
      <c r="O50" s="1428" t="s">
        <v>406</v>
      </c>
      <c r="P50" s="1419" t="s">
        <v>828</v>
      </c>
      <c r="Q50" s="1431">
        <f ca="1">J58</f>
        <v>0.69099999999999995</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9520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18.57</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18.57</v>
      </c>
      <c r="K53" s="3681" t="s">
        <v>837</v>
      </c>
      <c r="L53" s="3682"/>
      <c r="O53" s="1418" t="s">
        <v>409</v>
      </c>
      <c r="P53" s="1419" t="s">
        <v>838</v>
      </c>
      <c r="Q53" s="1420">
        <f ca="1">Q47+Q48</f>
        <v>20068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0.69099999999999995</v>
      </c>
      <c r="K55" s="1445" t="s">
        <v>841</v>
      </c>
      <c r="L55" s="1446"/>
      <c r="O55" s="1411" t="s">
        <v>811</v>
      </c>
      <c r="P55" s="1412" t="s">
        <v>812</v>
      </c>
      <c r="Q55" s="1413" t="s">
        <v>813</v>
      </c>
      <c r="R55" s="1413" t="s">
        <v>814</v>
      </c>
    </row>
    <row r="56" spans="1:18" s="1384" customFormat="1" ht="25.5" thickTop="1" thickBot="1">
      <c r="A56" s="957">
        <v>2</v>
      </c>
      <c r="B56" s="958" t="s">
        <v>704</v>
      </c>
      <c r="C56" s="232">
        <f ca="1">C13</f>
        <v>10908</v>
      </c>
      <c r="D56" s="1447"/>
      <c r="E56" s="1448"/>
      <c r="F56" s="1440"/>
      <c r="I56" s="1449" t="s">
        <v>842</v>
      </c>
      <c r="J56" s="1450" t="s">
        <v>3400</v>
      </c>
      <c r="K56" s="1421" t="s">
        <v>843</v>
      </c>
      <c r="L56" s="1424" t="str">
        <f ca="1">IF(L48&lt;J51,"——",L48-J53)</f>
        <v>——</v>
      </c>
      <c r="O56" s="1418" t="s">
        <v>403</v>
      </c>
      <c r="P56" s="1419" t="s">
        <v>817</v>
      </c>
      <c r="Q56" s="1420">
        <f ca="1">C40+J29</f>
        <v>18263</v>
      </c>
      <c r="R56" s="1420" t="s">
        <v>818</v>
      </c>
    </row>
    <row r="57" spans="1:18" s="1384" customFormat="1" ht="24.75" thickBot="1">
      <c r="A57" s="1451"/>
      <c r="B57" s="950" t="s">
        <v>767</v>
      </c>
      <c r="C57" s="238">
        <f ca="1">C29</f>
        <v>10908</v>
      </c>
      <c r="D57" s="1452"/>
      <c r="E57" s="1453"/>
      <c r="F57" s="1454"/>
      <c r="I57" s="1455" t="s">
        <v>844</v>
      </c>
      <c r="J57" s="1456">
        <f ca="1">IF(OR(M47="住宅",J51&lt;L48,J56="是"),"——",J51-L48)</f>
        <v>41.43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128</v>
      </c>
      <c r="D58" s="960" t="s">
        <v>715</v>
      </c>
      <c r="E58" s="961"/>
      <c r="F58" s="962"/>
      <c r="I58" s="1455" t="s">
        <v>848</v>
      </c>
      <c r="J58" s="1457">
        <f ca="1">IF(J55&lt;0.4,0.4,J55)</f>
        <v>0.69099999999999995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7537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1805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2.65</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18263</v>
      </c>
      <c r="R62" s="1420" t="s">
        <v>410</v>
      </c>
    </row>
    <row r="63" spans="1:18" s="1384" customFormat="1" ht="13.5" thickBot="1">
      <c r="A63" s="326"/>
      <c r="B63" s="956"/>
      <c r="C63" s="26"/>
      <c r="D63" s="966"/>
      <c r="E63" s="950" t="s">
        <v>788</v>
      </c>
      <c r="F63" s="303">
        <f t="shared" ca="1" si="0"/>
        <v>17697.23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109.08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16.36</v>
      </c>
      <c r="D65" s="964" t="s">
        <v>743</v>
      </c>
      <c r="E65" s="950" t="s">
        <v>744</v>
      </c>
      <c r="F65" s="330">
        <f t="shared" ca="1" si="0"/>
        <v>1.5E-3</v>
      </c>
      <c r="I65" s="1462" t="s">
        <v>867</v>
      </c>
      <c r="J65" s="1463">
        <v>40</v>
      </c>
      <c r="K65" s="1463">
        <v>30</v>
      </c>
      <c r="L65" s="1463">
        <v>50</v>
      </c>
      <c r="M65" s="1465">
        <v>0.02</v>
      </c>
      <c r="O65" s="1418" t="s">
        <v>403</v>
      </c>
      <c r="P65" s="1419" t="s">
        <v>868</v>
      </c>
      <c r="Q65" s="1420">
        <f ca="1">C40+J29</f>
        <v>18263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-128</v>
      </c>
      <c r="D67" s="963" t="s">
        <v>753</v>
      </c>
      <c r="E67" s="968"/>
      <c r="F67" s="969"/>
      <c r="O67" s="1428" t="s">
        <v>405</v>
      </c>
      <c r="P67" s="1419" t="s">
        <v>850</v>
      </c>
      <c r="Q67" s="1466">
        <f ca="1">L51</f>
        <v>9520</v>
      </c>
      <c r="R67" s="1420" t="s">
        <v>870</v>
      </c>
    </row>
    <row r="68" spans="1:18" s="1384" customFormat="1" ht="16.5" thickBot="1">
      <c r="A68" s="947" t="s">
        <v>395</v>
      </c>
      <c r="B68" s="948" t="s">
        <v>774</v>
      </c>
      <c r="C68" s="301">
        <f ca="1">ROUND(C67*(1-((1+F70)/(1+F68))^F69)/(F68-F70),0)</f>
        <v>-1466</v>
      </c>
      <c r="D68" s="965" t="s">
        <v>758</v>
      </c>
      <c r="E68" s="950" t="s">
        <v>759</v>
      </c>
      <c r="F68" s="312">
        <f ca="1">F40</f>
        <v>5.5E-2</v>
      </c>
      <c r="O68" s="1428" t="s">
        <v>406</v>
      </c>
      <c r="P68" s="1467" t="s">
        <v>871</v>
      </c>
      <c r="Q68" s="1420">
        <f ca="1">ROUND(Q69-Q70*Q71,0)</f>
        <v>503</v>
      </c>
      <c r="R68" s="1420" t="s">
        <v>414</v>
      </c>
    </row>
    <row r="69" spans="1:18" s="1384" customFormat="1" ht="13.5" thickBot="1">
      <c r="A69" s="951"/>
      <c r="B69" s="952"/>
      <c r="C69" s="306"/>
      <c r="D69" s="970" t="s">
        <v>762</v>
      </c>
      <c r="E69" s="950" t="s">
        <v>763</v>
      </c>
      <c r="F69" s="333">
        <f ca="1">F41</f>
        <v>18.57</v>
      </c>
      <c r="O69" s="1428" t="s">
        <v>411</v>
      </c>
      <c r="P69" s="1467" t="s">
        <v>872</v>
      </c>
      <c r="Q69" s="1420">
        <f ca="1">C39</f>
        <v>1321</v>
      </c>
      <c r="R69" s="1420" t="s">
        <v>818</v>
      </c>
    </row>
    <row r="70" spans="1:18" s="1384" customFormat="1" ht="13.5" thickBot="1">
      <c r="A70" s="954"/>
      <c r="B70" s="955"/>
      <c r="C70" s="310"/>
      <c r="D70" s="966"/>
      <c r="E70" s="950" t="s">
        <v>766</v>
      </c>
      <c r="F70" s="1054"/>
      <c r="O70" s="1428" t="s">
        <v>412</v>
      </c>
      <c r="P70" s="1467" t="s">
        <v>873</v>
      </c>
      <c r="Q70" s="1420">
        <f ca="1">C13</f>
        <v>10908</v>
      </c>
      <c r="R70" s="1420" t="s">
        <v>818</v>
      </c>
    </row>
    <row r="71" spans="1:18" s="1384" customFormat="1" ht="13.5" thickBot="1">
      <c r="A71" s="971" t="s">
        <v>396</v>
      </c>
      <c r="B71" s="972" t="s">
        <v>776</v>
      </c>
      <c r="C71" s="336">
        <f ca="1">ROUND(C68*10000/F71,0)</f>
        <v>-647</v>
      </c>
      <c r="D71" s="973" t="s">
        <v>777</v>
      </c>
      <c r="E71" s="974" t="s">
        <v>778</v>
      </c>
      <c r="F71" s="339">
        <f ca="1">F43</f>
        <v>22663.3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818</v>
      </c>
      <c r="D75" s="1384"/>
      <c r="E75" s="1384"/>
      <c r="F75" s="1384"/>
      <c r="K75" s="1402"/>
      <c r="L75" s="1384"/>
      <c r="O75" s="1418" t="s">
        <v>409</v>
      </c>
      <c r="P75" s="1419" t="s">
        <v>838</v>
      </c>
      <c r="Q75" s="1420">
        <f ca="1">Q65+Q66</f>
        <v>18263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0.38100000000000001</v>
      </c>
    </row>
    <row r="80" spans="1:18">
      <c r="B80" s="340" t="s">
        <v>800</v>
      </c>
      <c r="C80" s="274">
        <f ca="1">ROUND(C75/C39,3)</f>
        <v>0.61899999999999999</v>
      </c>
    </row>
    <row r="81" spans="2:3">
      <c r="B81" s="270" t="s">
        <v>801</v>
      </c>
      <c r="C81" s="238"/>
    </row>
    <row r="82" spans="2:3">
      <c r="B82" s="273" t="s">
        <v>802</v>
      </c>
      <c r="C82" s="275">
        <f ca="1">1-C83</f>
        <v>0.40300000000000002</v>
      </c>
    </row>
    <row r="83" spans="2:3">
      <c r="B83" s="273" t="s">
        <v>803</v>
      </c>
      <c r="C83" s="274">
        <f ca="1">ROUND(C13/C40,3)</f>
        <v>0.59699999999999998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0</v>
      </c>
      <c r="D6" s="155" t="s">
        <v>2105</v>
      </c>
      <c r="E6" s="302" t="s">
        <v>696</v>
      </c>
      <c r="F6" s="303">
        <f ca="1">INDIRECT("'数据-取费表'!u"&amp;$G$1)</f>
        <v>0</v>
      </c>
      <c r="G6" s="1384"/>
      <c r="H6" s="1069" t="s">
        <v>398</v>
      </c>
      <c r="I6" s="3683" t="s">
        <v>694</v>
      </c>
      <c r="J6" s="301">
        <f ca="1">ROUND(M6*M8*M7*(1-M9),0)</f>
        <v>0</v>
      </c>
      <c r="K6" s="1376" t="s">
        <v>2106</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3365</v>
      </c>
      <c r="E2" s="3444"/>
      <c r="F2" s="2846"/>
      <c r="G2" s="2847"/>
      <c r="H2" s="2848"/>
      <c r="I2" s="2849"/>
      <c r="J2" s="3692" t="s">
        <v>2319</v>
      </c>
      <c r="K2" s="3693"/>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94" t="s">
        <v>2329</v>
      </c>
      <c r="K3" s="3695"/>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94" t="s">
        <v>2331</v>
      </c>
      <c r="K4" s="3695"/>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700" t="s">
        <v>2335</v>
      </c>
      <c r="B6" s="3701"/>
      <c r="C6" s="3702"/>
      <c r="D6" s="2870"/>
      <c r="E6" s="2871"/>
      <c r="F6" s="2872"/>
      <c r="G6" s="2873"/>
      <c r="H6" s="2848"/>
      <c r="I6" s="2849"/>
      <c r="J6" s="3686">
        <v>1</v>
      </c>
      <c r="K6" s="3687"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86"/>
      <c r="K7" s="3688"/>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03" t="s">
        <v>2349</v>
      </c>
      <c r="C8" s="3704"/>
      <c r="D8" s="2889" t="s">
        <v>2350</v>
      </c>
      <c r="E8" s="2890" t="s">
        <v>2351</v>
      </c>
      <c r="F8" s="2891" t="s">
        <v>2352</v>
      </c>
      <c r="G8" s="2892"/>
      <c r="H8" s="2848"/>
      <c r="I8" s="2849"/>
      <c r="J8" s="3686"/>
      <c r="K8" s="3688"/>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03" t="s">
        <v>2355</v>
      </c>
      <c r="C9" s="3704"/>
      <c r="D9" s="2889">
        <f>ROUND(D6*E9,0)</f>
        <v>0</v>
      </c>
      <c r="E9" s="2893"/>
      <c r="F9" s="2894" t="s">
        <v>2356</v>
      </c>
      <c r="G9" s="2873"/>
      <c r="H9" s="2848"/>
      <c r="I9" s="2849"/>
      <c r="J9" s="3686"/>
      <c r="K9" s="3688"/>
      <c r="L9" s="2883" t="s">
        <v>2357</v>
      </c>
      <c r="M9" s="2884"/>
      <c r="N9" s="2860"/>
      <c r="O9" s="2885"/>
      <c r="P9" s="2885"/>
      <c r="Q9" s="2886">
        <v>365</v>
      </c>
      <c r="R9" s="2887">
        <f t="shared" si="0"/>
        <v>0</v>
      </c>
      <c r="S9" s="2841"/>
      <c r="T9" s="2841"/>
      <c r="U9" s="2841"/>
      <c r="V9" s="2849"/>
    </row>
    <row r="10" spans="1:22" s="2853" customFormat="1" ht="13.15" customHeight="1">
      <c r="A10" s="2888">
        <v>2</v>
      </c>
      <c r="B10" s="3703" t="s">
        <v>2358</v>
      </c>
      <c r="C10" s="3704"/>
      <c r="D10" s="2889">
        <f>ROUND(D6*E10,0)</f>
        <v>0</v>
      </c>
      <c r="E10" s="2893"/>
      <c r="F10" s="2894" t="s">
        <v>2359</v>
      </c>
      <c r="G10" s="2873"/>
      <c r="H10" s="2848"/>
      <c r="I10" s="2849"/>
      <c r="J10" s="3686"/>
      <c r="K10" s="3688"/>
      <c r="L10" s="2883" t="s">
        <v>2360</v>
      </c>
      <c r="M10" s="2884"/>
      <c r="N10" s="2860"/>
      <c r="O10" s="2885"/>
      <c r="P10" s="2885"/>
      <c r="Q10" s="2886">
        <v>365</v>
      </c>
      <c r="R10" s="2887">
        <f t="shared" si="0"/>
        <v>0</v>
      </c>
      <c r="S10" s="2841"/>
      <c r="T10" s="2841"/>
      <c r="U10" s="2841"/>
      <c r="V10" s="2849"/>
    </row>
    <row r="11" spans="1:22" s="2853" customFormat="1" ht="13.15" customHeight="1">
      <c r="A11" s="2888">
        <v>3</v>
      </c>
      <c r="B11" s="3703" t="s">
        <v>2361</v>
      </c>
      <c r="C11" s="3704"/>
      <c r="D11" s="2889">
        <f>D12+D14+D15+D16</f>
        <v>0</v>
      </c>
      <c r="E11" s="2895" t="e">
        <f>D11/D6</f>
        <v>#DIV/0!</v>
      </c>
      <c r="F11" s="2891"/>
      <c r="G11" s="2892"/>
      <c r="H11" s="2848"/>
      <c r="I11" s="2849"/>
      <c r="J11" s="3686"/>
      <c r="K11" s="3688"/>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96" t="s">
        <v>2364</v>
      </c>
      <c r="C12" s="3697"/>
      <c r="D12" s="2897">
        <f>ROUND(D13*1.2%*(1-30%),0)</f>
        <v>0</v>
      </c>
      <c r="E12" s="2898">
        <v>1.2E-2</v>
      </c>
      <c r="F12" s="2891" t="s">
        <v>2365</v>
      </c>
      <c r="G12" s="2892"/>
      <c r="H12" s="2848"/>
      <c r="I12" s="2849"/>
      <c r="J12" s="3686"/>
      <c r="K12" s="3688"/>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86"/>
      <c r="K13" s="3688"/>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96" t="s">
        <v>2370</v>
      </c>
      <c r="C14" s="3697"/>
      <c r="D14" s="2897">
        <f>ROUND(E14*B5/10000,0)</f>
        <v>0</v>
      </c>
      <c r="E14" s="2886"/>
      <c r="F14" s="2891" t="s">
        <v>2371</v>
      </c>
      <c r="G14" s="2892"/>
      <c r="H14" s="2848"/>
      <c r="I14" s="2849"/>
      <c r="J14" s="3686"/>
      <c r="K14" s="3689"/>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96" t="s">
        <v>2374</v>
      </c>
      <c r="C15" s="3697"/>
      <c r="D15" s="2897">
        <f>ROUND(D6*E15,0)</f>
        <v>0</v>
      </c>
      <c r="E15" s="2898">
        <v>5.5E-2</v>
      </c>
      <c r="F15" s="2891" t="s">
        <v>2375</v>
      </c>
      <c r="G15" s="2873"/>
      <c r="H15" s="2848"/>
      <c r="I15" s="2849"/>
      <c r="J15" s="3686">
        <v>2</v>
      </c>
      <c r="K15" s="3687"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96" t="s">
        <v>2383</v>
      </c>
      <c r="C16" s="3697"/>
      <c r="D16" s="2908">
        <f>D6*E16</f>
        <v>0</v>
      </c>
      <c r="E16" s="2909"/>
      <c r="F16" s="2894" t="s">
        <v>2384</v>
      </c>
      <c r="G16" s="2873"/>
      <c r="H16" s="2848"/>
      <c r="I16" s="2849"/>
      <c r="J16" s="3686"/>
      <c r="K16" s="3688"/>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98" t="s">
        <v>2386</v>
      </c>
      <c r="C17" s="3699"/>
      <c r="D17" s="2911">
        <f>ROUND(D6*E17,0)</f>
        <v>0</v>
      </c>
      <c r="E17" s="2912"/>
      <c r="F17" s="2913" t="s">
        <v>2387</v>
      </c>
      <c r="G17" s="2873"/>
      <c r="H17" s="2848"/>
      <c r="I17" s="2849"/>
      <c r="J17" s="3686"/>
      <c r="K17" s="3688"/>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86"/>
      <c r="K18" s="3688"/>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86"/>
      <c r="K19" s="3689"/>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6">
        <v>3</v>
      </c>
      <c r="K20" s="3687"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86"/>
      <c r="K21" s="3688"/>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86"/>
      <c r="K22" s="3688"/>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86"/>
      <c r="K23" s="3688"/>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86"/>
      <c r="K24" s="3689"/>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90">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92" t="s">
        <v>2319</v>
      </c>
      <c r="K32" s="3693"/>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94" t="s">
        <v>2329</v>
      </c>
      <c r="K33" s="3695"/>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94" t="s">
        <v>2331</v>
      </c>
      <c r="K34" s="369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86">
        <v>1</v>
      </c>
      <c r="K36" s="3687"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86"/>
      <c r="K37" s="3688"/>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6"/>
      <c r="K38" s="3688"/>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86"/>
      <c r="K39" s="3688"/>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86"/>
      <c r="K40" s="3689"/>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0">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20068</v>
      </c>
      <c r="C2" s="1872" t="s">
        <v>1650</v>
      </c>
      <c r="D2" s="1873" t="s">
        <v>1651</v>
      </c>
      <c r="E2" s="2607">
        <f>SUM(E6:E13)</f>
        <v>26227.200000000001</v>
      </c>
      <c r="F2" s="2707"/>
      <c r="G2" s="1489"/>
      <c r="H2" s="1489"/>
      <c r="I2" s="1489"/>
      <c r="J2" s="1489"/>
      <c r="K2" s="1489"/>
      <c r="L2" s="1489"/>
      <c r="M2" s="1489"/>
      <c r="N2" s="1489"/>
      <c r="O2" s="1489"/>
      <c r="P2" s="1489"/>
      <c r="Q2" s="1489"/>
      <c r="R2" s="1489"/>
      <c r="S2" s="1489"/>
    </row>
    <row r="3" spans="1:22" ht="15.75">
      <c r="A3" s="1870" t="s">
        <v>686</v>
      </c>
      <c r="B3" s="2601">
        <f ca="1">ROUND(B2*10000/E2,0)</f>
        <v>7652</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705" t="s">
        <v>1653</v>
      </c>
      <c r="C5" s="3706"/>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20068</v>
      </c>
      <c r="C6" s="1872" t="s">
        <v>1650</v>
      </c>
      <c r="D6" s="2709"/>
      <c r="E6" s="2606">
        <f>IF(OR(A6=0,F6="否"),0,'数据-取费表'!K6+'数据-取费表'!S6)</f>
        <v>26227.200000000001</v>
      </c>
      <c r="F6" s="1876" t="s">
        <v>1656</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1650</v>
      </c>
      <c r="D7" s="2709"/>
      <c r="E7" s="2606">
        <f>IF(OR(A7=0,F7="否"),0,'数据-取费表'!K7+'数据-取费表'!S7)</f>
        <v>0</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34459.100000000006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639" t="s">
        <v>1666</v>
      </c>
      <c r="D4" s="3665"/>
      <c r="E4" s="3666" t="s">
        <v>1667</v>
      </c>
      <c r="F4" s="3667"/>
      <c r="G4" s="3639" t="s">
        <v>1668</v>
      </c>
      <c r="H4" s="3665"/>
      <c r="I4" s="3639" t="s">
        <v>1669</v>
      </c>
      <c r="J4" s="3665"/>
      <c r="K4" s="1889" t="s">
        <v>1670</v>
      </c>
      <c r="L4" s="2715"/>
      <c r="M4" s="2716"/>
      <c r="N4" s="2716"/>
      <c r="O4" s="2716"/>
      <c r="P4" s="3668" t="s">
        <v>1671</v>
      </c>
      <c r="Q4" s="3669"/>
      <c r="R4" s="3645" t="s">
        <v>1667</v>
      </c>
      <c r="S4" s="3646"/>
      <c r="T4" s="3645" t="s">
        <v>1668</v>
      </c>
      <c r="U4" s="3646"/>
      <c r="V4" s="3658" t="s">
        <v>1669</v>
      </c>
      <c r="W4" s="3658"/>
      <c r="X4" s="1355"/>
      <c r="Y4" s="3645" t="s">
        <v>1671</v>
      </c>
      <c r="Z4" s="3646"/>
      <c r="AA4" s="3662" t="s">
        <v>1667</v>
      </c>
      <c r="AB4" s="3662" t="s">
        <v>1668</v>
      </c>
      <c r="AC4" s="3662" t="s">
        <v>1669</v>
      </c>
    </row>
    <row r="5" spans="1:29" ht="15">
      <c r="A5" s="358"/>
      <c r="B5" s="359"/>
      <c r="C5" s="3649" t="s">
        <v>1672</v>
      </c>
      <c r="D5" s="3650"/>
      <c r="E5" s="3674" t="s">
        <v>1673</v>
      </c>
      <c r="F5" s="3675"/>
      <c r="G5" s="3649" t="s">
        <v>1674</v>
      </c>
      <c r="H5" s="3650"/>
      <c r="I5" s="3649" t="s">
        <v>1675</v>
      </c>
      <c r="J5" s="3650"/>
      <c r="K5" s="1890"/>
      <c r="L5" s="2715"/>
      <c r="M5" s="2716"/>
      <c r="N5" s="2716"/>
      <c r="O5" s="2716"/>
      <c r="P5" s="3670"/>
      <c r="Q5" s="3671"/>
      <c r="R5" s="3647"/>
      <c r="S5" s="3648"/>
      <c r="T5" s="3647"/>
      <c r="U5" s="3648"/>
      <c r="V5" s="3658"/>
      <c r="W5" s="3658"/>
      <c r="X5" s="1355"/>
      <c r="Y5" s="3647"/>
      <c r="Z5" s="3648"/>
      <c r="AA5" s="3663"/>
      <c r="AB5" s="3663"/>
      <c r="AC5" s="3663"/>
    </row>
    <row r="6" spans="1:29" ht="15.75" thickBot="1">
      <c r="A6" s="360"/>
      <c r="B6" s="361"/>
      <c r="C6" s="3715" t="s">
        <v>1676</v>
      </c>
      <c r="D6" s="3716"/>
      <c r="E6" s="3717" t="s">
        <v>1676</v>
      </c>
      <c r="F6" s="3718"/>
      <c r="G6" s="3715" t="s">
        <v>1676</v>
      </c>
      <c r="H6" s="3716"/>
      <c r="I6" s="3715" t="s">
        <v>1676</v>
      </c>
      <c r="J6" s="3716"/>
      <c r="K6" s="1890" t="s">
        <v>1677</v>
      </c>
      <c r="L6" s="2715"/>
      <c r="M6" s="2716"/>
      <c r="N6" s="2716"/>
      <c r="O6" s="2716"/>
      <c r="P6" s="3672"/>
      <c r="Q6" s="3673"/>
      <c r="R6" s="3647"/>
      <c r="S6" s="3648"/>
      <c r="T6" s="3656"/>
      <c r="U6" s="3657"/>
      <c r="V6" s="3658"/>
      <c r="W6" s="3658"/>
      <c r="X6" s="1355"/>
      <c r="Y6" s="3656"/>
      <c r="Z6" s="3657"/>
      <c r="AA6" s="3664"/>
      <c r="AB6" s="3664"/>
      <c r="AC6" s="3664"/>
    </row>
    <row r="7" spans="1:29" s="108" customFormat="1" ht="15.75" thickBot="1">
      <c r="A7" s="362" t="s">
        <v>1678</v>
      </c>
      <c r="B7" s="363"/>
      <c r="C7" s="364">
        <f>'数据-取费表'!B2</f>
        <v>45026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3" t="s">
        <v>1679</v>
      </c>
      <c r="Q7" s="3653"/>
      <c r="R7" s="701" t="s">
        <v>20</v>
      </c>
      <c r="S7" s="702">
        <f t="shared" ref="S7:S15" si="0">F7</f>
        <v>0</v>
      </c>
      <c r="T7" s="701" t="s">
        <v>20</v>
      </c>
      <c r="U7" s="702">
        <f t="shared" ref="U7:U15" si="1">H7</f>
        <v>0</v>
      </c>
      <c r="V7" s="701" t="s">
        <v>20</v>
      </c>
      <c r="W7" s="702">
        <f t="shared" ref="W7:W15" si="2">J7</f>
        <v>0</v>
      </c>
      <c r="X7" s="703"/>
      <c r="Y7" s="3643" t="s">
        <v>1679</v>
      </c>
      <c r="Z7" s="3644"/>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3" t="s">
        <v>1682</v>
      </c>
      <c r="Q8" s="3644"/>
      <c r="R8" s="701" t="s">
        <v>20</v>
      </c>
      <c r="S8" s="702">
        <f t="shared" si="0"/>
        <v>100</v>
      </c>
      <c r="T8" s="701" t="s">
        <v>20</v>
      </c>
      <c r="U8" s="702">
        <f t="shared" si="1"/>
        <v>100</v>
      </c>
      <c r="V8" s="701" t="s">
        <v>20</v>
      </c>
      <c r="W8" s="702">
        <f t="shared" si="2"/>
        <v>100</v>
      </c>
      <c r="X8" s="703"/>
      <c r="Y8" s="3643" t="s">
        <v>1682</v>
      </c>
      <c r="Z8" s="364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1"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1"/>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1"/>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1"/>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1"/>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1"/>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3" t="s">
        <v>1690</v>
      </c>
      <c r="Q15" s="1352" t="str">
        <f t="shared" si="6"/>
        <v>居住社区成熟度</v>
      </c>
      <c r="R15" s="705" t="s">
        <v>18</v>
      </c>
      <c r="S15" s="706">
        <f t="shared" si="0"/>
        <v>100</v>
      </c>
      <c r="T15" s="705" t="s">
        <v>18</v>
      </c>
      <c r="U15" s="706">
        <f t="shared" si="1"/>
        <v>100</v>
      </c>
      <c r="V15" s="705" t="s">
        <v>18</v>
      </c>
      <c r="W15" s="706">
        <f t="shared" si="2"/>
        <v>100</v>
      </c>
      <c r="X15" s="1355"/>
      <c r="Y15" s="365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4"/>
      <c r="Q16" s="1352"/>
      <c r="R16" s="705"/>
      <c r="S16" s="706"/>
      <c r="T16" s="705"/>
      <c r="U16" s="706"/>
      <c r="V16" s="705"/>
      <c r="W16" s="706"/>
      <c r="X16" s="1355"/>
      <c r="Y16" s="3660"/>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4"/>
      <c r="Q17" s="1352" t="str">
        <f>B17</f>
        <v>交通便捷度</v>
      </c>
      <c r="R17" s="705" t="s">
        <v>18</v>
      </c>
      <c r="S17" s="706">
        <f>F17</f>
        <v>100</v>
      </c>
      <c r="T17" s="705" t="s">
        <v>18</v>
      </c>
      <c r="U17" s="706">
        <f>H17</f>
        <v>100</v>
      </c>
      <c r="V17" s="705" t="s">
        <v>18</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4"/>
      <c r="Q18" s="1352"/>
      <c r="R18" s="705"/>
      <c r="S18" s="706"/>
      <c r="T18" s="705"/>
      <c r="U18" s="706"/>
      <c r="V18" s="705"/>
      <c r="W18" s="706"/>
      <c r="X18" s="1355"/>
      <c r="Y18" s="3660"/>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4"/>
      <c r="Q19" s="1352" t="str">
        <f>B19</f>
        <v>公共配套设施</v>
      </c>
      <c r="R19" s="705" t="s">
        <v>18</v>
      </c>
      <c r="S19" s="706">
        <f>F19</f>
        <v>100</v>
      </c>
      <c r="T19" s="705" t="s">
        <v>18</v>
      </c>
      <c r="U19" s="706">
        <f>H19</f>
        <v>100</v>
      </c>
      <c r="V19" s="705" t="s">
        <v>18</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4"/>
      <c r="Q20" s="1352"/>
      <c r="R20" s="705"/>
      <c r="S20" s="706"/>
      <c r="T20" s="705"/>
      <c r="U20" s="706"/>
      <c r="V20" s="705"/>
      <c r="W20" s="706"/>
      <c r="X20" s="1355"/>
      <c r="Y20" s="3660"/>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4"/>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4"/>
      <c r="Q22" s="1352"/>
      <c r="R22" s="705"/>
      <c r="S22" s="706"/>
      <c r="T22" s="705"/>
      <c r="U22" s="706"/>
      <c r="V22" s="705"/>
      <c r="W22" s="706"/>
      <c r="X22" s="1355"/>
      <c r="Y22" s="3660"/>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4"/>
      <c r="Q23" s="1352" t="str">
        <f>B23</f>
        <v>自然及人文环境</v>
      </c>
      <c r="R23" s="705" t="s">
        <v>18</v>
      </c>
      <c r="S23" s="706">
        <f>F23</f>
        <v>100</v>
      </c>
      <c r="T23" s="705" t="s">
        <v>18</v>
      </c>
      <c r="U23" s="706">
        <f>H23</f>
        <v>100</v>
      </c>
      <c r="V23" s="705" t="s">
        <v>18</v>
      </c>
      <c r="W23" s="706">
        <f>J23</f>
        <v>100</v>
      </c>
      <c r="X23" s="1355"/>
      <c r="Y23" s="366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4"/>
      <c r="Q24" s="1352"/>
      <c r="R24" s="705"/>
      <c r="S24" s="706"/>
      <c r="T24" s="705"/>
      <c r="U24" s="706"/>
      <c r="V24" s="705"/>
      <c r="W24" s="706"/>
      <c r="X24" s="1355"/>
      <c r="Y24" s="366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4"/>
      <c r="Q26" s="1352" t="str">
        <f t="shared" si="11"/>
        <v>朝向</v>
      </c>
      <c r="R26" s="705" t="s">
        <v>18</v>
      </c>
      <c r="S26" s="706">
        <f t="shared" si="12"/>
        <v>100</v>
      </c>
      <c r="T26" s="705" t="s">
        <v>18</v>
      </c>
      <c r="U26" s="706">
        <f t="shared" si="13"/>
        <v>100</v>
      </c>
      <c r="V26" s="705" t="s">
        <v>18</v>
      </c>
      <c r="W26" s="706">
        <f t="shared" si="14"/>
        <v>100</v>
      </c>
      <c r="X26" s="1355"/>
      <c r="Y26" s="366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4"/>
      <c r="Q27" s="1343">
        <f t="shared" si="11"/>
        <v>111</v>
      </c>
      <c r="R27" s="701" t="s">
        <v>18</v>
      </c>
      <c r="S27" s="702">
        <f t="shared" si="12"/>
        <v>100</v>
      </c>
      <c r="T27" s="701" t="s">
        <v>18</v>
      </c>
      <c r="U27" s="702">
        <f t="shared" si="13"/>
        <v>100</v>
      </c>
      <c r="V27" s="701" t="s">
        <v>18</v>
      </c>
      <c r="W27" s="702">
        <f t="shared" si="14"/>
        <v>100</v>
      </c>
      <c r="X27" s="703"/>
      <c r="Y27" s="366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4"/>
      <c r="Q28" s="1352">
        <f t="shared" si="11"/>
        <v>111</v>
      </c>
      <c r="R28" s="705" t="s">
        <v>18</v>
      </c>
      <c r="S28" s="706">
        <f t="shared" si="12"/>
        <v>100</v>
      </c>
      <c r="T28" s="705" t="s">
        <v>18</v>
      </c>
      <c r="U28" s="706">
        <f t="shared" si="13"/>
        <v>100</v>
      </c>
      <c r="V28" s="705" t="s">
        <v>18</v>
      </c>
      <c r="W28" s="706">
        <f t="shared" si="14"/>
        <v>100</v>
      </c>
      <c r="X28" s="1355"/>
      <c r="Y28" s="366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4"/>
      <c r="Q29" s="1352">
        <f t="shared" si="11"/>
        <v>111</v>
      </c>
      <c r="R29" s="705" t="s">
        <v>18</v>
      </c>
      <c r="S29" s="706">
        <f t="shared" si="12"/>
        <v>100</v>
      </c>
      <c r="T29" s="705" t="s">
        <v>18</v>
      </c>
      <c r="U29" s="706">
        <f t="shared" si="13"/>
        <v>100</v>
      </c>
      <c r="V29" s="705" t="s">
        <v>18</v>
      </c>
      <c r="W29" s="706">
        <f t="shared" si="14"/>
        <v>100</v>
      </c>
      <c r="X29" s="1355"/>
      <c r="Y29" s="366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4"/>
      <c r="Q30" s="1352">
        <f t="shared" si="11"/>
        <v>111</v>
      </c>
      <c r="R30" s="705" t="s">
        <v>18</v>
      </c>
      <c r="S30" s="706">
        <f t="shared" si="12"/>
        <v>100</v>
      </c>
      <c r="T30" s="705" t="s">
        <v>18</v>
      </c>
      <c r="U30" s="706">
        <f t="shared" si="13"/>
        <v>100</v>
      </c>
      <c r="V30" s="705" t="s">
        <v>18</v>
      </c>
      <c r="W30" s="706">
        <f t="shared" si="14"/>
        <v>100</v>
      </c>
      <c r="X30" s="1355"/>
      <c r="Y30" s="366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4"/>
      <c r="Q31" s="1352">
        <f t="shared" si="11"/>
        <v>111</v>
      </c>
      <c r="R31" s="705" t="s">
        <v>18</v>
      </c>
      <c r="S31" s="706">
        <f t="shared" si="12"/>
        <v>100</v>
      </c>
      <c r="T31" s="705" t="s">
        <v>18</v>
      </c>
      <c r="U31" s="706">
        <f t="shared" si="13"/>
        <v>100</v>
      </c>
      <c r="V31" s="705" t="s">
        <v>18</v>
      </c>
      <c r="W31" s="706">
        <f t="shared" si="14"/>
        <v>100</v>
      </c>
      <c r="X31" s="1355"/>
      <c r="Y31" s="366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9" t="s">
        <v>1695</v>
      </c>
      <c r="Q32" s="1352" t="str">
        <f t="shared" si="11"/>
        <v>建筑类型</v>
      </c>
      <c r="R32" s="705" t="s">
        <v>18</v>
      </c>
      <c r="S32" s="706">
        <f t="shared" si="12"/>
        <v>100</v>
      </c>
      <c r="T32" s="705" t="s">
        <v>18</v>
      </c>
      <c r="U32" s="706">
        <f t="shared" si="13"/>
        <v>100</v>
      </c>
      <c r="V32" s="705" t="s">
        <v>18</v>
      </c>
      <c r="W32" s="706">
        <f t="shared" si="14"/>
        <v>100</v>
      </c>
      <c r="X32" s="1355"/>
      <c r="Y32" s="366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0"/>
      <c r="Q33" s="707" t="str">
        <f t="shared" si="11"/>
        <v>项目建筑规模</v>
      </c>
      <c r="R33" s="708" t="s">
        <v>18</v>
      </c>
      <c r="S33" s="709" t="e">
        <f t="shared" si="12"/>
        <v>#N/A</v>
      </c>
      <c r="T33" s="708" t="s">
        <v>18</v>
      </c>
      <c r="U33" s="709" t="e">
        <f t="shared" si="13"/>
        <v>#N/A</v>
      </c>
      <c r="V33" s="708" t="s">
        <v>18</v>
      </c>
      <c r="W33" s="709" t="e">
        <f t="shared" si="14"/>
        <v>#N/A</v>
      </c>
      <c r="X33" s="710"/>
      <c r="Y33" s="366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0"/>
      <c r="Q34" s="1352" t="str">
        <f t="shared" si="11"/>
        <v>建筑结构</v>
      </c>
      <c r="R34" s="705" t="s">
        <v>18</v>
      </c>
      <c r="S34" s="706">
        <f t="shared" si="12"/>
        <v>100</v>
      </c>
      <c r="T34" s="705" t="s">
        <v>18</v>
      </c>
      <c r="U34" s="706">
        <f t="shared" si="13"/>
        <v>100</v>
      </c>
      <c r="V34" s="705" t="s">
        <v>18</v>
      </c>
      <c r="W34" s="706">
        <f t="shared" si="14"/>
        <v>100</v>
      </c>
      <c r="X34" s="1355"/>
      <c r="Y34" s="366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0"/>
      <c r="Q35" s="1352" t="str">
        <f t="shared" si="11"/>
        <v>建筑品质</v>
      </c>
      <c r="R35" s="705" t="s">
        <v>18</v>
      </c>
      <c r="S35" s="706">
        <f t="shared" si="12"/>
        <v>100</v>
      </c>
      <c r="T35" s="705" t="s">
        <v>18</v>
      </c>
      <c r="U35" s="706">
        <f t="shared" si="13"/>
        <v>100</v>
      </c>
      <c r="V35" s="705" t="s">
        <v>18</v>
      </c>
      <c r="W35" s="706">
        <f t="shared" si="14"/>
        <v>100</v>
      </c>
      <c r="X35" s="1355"/>
      <c r="Y35" s="366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0"/>
      <c r="Q36" s="1352" t="str">
        <f t="shared" si="11"/>
        <v>公共部分装修</v>
      </c>
      <c r="R36" s="705" t="s">
        <v>18</v>
      </c>
      <c r="S36" s="706">
        <f t="shared" si="12"/>
        <v>100</v>
      </c>
      <c r="T36" s="705" t="s">
        <v>18</v>
      </c>
      <c r="U36" s="706">
        <f t="shared" si="13"/>
        <v>100</v>
      </c>
      <c r="V36" s="705" t="s">
        <v>18</v>
      </c>
      <c r="W36" s="706">
        <f t="shared" si="14"/>
        <v>100</v>
      </c>
      <c r="X36" s="1355"/>
      <c r="Y36" s="366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0"/>
      <c r="Q37" s="1343" t="str">
        <f t="shared" si="11"/>
        <v>成新度</v>
      </c>
      <c r="R37" s="701" t="s">
        <v>18</v>
      </c>
      <c r="S37" s="702" t="e">
        <f t="shared" si="12"/>
        <v>#N/A</v>
      </c>
      <c r="T37" s="701" t="s">
        <v>18</v>
      </c>
      <c r="U37" s="702" t="e">
        <f t="shared" si="13"/>
        <v>#N/A</v>
      </c>
      <c r="V37" s="701" t="s">
        <v>18</v>
      </c>
      <c r="W37" s="702" t="e">
        <f t="shared" si="14"/>
        <v>#N/A</v>
      </c>
      <c r="X37" s="703"/>
      <c r="Y37" s="366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0" t="s">
        <v>1695</v>
      </c>
      <c r="Q38" s="1352" t="str">
        <f t="shared" si="11"/>
        <v>物业管理</v>
      </c>
      <c r="R38" s="705" t="s">
        <v>18</v>
      </c>
      <c r="S38" s="706">
        <f t="shared" si="12"/>
        <v>100</v>
      </c>
      <c r="T38" s="705" t="s">
        <v>18</v>
      </c>
      <c r="U38" s="706">
        <f t="shared" si="13"/>
        <v>100</v>
      </c>
      <c r="V38" s="705" t="s">
        <v>18</v>
      </c>
      <c r="W38" s="706">
        <f t="shared" si="14"/>
        <v>100</v>
      </c>
      <c r="X38" s="1355"/>
      <c r="Y38" s="366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0"/>
      <c r="Q39" s="1352" t="str">
        <f t="shared" si="11"/>
        <v>市政基础设施</v>
      </c>
      <c r="R39" s="705" t="s">
        <v>18</v>
      </c>
      <c r="S39" s="706">
        <f t="shared" si="12"/>
        <v>100</v>
      </c>
      <c r="T39" s="705" t="s">
        <v>18</v>
      </c>
      <c r="U39" s="706">
        <f t="shared" si="13"/>
        <v>100</v>
      </c>
      <c r="V39" s="705" t="s">
        <v>18</v>
      </c>
      <c r="W39" s="706">
        <f t="shared" si="14"/>
        <v>100</v>
      </c>
      <c r="X39" s="1355"/>
      <c r="Y39" s="366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0"/>
      <c r="Q40" s="1352" t="str">
        <f t="shared" si="11"/>
        <v>房型</v>
      </c>
      <c r="R40" s="705" t="s">
        <v>18</v>
      </c>
      <c r="S40" s="706">
        <f t="shared" si="12"/>
        <v>100</v>
      </c>
      <c r="T40" s="705" t="s">
        <v>18</v>
      </c>
      <c r="U40" s="706">
        <f t="shared" si="13"/>
        <v>100</v>
      </c>
      <c r="V40" s="705" t="s">
        <v>18</v>
      </c>
      <c r="W40" s="706">
        <f t="shared" si="14"/>
        <v>100</v>
      </c>
      <c r="X40" s="1355"/>
      <c r="Y40" s="366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0"/>
      <c r="Q41" s="707" t="str">
        <f t="shared" si="11"/>
        <v>单套/主力户型建筑面积</v>
      </c>
      <c r="R41" s="708" t="s">
        <v>18</v>
      </c>
      <c r="S41" s="709">
        <f t="shared" si="12"/>
        <v>100</v>
      </c>
      <c r="T41" s="708" t="s">
        <v>18</v>
      </c>
      <c r="U41" s="709">
        <f t="shared" si="13"/>
        <v>100</v>
      </c>
      <c r="V41" s="708" t="s">
        <v>18</v>
      </c>
      <c r="W41" s="709">
        <f t="shared" si="14"/>
        <v>100</v>
      </c>
      <c r="X41" s="710"/>
      <c r="Y41" s="366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0"/>
      <c r="Q42" s="1352" t="str">
        <f t="shared" si="11"/>
        <v>内部装修</v>
      </c>
      <c r="R42" s="705" t="s">
        <v>18</v>
      </c>
      <c r="S42" s="706">
        <f t="shared" si="12"/>
        <v>100</v>
      </c>
      <c r="T42" s="705" t="s">
        <v>18</v>
      </c>
      <c r="U42" s="706">
        <f t="shared" si="13"/>
        <v>100</v>
      </c>
      <c r="V42" s="705" t="s">
        <v>18</v>
      </c>
      <c r="W42" s="706">
        <f t="shared" si="14"/>
        <v>100</v>
      </c>
      <c r="X42" s="1355"/>
      <c r="Y42" s="366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0"/>
      <c r="Q43" s="1352" t="str">
        <f t="shared" si="11"/>
        <v>内部装修维护情况</v>
      </c>
      <c r="R43" s="705" t="s">
        <v>18</v>
      </c>
      <c r="S43" s="706">
        <f t="shared" si="12"/>
        <v>100</v>
      </c>
      <c r="T43" s="705" t="s">
        <v>18</v>
      </c>
      <c r="U43" s="706">
        <f t="shared" si="13"/>
        <v>100</v>
      </c>
      <c r="V43" s="705" t="s">
        <v>18</v>
      </c>
      <c r="W43" s="706">
        <f t="shared" si="14"/>
        <v>100</v>
      </c>
      <c r="X43" s="1355"/>
      <c r="Y43" s="36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0"/>
      <c r="Q44" s="1343">
        <f t="shared" si="11"/>
        <v>111</v>
      </c>
      <c r="R44" s="701" t="s">
        <v>18</v>
      </c>
      <c r="S44" s="702">
        <f t="shared" si="12"/>
        <v>100</v>
      </c>
      <c r="T44" s="701" t="s">
        <v>18</v>
      </c>
      <c r="U44" s="702">
        <f t="shared" si="13"/>
        <v>100</v>
      </c>
      <c r="V44" s="701" t="s">
        <v>18</v>
      </c>
      <c r="W44" s="702">
        <f t="shared" si="14"/>
        <v>100</v>
      </c>
      <c r="X44" s="703"/>
      <c r="Y44" s="36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0"/>
      <c r="Q45" s="1352">
        <f t="shared" si="11"/>
        <v>111</v>
      </c>
      <c r="R45" s="705" t="s">
        <v>18</v>
      </c>
      <c r="S45" s="706">
        <f t="shared" si="12"/>
        <v>100</v>
      </c>
      <c r="T45" s="705" t="s">
        <v>18</v>
      </c>
      <c r="U45" s="706">
        <f t="shared" si="13"/>
        <v>100</v>
      </c>
      <c r="V45" s="705" t="s">
        <v>18</v>
      </c>
      <c r="W45" s="706">
        <f t="shared" si="14"/>
        <v>100</v>
      </c>
      <c r="X45" s="1355"/>
      <c r="Y45" s="36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1"/>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642" t="str">
        <f>A47</f>
        <v>成交单价（元/平方米）</v>
      </c>
      <c r="Q47" s="3642"/>
      <c r="R47" s="3708">
        <f>E47</f>
        <v>0</v>
      </c>
      <c r="S47" s="3708"/>
      <c r="T47" s="3708">
        <f>G47</f>
        <v>0</v>
      </c>
      <c r="U47" s="3708"/>
      <c r="V47" s="3708">
        <f>I47</f>
        <v>0</v>
      </c>
      <c r="W47" s="3708"/>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42" t="str">
        <f>A48</f>
        <v>比较价值（元/平方米）</v>
      </c>
      <c r="Q48" s="3642"/>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677" t="str">
        <f>A49</f>
        <v>估价对象XX用房的比较价值（楼面单价，元/平方米）</v>
      </c>
      <c r="Q49" s="3678"/>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34459.100000000006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639" t="s">
        <v>1769</v>
      </c>
      <c r="D4" s="3665"/>
      <c r="E4" s="3666" t="s">
        <v>1770</v>
      </c>
      <c r="F4" s="3667"/>
      <c r="G4" s="3639" t="s">
        <v>1771</v>
      </c>
      <c r="H4" s="3665"/>
      <c r="I4" s="3639" t="s">
        <v>1772</v>
      </c>
      <c r="J4" s="3665"/>
      <c r="K4" s="559" t="s">
        <v>1773</v>
      </c>
      <c r="L4" s="2715"/>
      <c r="M4" s="2716"/>
      <c r="N4" s="2716"/>
      <c r="O4" s="2716"/>
      <c r="P4" s="3668" t="s">
        <v>1774</v>
      </c>
      <c r="Q4" s="3669"/>
      <c r="R4" s="3645" t="s">
        <v>1770</v>
      </c>
      <c r="S4" s="3646"/>
      <c r="T4" s="3645" t="s">
        <v>1771</v>
      </c>
      <c r="U4" s="3646"/>
      <c r="V4" s="3658" t="s">
        <v>1772</v>
      </c>
      <c r="W4" s="3658"/>
      <c r="X4" s="1355"/>
      <c r="Y4" s="3645" t="s">
        <v>1774</v>
      </c>
      <c r="Z4" s="3646"/>
      <c r="AA4" s="3662" t="s">
        <v>1770</v>
      </c>
      <c r="AB4" s="3658" t="s">
        <v>1771</v>
      </c>
      <c r="AC4" s="3662" t="s">
        <v>1772</v>
      </c>
    </row>
    <row r="5" spans="1:29" ht="15">
      <c r="A5" s="358"/>
      <c r="B5" s="359"/>
      <c r="C5" s="3649" t="s">
        <v>1672</v>
      </c>
      <c r="D5" s="3650"/>
      <c r="E5" s="3674" t="s">
        <v>1673</v>
      </c>
      <c r="F5" s="3675"/>
      <c r="G5" s="3649" t="s">
        <v>1674</v>
      </c>
      <c r="H5" s="3650"/>
      <c r="I5" s="3649" t="s">
        <v>1675</v>
      </c>
      <c r="J5" s="3650"/>
      <c r="K5" s="559"/>
      <c r="L5" s="2715"/>
      <c r="M5" s="2716"/>
      <c r="N5" s="2716"/>
      <c r="O5" s="2716"/>
      <c r="P5" s="3670"/>
      <c r="Q5" s="3671"/>
      <c r="R5" s="3647"/>
      <c r="S5" s="3648"/>
      <c r="T5" s="3647"/>
      <c r="U5" s="3648"/>
      <c r="V5" s="3658"/>
      <c r="W5" s="3658"/>
      <c r="X5" s="1355"/>
      <c r="Y5" s="3647"/>
      <c r="Z5" s="3648"/>
      <c r="AA5" s="3663"/>
      <c r="AB5" s="3658"/>
      <c r="AC5" s="3663"/>
    </row>
    <row r="6" spans="1:29" ht="15.75" thickBot="1">
      <c r="A6" s="360"/>
      <c r="B6" s="361"/>
      <c r="C6" s="3715" t="s">
        <v>1676</v>
      </c>
      <c r="D6" s="3716"/>
      <c r="E6" s="3717" t="s">
        <v>1676</v>
      </c>
      <c r="F6" s="3718"/>
      <c r="G6" s="3715" t="s">
        <v>1676</v>
      </c>
      <c r="H6" s="3716"/>
      <c r="I6" s="3715" t="s">
        <v>1676</v>
      </c>
      <c r="J6" s="3716"/>
      <c r="K6" s="559" t="s">
        <v>1677</v>
      </c>
      <c r="L6" s="2715"/>
      <c r="M6" s="2716"/>
      <c r="N6" s="2716"/>
      <c r="O6" s="2716"/>
      <c r="P6" s="3672"/>
      <c r="Q6" s="3673"/>
      <c r="R6" s="3647"/>
      <c r="S6" s="3648"/>
      <c r="T6" s="3656"/>
      <c r="U6" s="3657"/>
      <c r="V6" s="3658"/>
      <c r="W6" s="3658"/>
      <c r="X6" s="1355"/>
      <c r="Y6" s="3656"/>
      <c r="Z6" s="3657"/>
      <c r="AA6" s="3664"/>
      <c r="AB6" s="3658"/>
      <c r="AC6" s="3664"/>
    </row>
    <row r="7" spans="1:29" s="108" customFormat="1" ht="15.75" thickBot="1">
      <c r="A7" s="362" t="s">
        <v>1678</v>
      </c>
      <c r="B7" s="363"/>
      <c r="C7" s="364">
        <f>'数据-取费表'!B2</f>
        <v>45026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3" t="s">
        <v>1679</v>
      </c>
      <c r="Q7" s="3653"/>
      <c r="R7" s="701" t="s">
        <v>14</v>
      </c>
      <c r="S7" s="702">
        <f t="shared" ref="S7:S15" si="0">F7</f>
        <v>0</v>
      </c>
      <c r="T7" s="701" t="s">
        <v>14</v>
      </c>
      <c r="U7" s="702">
        <f t="shared" ref="U7:U15" si="1">H7</f>
        <v>0</v>
      </c>
      <c r="V7" s="701" t="s">
        <v>14</v>
      </c>
      <c r="W7" s="702">
        <f t="shared" ref="W7:W15" si="2">J7</f>
        <v>0</v>
      </c>
      <c r="X7" s="703"/>
      <c r="Y7" s="3643" t="s">
        <v>1679</v>
      </c>
      <c r="Z7" s="3644"/>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3" t="s">
        <v>1682</v>
      </c>
      <c r="Q8" s="3644"/>
      <c r="R8" s="701" t="s">
        <v>14</v>
      </c>
      <c r="S8" s="702">
        <f t="shared" si="0"/>
        <v>100</v>
      </c>
      <c r="T8" s="701" t="s">
        <v>14</v>
      </c>
      <c r="U8" s="702">
        <f t="shared" si="1"/>
        <v>100</v>
      </c>
      <c r="V8" s="701" t="s">
        <v>14</v>
      </c>
      <c r="W8" s="702">
        <f t="shared" si="2"/>
        <v>100</v>
      </c>
      <c r="X8" s="703"/>
      <c r="Y8" s="3643" t="s">
        <v>1682</v>
      </c>
      <c r="Z8" s="3644"/>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1"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1"/>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1"/>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1"/>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1"/>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1"/>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3" t="s">
        <v>1690</v>
      </c>
      <c r="Q15" s="1352" t="str">
        <f t="shared" si="6"/>
        <v>商业繁华度</v>
      </c>
      <c r="R15" s="705" t="s">
        <v>14</v>
      </c>
      <c r="S15" s="706">
        <f t="shared" si="0"/>
        <v>100</v>
      </c>
      <c r="T15" s="705" t="s">
        <v>14</v>
      </c>
      <c r="U15" s="706">
        <f t="shared" si="1"/>
        <v>100</v>
      </c>
      <c r="V15" s="705" t="s">
        <v>14</v>
      </c>
      <c r="W15" s="706">
        <f t="shared" si="2"/>
        <v>100</v>
      </c>
      <c r="X15" s="1355"/>
      <c r="Y15" s="365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4"/>
      <c r="Q16" s="1352"/>
      <c r="R16" s="705"/>
      <c r="S16" s="706"/>
      <c r="T16" s="705"/>
      <c r="U16" s="706"/>
      <c r="V16" s="705"/>
      <c r="W16" s="706"/>
      <c r="X16" s="1355"/>
      <c r="Y16" s="3660"/>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4"/>
      <c r="Q18" s="1352"/>
      <c r="R18" s="705"/>
      <c r="S18" s="706"/>
      <c r="T18" s="705"/>
      <c r="U18" s="706"/>
      <c r="V18" s="705"/>
      <c r="W18" s="706"/>
      <c r="X18" s="1355"/>
      <c r="Y18" s="3660"/>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4"/>
      <c r="Q20" s="1352"/>
      <c r="R20" s="705"/>
      <c r="S20" s="706"/>
      <c r="T20" s="705"/>
      <c r="U20" s="706"/>
      <c r="V20" s="705"/>
      <c r="W20" s="706"/>
      <c r="X20" s="1355"/>
      <c r="Y20" s="3660"/>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4"/>
      <c r="Q22" s="1352"/>
      <c r="R22" s="705"/>
      <c r="S22" s="706"/>
      <c r="T22" s="705"/>
      <c r="U22" s="706"/>
      <c r="V22" s="705"/>
      <c r="W22" s="706"/>
      <c r="X22" s="1355"/>
      <c r="Y22" s="3660"/>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4"/>
      <c r="Q23" s="1352" t="str">
        <f>B23</f>
        <v>自然及人文环境</v>
      </c>
      <c r="R23" s="705" t="s">
        <v>14</v>
      </c>
      <c r="S23" s="706">
        <f>F23</f>
        <v>100</v>
      </c>
      <c r="T23" s="705" t="s">
        <v>14</v>
      </c>
      <c r="U23" s="706">
        <f>H23</f>
        <v>100</v>
      </c>
      <c r="V23" s="705" t="s">
        <v>14</v>
      </c>
      <c r="W23" s="706">
        <f>J23</f>
        <v>100</v>
      </c>
      <c r="X23" s="1355"/>
      <c r="Y23" s="366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4"/>
      <c r="Q24" s="1352"/>
      <c r="R24" s="705"/>
      <c r="S24" s="706"/>
      <c r="T24" s="705"/>
      <c r="U24" s="706"/>
      <c r="V24" s="705"/>
      <c r="W24" s="706"/>
      <c r="X24" s="1355"/>
      <c r="Y24" s="366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4"/>
      <c r="Q25" s="1352" t="str">
        <f t="shared" ref="Q25:Q46" si="11">B25</f>
        <v>临街状况</v>
      </c>
      <c r="R25" s="705" t="s">
        <v>14</v>
      </c>
      <c r="S25" s="706">
        <f>F25</f>
        <v>100</v>
      </c>
      <c r="T25" s="705" t="s">
        <v>14</v>
      </c>
      <c r="U25" s="706">
        <f>H25</f>
        <v>100</v>
      </c>
      <c r="V25" s="705" t="s">
        <v>14</v>
      </c>
      <c r="W25" s="706">
        <f>J25</f>
        <v>100</v>
      </c>
      <c r="X25" s="1355"/>
      <c r="Y25" s="366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4"/>
      <c r="Q26" s="1352" t="str">
        <f t="shared" si="11"/>
        <v>平面位置/可视性</v>
      </c>
      <c r="R26" s="705" t="s">
        <v>14</v>
      </c>
      <c r="S26" s="706">
        <f>F26</f>
        <v>100</v>
      </c>
      <c r="T26" s="705" t="s">
        <v>14</v>
      </c>
      <c r="U26" s="706">
        <f>H26</f>
        <v>100</v>
      </c>
      <c r="V26" s="705" t="s">
        <v>14</v>
      </c>
      <c r="W26" s="706">
        <f>J26</f>
        <v>100</v>
      </c>
      <c r="X26" s="1355"/>
      <c r="Y26" s="366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4"/>
      <c r="Q27" s="1343" t="str">
        <f t="shared" si="11"/>
        <v>人流量</v>
      </c>
      <c r="R27" s="701" t="s">
        <v>14</v>
      </c>
      <c r="S27" s="702">
        <f>F27</f>
        <v>100</v>
      </c>
      <c r="T27" s="701" t="s">
        <v>14</v>
      </c>
      <c r="U27" s="702">
        <f>H27</f>
        <v>100</v>
      </c>
      <c r="V27" s="701" t="s">
        <v>14</v>
      </c>
      <c r="W27" s="702">
        <f>J27</f>
        <v>100</v>
      </c>
      <c r="X27" s="703"/>
      <c r="Y27" s="366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4"/>
      <c r="Q29" s="1352">
        <f t="shared" si="11"/>
        <v>111</v>
      </c>
      <c r="R29" s="705" t="s">
        <v>14</v>
      </c>
      <c r="S29" s="706">
        <f t="shared" si="12"/>
        <v>100</v>
      </c>
      <c r="T29" s="705" t="s">
        <v>14</v>
      </c>
      <c r="U29" s="706">
        <f t="shared" si="13"/>
        <v>100</v>
      </c>
      <c r="V29" s="705" t="s">
        <v>14</v>
      </c>
      <c r="W29" s="706">
        <f t="shared" si="14"/>
        <v>100</v>
      </c>
      <c r="X29" s="1355"/>
      <c r="Y29" s="366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66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66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9" t="s">
        <v>1695</v>
      </c>
      <c r="Q32" s="1352" t="str">
        <f t="shared" si="11"/>
        <v>商业类型</v>
      </c>
      <c r="R32" s="705" t="s">
        <v>14</v>
      </c>
      <c r="S32" s="706">
        <f t="shared" si="12"/>
        <v>100</v>
      </c>
      <c r="T32" s="705" t="s">
        <v>14</v>
      </c>
      <c r="U32" s="706">
        <f t="shared" si="13"/>
        <v>100</v>
      </c>
      <c r="V32" s="705" t="s">
        <v>14</v>
      </c>
      <c r="W32" s="706">
        <f t="shared" si="14"/>
        <v>100</v>
      </c>
      <c r="X32" s="1355"/>
      <c r="Y32" s="366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0"/>
      <c r="Q33" s="707" t="str">
        <f t="shared" si="11"/>
        <v>项目建筑规模</v>
      </c>
      <c r="R33" s="708" t="s">
        <v>14</v>
      </c>
      <c r="S33" s="709" t="e">
        <f t="shared" si="12"/>
        <v>#N/A</v>
      </c>
      <c r="T33" s="708" t="s">
        <v>14</v>
      </c>
      <c r="U33" s="709" t="e">
        <f t="shared" si="13"/>
        <v>#N/A</v>
      </c>
      <c r="V33" s="708" t="s">
        <v>14</v>
      </c>
      <c r="W33" s="709" t="e">
        <f t="shared" si="14"/>
        <v>#N/A</v>
      </c>
      <c r="X33" s="710"/>
      <c r="Y33" s="366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0"/>
      <c r="Q34" s="1352" t="str">
        <f t="shared" si="11"/>
        <v>建筑结构</v>
      </c>
      <c r="R34" s="705" t="s">
        <v>14</v>
      </c>
      <c r="S34" s="706">
        <f t="shared" si="12"/>
        <v>100</v>
      </c>
      <c r="T34" s="705" t="s">
        <v>14</v>
      </c>
      <c r="U34" s="706">
        <f t="shared" si="13"/>
        <v>100</v>
      </c>
      <c r="V34" s="705" t="s">
        <v>14</v>
      </c>
      <c r="W34" s="706">
        <f t="shared" si="14"/>
        <v>100</v>
      </c>
      <c r="X34" s="1355"/>
      <c r="Y34" s="366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0"/>
      <c r="Q35" s="1352" t="str">
        <f t="shared" si="11"/>
        <v>公共部分装修</v>
      </c>
      <c r="R35" s="705" t="s">
        <v>14</v>
      </c>
      <c r="S35" s="706">
        <f t="shared" si="12"/>
        <v>100</v>
      </c>
      <c r="T35" s="705" t="s">
        <v>14</v>
      </c>
      <c r="U35" s="706">
        <f t="shared" si="13"/>
        <v>100</v>
      </c>
      <c r="V35" s="705" t="s">
        <v>14</v>
      </c>
      <c r="W35" s="706">
        <f t="shared" si="14"/>
        <v>100</v>
      </c>
      <c r="X35" s="1355"/>
      <c r="Y35" s="366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0"/>
      <c r="Q36" s="1352" t="str">
        <f t="shared" si="11"/>
        <v>成新度</v>
      </c>
      <c r="R36" s="705" t="s">
        <v>14</v>
      </c>
      <c r="S36" s="706" t="e">
        <f t="shared" si="12"/>
        <v>#N/A</v>
      </c>
      <c r="T36" s="705" t="s">
        <v>14</v>
      </c>
      <c r="U36" s="706" t="e">
        <f t="shared" si="13"/>
        <v>#N/A</v>
      </c>
      <c r="V36" s="705" t="s">
        <v>14</v>
      </c>
      <c r="W36" s="706" t="e">
        <f t="shared" si="14"/>
        <v>#N/A</v>
      </c>
      <c r="X36" s="1355"/>
      <c r="Y36" s="366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0"/>
      <c r="Q37" s="1343" t="str">
        <f t="shared" si="11"/>
        <v>市政基础设施</v>
      </c>
      <c r="R37" s="701" t="s">
        <v>14</v>
      </c>
      <c r="S37" s="702">
        <f t="shared" si="12"/>
        <v>100</v>
      </c>
      <c r="T37" s="701" t="s">
        <v>14</v>
      </c>
      <c r="U37" s="702">
        <f t="shared" si="13"/>
        <v>100</v>
      </c>
      <c r="V37" s="701" t="s">
        <v>14</v>
      </c>
      <c r="W37" s="702">
        <f t="shared" si="14"/>
        <v>100</v>
      </c>
      <c r="X37" s="703"/>
      <c r="Y37" s="366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0" t="s">
        <v>1695</v>
      </c>
      <c r="Q38" s="1352" t="str">
        <f t="shared" si="11"/>
        <v>业态</v>
      </c>
      <c r="R38" s="705" t="s">
        <v>14</v>
      </c>
      <c r="S38" s="706">
        <f t="shared" si="12"/>
        <v>100</v>
      </c>
      <c r="T38" s="705" t="s">
        <v>14</v>
      </c>
      <c r="U38" s="706">
        <f t="shared" si="13"/>
        <v>100</v>
      </c>
      <c r="V38" s="705" t="s">
        <v>14</v>
      </c>
      <c r="W38" s="706">
        <f t="shared" si="14"/>
        <v>100</v>
      </c>
      <c r="X38" s="1355"/>
      <c r="Y38" s="366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0"/>
      <c r="Q39" s="1352" t="str">
        <f t="shared" si="11"/>
        <v>层高</v>
      </c>
      <c r="R39" s="705" t="s">
        <v>14</v>
      </c>
      <c r="S39" s="706">
        <f t="shared" si="12"/>
        <v>100</v>
      </c>
      <c r="T39" s="705" t="s">
        <v>14</v>
      </c>
      <c r="U39" s="706">
        <f t="shared" si="13"/>
        <v>100</v>
      </c>
      <c r="V39" s="705" t="s">
        <v>14</v>
      </c>
      <c r="W39" s="706">
        <f t="shared" si="14"/>
        <v>100</v>
      </c>
      <c r="X39" s="1355"/>
      <c r="Y39" s="366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0"/>
      <c r="Q40" s="1352" t="str">
        <f t="shared" si="11"/>
        <v>单套建筑面积</v>
      </c>
      <c r="R40" s="705" t="s">
        <v>14</v>
      </c>
      <c r="S40" s="706">
        <f t="shared" si="12"/>
        <v>100</v>
      </c>
      <c r="T40" s="705" t="s">
        <v>14</v>
      </c>
      <c r="U40" s="706">
        <f t="shared" si="13"/>
        <v>100</v>
      </c>
      <c r="V40" s="705" t="s">
        <v>14</v>
      </c>
      <c r="W40" s="706">
        <f t="shared" si="14"/>
        <v>100</v>
      </c>
      <c r="X40" s="1355"/>
      <c r="Y40" s="366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0"/>
      <c r="Q41" s="707" t="str">
        <f t="shared" si="11"/>
        <v>进深比</v>
      </c>
      <c r="R41" s="708" t="s">
        <v>14</v>
      </c>
      <c r="S41" s="709">
        <f t="shared" si="12"/>
        <v>100</v>
      </c>
      <c r="T41" s="708" t="s">
        <v>14</v>
      </c>
      <c r="U41" s="709">
        <f t="shared" si="13"/>
        <v>100</v>
      </c>
      <c r="V41" s="708" t="s">
        <v>14</v>
      </c>
      <c r="W41" s="709">
        <f t="shared" si="14"/>
        <v>100</v>
      </c>
      <c r="X41" s="710"/>
      <c r="Y41" s="366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0"/>
      <c r="Q42" s="1352" t="str">
        <f t="shared" si="11"/>
        <v>内部装修</v>
      </c>
      <c r="R42" s="705" t="s">
        <v>14</v>
      </c>
      <c r="S42" s="706">
        <f t="shared" si="12"/>
        <v>100</v>
      </c>
      <c r="T42" s="705" t="s">
        <v>14</v>
      </c>
      <c r="U42" s="706">
        <f t="shared" si="13"/>
        <v>100</v>
      </c>
      <c r="V42" s="705" t="s">
        <v>14</v>
      </c>
      <c r="W42" s="706">
        <f t="shared" si="14"/>
        <v>100</v>
      </c>
      <c r="X42" s="1355"/>
      <c r="Y42" s="366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0"/>
      <c r="Q43" s="1352" t="str">
        <f t="shared" si="11"/>
        <v>内部装修维护情况</v>
      </c>
      <c r="R43" s="705" t="s">
        <v>14</v>
      </c>
      <c r="S43" s="706">
        <f t="shared" si="12"/>
        <v>100</v>
      </c>
      <c r="T43" s="705" t="s">
        <v>14</v>
      </c>
      <c r="U43" s="706">
        <f t="shared" si="13"/>
        <v>100</v>
      </c>
      <c r="V43" s="705" t="s">
        <v>14</v>
      </c>
      <c r="W43" s="706">
        <f t="shared" si="14"/>
        <v>100</v>
      </c>
      <c r="X43" s="1355"/>
      <c r="Y43" s="36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0"/>
      <c r="Q44" s="1343">
        <f t="shared" si="11"/>
        <v>111</v>
      </c>
      <c r="R44" s="701" t="s">
        <v>14</v>
      </c>
      <c r="S44" s="702">
        <f t="shared" si="12"/>
        <v>100</v>
      </c>
      <c r="T44" s="701" t="s">
        <v>14</v>
      </c>
      <c r="U44" s="702">
        <f t="shared" si="13"/>
        <v>100</v>
      </c>
      <c r="V44" s="701" t="s">
        <v>14</v>
      </c>
      <c r="W44" s="702">
        <f t="shared" si="14"/>
        <v>100</v>
      </c>
      <c r="X44" s="703"/>
      <c r="Y44" s="36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0"/>
      <c r="Q45" s="1352">
        <f t="shared" si="11"/>
        <v>111</v>
      </c>
      <c r="R45" s="705" t="s">
        <v>14</v>
      </c>
      <c r="S45" s="706">
        <f t="shared" si="12"/>
        <v>100</v>
      </c>
      <c r="T45" s="705" t="s">
        <v>14</v>
      </c>
      <c r="U45" s="706">
        <f t="shared" si="13"/>
        <v>100</v>
      </c>
      <c r="V45" s="705" t="s">
        <v>14</v>
      </c>
      <c r="W45" s="706">
        <f t="shared" si="14"/>
        <v>100</v>
      </c>
      <c r="X45" s="1355"/>
      <c r="Y45" s="36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642" t="str">
        <f>A47</f>
        <v>成交单价（元/平方米）</v>
      </c>
      <c r="Q47" s="3642"/>
      <c r="R47" s="3658">
        <f>E47</f>
        <v>0</v>
      </c>
      <c r="S47" s="3658"/>
      <c r="T47" s="3658">
        <f>G47</f>
        <v>0</v>
      </c>
      <c r="U47" s="3658"/>
      <c r="V47" s="3658">
        <f>I47</f>
        <v>0</v>
      </c>
      <c r="W47" s="3658"/>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42" t="str">
        <f>A48</f>
        <v>比较价值（元/平方米）</v>
      </c>
      <c r="Q48" s="3642"/>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677" t="str">
        <f>A49</f>
        <v>估价对象XX用房的比较价值（楼面单价，元/平方米）</v>
      </c>
      <c r="Q49" s="3678"/>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34459.100000000006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639" t="s">
        <v>1769</v>
      </c>
      <c r="D4" s="3665"/>
      <c r="E4" s="3666" t="s">
        <v>1770</v>
      </c>
      <c r="F4" s="3667"/>
      <c r="G4" s="3639" t="s">
        <v>1771</v>
      </c>
      <c r="H4" s="3665"/>
      <c r="I4" s="3639" t="s">
        <v>1772</v>
      </c>
      <c r="J4" s="3665"/>
      <c r="K4" s="559" t="s">
        <v>1773</v>
      </c>
      <c r="L4" s="2715"/>
      <c r="M4" s="2716"/>
      <c r="N4" s="2716"/>
      <c r="O4" s="2716"/>
      <c r="P4" s="3725" t="s">
        <v>1774</v>
      </c>
      <c r="Q4" s="3726"/>
      <c r="R4" s="3729" t="s">
        <v>1770</v>
      </c>
      <c r="S4" s="3730"/>
      <c r="T4" s="3729" t="s">
        <v>1771</v>
      </c>
      <c r="U4" s="3730"/>
      <c r="V4" s="3731" t="s">
        <v>1772</v>
      </c>
      <c r="W4" s="3731"/>
      <c r="X4" s="1958"/>
      <c r="Y4" s="3729" t="s">
        <v>1774</v>
      </c>
      <c r="Z4" s="3730"/>
      <c r="AA4" s="3733" t="s">
        <v>1770</v>
      </c>
      <c r="AB4" s="3733" t="s">
        <v>1771</v>
      </c>
      <c r="AC4" s="3722" t="s">
        <v>1772</v>
      </c>
    </row>
    <row r="5" spans="1:29" ht="15">
      <c r="A5" s="358"/>
      <c r="B5" s="359"/>
      <c r="C5" s="3649" t="s">
        <v>1672</v>
      </c>
      <c r="D5" s="3650"/>
      <c r="E5" s="3674" t="s">
        <v>1673</v>
      </c>
      <c r="F5" s="3675"/>
      <c r="G5" s="3649" t="s">
        <v>1674</v>
      </c>
      <c r="H5" s="3650"/>
      <c r="I5" s="3649" t="s">
        <v>1675</v>
      </c>
      <c r="J5" s="3650"/>
      <c r="K5" s="559"/>
      <c r="L5" s="2715"/>
      <c r="M5" s="2716"/>
      <c r="N5" s="2716"/>
      <c r="O5" s="2716"/>
      <c r="P5" s="3727"/>
      <c r="Q5" s="3671"/>
      <c r="R5" s="3647"/>
      <c r="S5" s="3648"/>
      <c r="T5" s="3647"/>
      <c r="U5" s="3648"/>
      <c r="V5" s="3658"/>
      <c r="W5" s="3658"/>
      <c r="X5" s="1355"/>
      <c r="Y5" s="3647"/>
      <c r="Z5" s="3648"/>
      <c r="AA5" s="3663"/>
      <c r="AB5" s="3663"/>
      <c r="AC5" s="3723"/>
    </row>
    <row r="6" spans="1:29" ht="15.75" thickBot="1">
      <c r="A6" s="360"/>
      <c r="B6" s="361"/>
      <c r="C6" s="3715" t="s">
        <v>1676</v>
      </c>
      <c r="D6" s="3716"/>
      <c r="E6" s="3717" t="s">
        <v>1676</v>
      </c>
      <c r="F6" s="3718"/>
      <c r="G6" s="3715" t="s">
        <v>1676</v>
      </c>
      <c r="H6" s="3716"/>
      <c r="I6" s="3715" t="s">
        <v>1676</v>
      </c>
      <c r="J6" s="3716"/>
      <c r="K6" s="559" t="s">
        <v>1677</v>
      </c>
      <c r="L6" s="2715"/>
      <c r="M6" s="2716"/>
      <c r="N6" s="2716"/>
      <c r="O6" s="2716"/>
      <c r="P6" s="3728"/>
      <c r="Q6" s="3673"/>
      <c r="R6" s="3647"/>
      <c r="S6" s="3648"/>
      <c r="T6" s="3656"/>
      <c r="U6" s="3657"/>
      <c r="V6" s="3658"/>
      <c r="W6" s="3658"/>
      <c r="X6" s="1355"/>
      <c r="Y6" s="3656"/>
      <c r="Z6" s="3657"/>
      <c r="AA6" s="3664"/>
      <c r="AB6" s="3664"/>
      <c r="AC6" s="3724"/>
    </row>
    <row r="7" spans="1:29" s="108" customFormat="1" ht="15.75" thickBot="1">
      <c r="A7" s="362" t="s">
        <v>1678</v>
      </c>
      <c r="B7" s="363"/>
      <c r="C7" s="364">
        <f>'数据-取费表'!B2</f>
        <v>45026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2" t="s">
        <v>1679</v>
      </c>
      <c r="Q7" s="3653"/>
      <c r="R7" s="701" t="s">
        <v>14</v>
      </c>
      <c r="S7" s="702">
        <f t="shared" ref="S7:S15" si="0">F7</f>
        <v>0</v>
      </c>
      <c r="T7" s="701" t="s">
        <v>14</v>
      </c>
      <c r="U7" s="702">
        <f t="shared" ref="U7:U15" si="1">H7</f>
        <v>0</v>
      </c>
      <c r="V7" s="701" t="s">
        <v>14</v>
      </c>
      <c r="W7" s="702">
        <f t="shared" ref="W7:W15" si="2">J7</f>
        <v>0</v>
      </c>
      <c r="X7" s="703"/>
      <c r="Y7" s="3643" t="s">
        <v>1679</v>
      </c>
      <c r="Z7" s="3644"/>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2" t="s">
        <v>1682</v>
      </c>
      <c r="Q8" s="3644"/>
      <c r="R8" s="701" t="s">
        <v>14</v>
      </c>
      <c r="S8" s="702">
        <f t="shared" si="0"/>
        <v>100</v>
      </c>
      <c r="T8" s="701" t="s">
        <v>14</v>
      </c>
      <c r="U8" s="702">
        <f t="shared" si="1"/>
        <v>100</v>
      </c>
      <c r="V8" s="701" t="s">
        <v>14</v>
      </c>
      <c r="W8" s="702">
        <f t="shared" si="2"/>
        <v>100</v>
      </c>
      <c r="X8" s="703"/>
      <c r="Y8" s="3643" t="s">
        <v>1682</v>
      </c>
      <c r="Z8" s="3644"/>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41"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41"/>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1"/>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1"/>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1"/>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1"/>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3" t="s">
        <v>1690</v>
      </c>
      <c r="Q15" s="1352" t="str">
        <f t="shared" si="6"/>
        <v>办公集聚程度</v>
      </c>
      <c r="R15" s="705" t="s">
        <v>14</v>
      </c>
      <c r="S15" s="706">
        <f t="shared" si="0"/>
        <v>100</v>
      </c>
      <c r="T15" s="705" t="s">
        <v>14</v>
      </c>
      <c r="U15" s="706">
        <f t="shared" si="1"/>
        <v>100</v>
      </c>
      <c r="V15" s="705" t="s">
        <v>14</v>
      </c>
      <c r="W15" s="706">
        <f t="shared" si="2"/>
        <v>100</v>
      </c>
      <c r="X15" s="1355"/>
      <c r="Y15" s="3659"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4"/>
      <c r="Q16" s="1352"/>
      <c r="R16" s="705"/>
      <c r="S16" s="706"/>
      <c r="T16" s="705"/>
      <c r="U16" s="706"/>
      <c r="V16" s="705"/>
      <c r="W16" s="706"/>
      <c r="X16" s="1355"/>
      <c r="Y16" s="3660"/>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4"/>
      <c r="Q18" s="1352"/>
      <c r="R18" s="705"/>
      <c r="S18" s="706"/>
      <c r="T18" s="705"/>
      <c r="U18" s="706"/>
      <c r="V18" s="705"/>
      <c r="W18" s="706"/>
      <c r="X18" s="1355"/>
      <c r="Y18" s="3660"/>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4"/>
      <c r="Q20" s="1352"/>
      <c r="R20" s="705"/>
      <c r="S20" s="706"/>
      <c r="T20" s="705"/>
      <c r="U20" s="706"/>
      <c r="V20" s="705"/>
      <c r="W20" s="706"/>
      <c r="X20" s="1355"/>
      <c r="Y20" s="3660"/>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4"/>
      <c r="Q22" s="1352"/>
      <c r="R22" s="705"/>
      <c r="S22" s="706"/>
      <c r="T22" s="705"/>
      <c r="U22" s="706"/>
      <c r="V22" s="705"/>
      <c r="W22" s="706"/>
      <c r="X22" s="1355"/>
      <c r="Y22" s="3660"/>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4"/>
      <c r="Q23" s="1352" t="str">
        <f>B23</f>
        <v>环境质量</v>
      </c>
      <c r="R23" s="705" t="s">
        <v>14</v>
      </c>
      <c r="S23" s="706">
        <f>F23</f>
        <v>100</v>
      </c>
      <c r="T23" s="705" t="s">
        <v>14</v>
      </c>
      <c r="U23" s="706">
        <f>H23</f>
        <v>100</v>
      </c>
      <c r="V23" s="705" t="s">
        <v>14</v>
      </c>
      <c r="W23" s="706">
        <f>J23</f>
        <v>100</v>
      </c>
      <c r="X23" s="1355"/>
      <c r="Y23" s="366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4"/>
      <c r="Q24" s="1352"/>
      <c r="R24" s="705"/>
      <c r="S24" s="706"/>
      <c r="T24" s="705"/>
      <c r="U24" s="706"/>
      <c r="V24" s="705"/>
      <c r="W24" s="706"/>
      <c r="X24" s="1355"/>
      <c r="Y24" s="366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4"/>
      <c r="Q25" s="1352" t="str">
        <f>B25</f>
        <v>毗邻道路的类型与等级</v>
      </c>
      <c r="R25" s="705" t="s">
        <v>14</v>
      </c>
      <c r="S25" s="706">
        <f>F25</f>
        <v>100</v>
      </c>
      <c r="T25" s="705" t="s">
        <v>14</v>
      </c>
      <c r="U25" s="706">
        <f>H25</f>
        <v>100</v>
      </c>
      <c r="V25" s="705" t="s">
        <v>14</v>
      </c>
      <c r="W25" s="706">
        <f>J25</f>
        <v>100</v>
      </c>
      <c r="X25" s="1355"/>
      <c r="Y25" s="366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4"/>
      <c r="Q26" s="1352"/>
      <c r="R26" s="705"/>
      <c r="S26" s="706"/>
      <c r="T26" s="705"/>
      <c r="U26" s="706"/>
      <c r="V26" s="705"/>
      <c r="W26" s="706"/>
      <c r="X26" s="1355"/>
      <c r="Y26" s="366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4"/>
      <c r="Q27" s="1352" t="str">
        <f t="shared" ref="Q27:Q47" si="11">B27</f>
        <v>楼层</v>
      </c>
      <c r="R27" s="705" t="s">
        <v>14</v>
      </c>
      <c r="S27" s="706">
        <f>F27</f>
        <v>100</v>
      </c>
      <c r="T27" s="705" t="s">
        <v>14</v>
      </c>
      <c r="U27" s="706">
        <f>H27</f>
        <v>100</v>
      </c>
      <c r="V27" s="705" t="s">
        <v>14</v>
      </c>
      <c r="W27" s="706">
        <f>J27</f>
        <v>100</v>
      </c>
      <c r="X27" s="1355"/>
      <c r="Y27" s="366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4"/>
      <c r="Q28" s="1343" t="str">
        <f t="shared" si="11"/>
        <v>朝向</v>
      </c>
      <c r="R28" s="701" t="s">
        <v>14</v>
      </c>
      <c r="S28" s="702">
        <f>F28</f>
        <v>100</v>
      </c>
      <c r="T28" s="701" t="s">
        <v>14</v>
      </c>
      <c r="U28" s="702">
        <f>H28</f>
        <v>100</v>
      </c>
      <c r="V28" s="701" t="s">
        <v>14</v>
      </c>
      <c r="W28" s="702">
        <f>J28</f>
        <v>100</v>
      </c>
      <c r="X28" s="703"/>
      <c r="Y28" s="366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66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66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66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4"/>
      <c r="Q32" s="1352">
        <f t="shared" si="11"/>
        <v>111</v>
      </c>
      <c r="R32" s="705" t="s">
        <v>14</v>
      </c>
      <c r="S32" s="706">
        <f t="shared" si="12"/>
        <v>100</v>
      </c>
      <c r="T32" s="705" t="s">
        <v>14</v>
      </c>
      <c r="U32" s="706">
        <f t="shared" si="13"/>
        <v>100</v>
      </c>
      <c r="V32" s="705" t="s">
        <v>14</v>
      </c>
      <c r="W32" s="706">
        <f t="shared" si="14"/>
        <v>100</v>
      </c>
      <c r="X32" s="1355"/>
      <c r="Y32" s="366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9" t="s">
        <v>1695</v>
      </c>
      <c r="Q33" s="1352" t="str">
        <f t="shared" si="11"/>
        <v>建筑类型</v>
      </c>
      <c r="R33" s="705" t="s">
        <v>14</v>
      </c>
      <c r="S33" s="706">
        <f t="shared" si="12"/>
        <v>100</v>
      </c>
      <c r="T33" s="705" t="s">
        <v>14</v>
      </c>
      <c r="U33" s="706">
        <f t="shared" si="13"/>
        <v>100</v>
      </c>
      <c r="V33" s="705" t="s">
        <v>14</v>
      </c>
      <c r="W33" s="706">
        <f t="shared" si="14"/>
        <v>100</v>
      </c>
      <c r="X33" s="1355"/>
      <c r="Y33" s="366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0"/>
      <c r="Q34" s="707" t="str">
        <f t="shared" si="11"/>
        <v>项目建筑规模</v>
      </c>
      <c r="R34" s="708" t="s">
        <v>14</v>
      </c>
      <c r="S34" s="709" t="e">
        <f t="shared" si="12"/>
        <v>#N/A</v>
      </c>
      <c r="T34" s="708" t="s">
        <v>14</v>
      </c>
      <c r="U34" s="709" t="e">
        <f t="shared" si="13"/>
        <v>#N/A</v>
      </c>
      <c r="V34" s="708" t="s">
        <v>14</v>
      </c>
      <c r="W34" s="709" t="e">
        <f t="shared" si="14"/>
        <v>#N/A</v>
      </c>
      <c r="X34" s="710"/>
      <c r="Y34" s="366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0"/>
      <c r="Q35" s="1352" t="str">
        <f t="shared" si="11"/>
        <v>建筑结构</v>
      </c>
      <c r="R35" s="705" t="s">
        <v>14</v>
      </c>
      <c r="S35" s="706">
        <f t="shared" si="12"/>
        <v>100</v>
      </c>
      <c r="T35" s="705" t="s">
        <v>14</v>
      </c>
      <c r="U35" s="706">
        <f t="shared" si="13"/>
        <v>100</v>
      </c>
      <c r="V35" s="705" t="s">
        <v>14</v>
      </c>
      <c r="W35" s="706">
        <f t="shared" si="14"/>
        <v>100</v>
      </c>
      <c r="X35" s="1355"/>
      <c r="Y35" s="366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0"/>
      <c r="Q36" s="1352" t="str">
        <f t="shared" si="11"/>
        <v>公共部分装修</v>
      </c>
      <c r="R36" s="705" t="s">
        <v>14</v>
      </c>
      <c r="S36" s="706">
        <f t="shared" si="12"/>
        <v>100</v>
      </c>
      <c r="T36" s="705" t="s">
        <v>14</v>
      </c>
      <c r="U36" s="706">
        <f t="shared" si="13"/>
        <v>100</v>
      </c>
      <c r="V36" s="705" t="s">
        <v>14</v>
      </c>
      <c r="W36" s="706">
        <f t="shared" si="14"/>
        <v>100</v>
      </c>
      <c r="X36" s="1355"/>
      <c r="Y36" s="366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0"/>
      <c r="Q37" s="1352" t="str">
        <f t="shared" si="11"/>
        <v>成新度</v>
      </c>
      <c r="R37" s="705" t="s">
        <v>14</v>
      </c>
      <c r="S37" s="706" t="e">
        <f t="shared" si="12"/>
        <v>#N/A</v>
      </c>
      <c r="T37" s="705" t="s">
        <v>14</v>
      </c>
      <c r="U37" s="706" t="e">
        <f t="shared" si="13"/>
        <v>#N/A</v>
      </c>
      <c r="V37" s="705" t="s">
        <v>14</v>
      </c>
      <c r="W37" s="706" t="e">
        <f t="shared" si="14"/>
        <v>#N/A</v>
      </c>
      <c r="X37" s="1355"/>
      <c r="Y37" s="366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0"/>
      <c r="Q38" s="1343" t="str">
        <f t="shared" si="11"/>
        <v>写字楼等级</v>
      </c>
      <c r="R38" s="701" t="s">
        <v>14</v>
      </c>
      <c r="S38" s="702">
        <f t="shared" si="12"/>
        <v>100</v>
      </c>
      <c r="T38" s="701" t="s">
        <v>14</v>
      </c>
      <c r="U38" s="702">
        <f t="shared" si="13"/>
        <v>100</v>
      </c>
      <c r="V38" s="701" t="s">
        <v>14</v>
      </c>
      <c r="W38" s="702">
        <f t="shared" si="14"/>
        <v>100</v>
      </c>
      <c r="X38" s="703"/>
      <c r="Y38" s="366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0" t="s">
        <v>1695</v>
      </c>
      <c r="Q39" s="1352" t="str">
        <f t="shared" si="11"/>
        <v>物业管理</v>
      </c>
      <c r="R39" s="705" t="s">
        <v>14</v>
      </c>
      <c r="S39" s="706">
        <f t="shared" si="12"/>
        <v>100</v>
      </c>
      <c r="T39" s="705" t="s">
        <v>14</v>
      </c>
      <c r="U39" s="706">
        <f t="shared" si="13"/>
        <v>100</v>
      </c>
      <c r="V39" s="705" t="s">
        <v>14</v>
      </c>
      <c r="W39" s="706">
        <f t="shared" si="14"/>
        <v>100</v>
      </c>
      <c r="X39" s="1355"/>
      <c r="Y39" s="366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0"/>
      <c r="Q40" s="1352" t="str">
        <f t="shared" si="11"/>
        <v>市政基础设施</v>
      </c>
      <c r="R40" s="705" t="s">
        <v>14</v>
      </c>
      <c r="S40" s="706">
        <f t="shared" si="12"/>
        <v>100</v>
      </c>
      <c r="T40" s="705" t="s">
        <v>14</v>
      </c>
      <c r="U40" s="706">
        <f t="shared" si="13"/>
        <v>100</v>
      </c>
      <c r="V40" s="705" t="s">
        <v>14</v>
      </c>
      <c r="W40" s="706">
        <f t="shared" si="14"/>
        <v>100</v>
      </c>
      <c r="X40" s="1355"/>
      <c r="Y40" s="366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0"/>
      <c r="Q41" s="1352" t="str">
        <f t="shared" si="11"/>
        <v>层高</v>
      </c>
      <c r="R41" s="705" t="s">
        <v>14</v>
      </c>
      <c r="S41" s="706">
        <f t="shared" si="12"/>
        <v>100</v>
      </c>
      <c r="T41" s="705" t="s">
        <v>14</v>
      </c>
      <c r="U41" s="706">
        <f t="shared" si="13"/>
        <v>100</v>
      </c>
      <c r="V41" s="705" t="s">
        <v>14</v>
      </c>
      <c r="W41" s="706">
        <f t="shared" si="14"/>
        <v>100</v>
      </c>
      <c r="X41" s="1355"/>
      <c r="Y41" s="366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0"/>
      <c r="Q42" s="707" t="str">
        <f t="shared" si="11"/>
        <v>单套建筑面积</v>
      </c>
      <c r="R42" s="708" t="s">
        <v>14</v>
      </c>
      <c r="S42" s="709">
        <f t="shared" si="12"/>
        <v>100</v>
      </c>
      <c r="T42" s="708" t="s">
        <v>14</v>
      </c>
      <c r="U42" s="709">
        <f t="shared" si="13"/>
        <v>100</v>
      </c>
      <c r="V42" s="708" t="s">
        <v>14</v>
      </c>
      <c r="W42" s="709">
        <f t="shared" si="14"/>
        <v>100</v>
      </c>
      <c r="X42" s="710"/>
      <c r="Y42" s="366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0"/>
      <c r="Q43" s="1352" t="str">
        <f t="shared" si="11"/>
        <v>内部装修</v>
      </c>
      <c r="R43" s="705" t="s">
        <v>14</v>
      </c>
      <c r="S43" s="706">
        <f t="shared" si="12"/>
        <v>100</v>
      </c>
      <c r="T43" s="705" t="s">
        <v>14</v>
      </c>
      <c r="U43" s="706">
        <f t="shared" si="13"/>
        <v>100</v>
      </c>
      <c r="V43" s="705" t="s">
        <v>14</v>
      </c>
      <c r="W43" s="706">
        <f t="shared" si="14"/>
        <v>100</v>
      </c>
      <c r="X43" s="1355"/>
      <c r="Y43" s="366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0"/>
      <c r="Q44" s="1352" t="str">
        <f t="shared" si="11"/>
        <v>内部装修维护情况</v>
      </c>
      <c r="R44" s="705" t="s">
        <v>14</v>
      </c>
      <c r="S44" s="706">
        <f t="shared" si="12"/>
        <v>100</v>
      </c>
      <c r="T44" s="705" t="s">
        <v>14</v>
      </c>
      <c r="U44" s="706">
        <f t="shared" si="13"/>
        <v>100</v>
      </c>
      <c r="V44" s="705" t="s">
        <v>14</v>
      </c>
      <c r="W44" s="706">
        <f t="shared" si="14"/>
        <v>100</v>
      </c>
      <c r="X44" s="1355"/>
      <c r="Y44" s="36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0"/>
      <c r="Q45" s="1343">
        <f t="shared" si="11"/>
        <v>111</v>
      </c>
      <c r="R45" s="701" t="s">
        <v>14</v>
      </c>
      <c r="S45" s="702">
        <f t="shared" si="12"/>
        <v>100</v>
      </c>
      <c r="T45" s="701" t="s">
        <v>14</v>
      </c>
      <c r="U45" s="702">
        <f t="shared" si="13"/>
        <v>100</v>
      </c>
      <c r="V45" s="701" t="s">
        <v>14</v>
      </c>
      <c r="W45" s="702">
        <f t="shared" si="14"/>
        <v>100</v>
      </c>
      <c r="X45" s="703"/>
      <c r="Y45" s="36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1"/>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641" t="str">
        <f>A48</f>
        <v>成交单价（元/平方米）</v>
      </c>
      <c r="Q48" s="3642"/>
      <c r="R48" s="3708">
        <f>E48</f>
        <v>0</v>
      </c>
      <c r="S48" s="3708"/>
      <c r="T48" s="3708">
        <f>G48</f>
        <v>0</v>
      </c>
      <c r="U48" s="3708"/>
      <c r="V48" s="3708">
        <f>I48</f>
        <v>0</v>
      </c>
      <c r="W48" s="3708"/>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41" t="str">
        <f>A49</f>
        <v>比较价值（元/平方米）</v>
      </c>
      <c r="Q49" s="3642"/>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估价对象为北京市房地产，为所有。根据《国有土地使用证》[]，估价对象（分摊）出让国有建设用地使用权面积为23251.84平方米，建筑面积为34459.1平方米。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估价对象为北京市房地产,属开发建设的，该项目尚在开发建设中。根据《国有土地使用证》[]，估价对象（分摊）出让国有建设用地使用权面积为23251.84平方米，规划建筑面积为34459.1平方米。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34459.100000000006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39" t="s">
        <v>1769</v>
      </c>
      <c r="D4" s="3665"/>
      <c r="E4" s="3666" t="s">
        <v>1770</v>
      </c>
      <c r="F4" s="3667"/>
      <c r="G4" s="3639" t="s">
        <v>1771</v>
      </c>
      <c r="H4" s="3665"/>
      <c r="I4" s="3639" t="s">
        <v>1772</v>
      </c>
      <c r="J4" s="3665"/>
      <c r="K4" s="559" t="s">
        <v>1773</v>
      </c>
      <c r="L4" s="913"/>
      <c r="M4" s="914"/>
      <c r="N4" s="914"/>
      <c r="O4" s="914"/>
      <c r="P4" s="3668" t="s">
        <v>1774</v>
      </c>
      <c r="Q4" s="3669"/>
      <c r="R4" s="3645" t="s">
        <v>1770</v>
      </c>
      <c r="S4" s="3646"/>
      <c r="T4" s="3645" t="s">
        <v>1771</v>
      </c>
      <c r="U4" s="3646"/>
      <c r="V4" s="3658" t="s">
        <v>1772</v>
      </c>
      <c r="W4" s="3658"/>
      <c r="X4" s="1355"/>
      <c r="Y4" s="3645" t="s">
        <v>1774</v>
      </c>
      <c r="Z4" s="3646"/>
      <c r="AA4" s="3662" t="s">
        <v>1770</v>
      </c>
      <c r="AB4" s="3663" t="s">
        <v>1771</v>
      </c>
      <c r="AC4" s="3662" t="s">
        <v>1772</v>
      </c>
    </row>
    <row r="5" spans="1:29" ht="15">
      <c r="A5" s="358"/>
      <c r="B5" s="359"/>
      <c r="C5" s="3649" t="s">
        <v>1672</v>
      </c>
      <c r="D5" s="3650"/>
      <c r="E5" s="3674" t="s">
        <v>1673</v>
      </c>
      <c r="F5" s="3675"/>
      <c r="G5" s="3649" t="s">
        <v>1674</v>
      </c>
      <c r="H5" s="3650"/>
      <c r="I5" s="3649" t="s">
        <v>1675</v>
      </c>
      <c r="J5" s="3650"/>
      <c r="K5" s="559"/>
      <c r="L5" s="913"/>
      <c r="M5" s="914"/>
      <c r="N5" s="914"/>
      <c r="O5" s="914"/>
      <c r="P5" s="3670"/>
      <c r="Q5" s="3671"/>
      <c r="R5" s="3647"/>
      <c r="S5" s="3648"/>
      <c r="T5" s="3647"/>
      <c r="U5" s="3648"/>
      <c r="V5" s="3658"/>
      <c r="W5" s="3658"/>
      <c r="X5" s="1355"/>
      <c r="Y5" s="3647"/>
      <c r="Z5" s="3648"/>
      <c r="AA5" s="3663"/>
      <c r="AB5" s="3663"/>
      <c r="AC5" s="3663"/>
    </row>
    <row r="6" spans="1:29" ht="15.75" thickBot="1">
      <c r="A6" s="360"/>
      <c r="B6" s="361"/>
      <c r="C6" s="3715" t="s">
        <v>1676</v>
      </c>
      <c r="D6" s="3716"/>
      <c r="E6" s="3717" t="s">
        <v>1676</v>
      </c>
      <c r="F6" s="3718"/>
      <c r="G6" s="3715" t="s">
        <v>1676</v>
      </c>
      <c r="H6" s="3716"/>
      <c r="I6" s="3715" t="s">
        <v>1676</v>
      </c>
      <c r="J6" s="3716"/>
      <c r="K6" s="559" t="s">
        <v>1677</v>
      </c>
      <c r="L6" s="913"/>
      <c r="M6" s="914"/>
      <c r="N6" s="914"/>
      <c r="O6" s="914"/>
      <c r="P6" s="3672"/>
      <c r="Q6" s="3673"/>
      <c r="R6" s="3647"/>
      <c r="S6" s="3648"/>
      <c r="T6" s="3656"/>
      <c r="U6" s="3657"/>
      <c r="V6" s="3658"/>
      <c r="W6" s="3658"/>
      <c r="X6" s="1355"/>
      <c r="Y6" s="3656"/>
      <c r="Z6" s="3657"/>
      <c r="AA6" s="3664"/>
      <c r="AB6" s="3664"/>
      <c r="AC6" s="3664"/>
    </row>
    <row r="7" spans="1:29" s="108" customFormat="1" ht="15.75" thickBot="1">
      <c r="A7" s="362" t="s">
        <v>1678</v>
      </c>
      <c r="B7" s="363"/>
      <c r="C7" s="364">
        <f>'数据-取费表'!B2</f>
        <v>45026</v>
      </c>
      <c r="D7" s="365">
        <v>100</v>
      </c>
      <c r="E7" s="366"/>
      <c r="F7" s="367">
        <f>SUMIF(52:52,YEAR(E7)&amp;"-"&amp;MONTH(E7),53:53)</f>
        <v>0</v>
      </c>
      <c r="G7" s="366"/>
      <c r="H7" s="365">
        <f>SUMIF(52:52,YEAR(G7)&amp;"-"&amp;MONTH(G7),53:53)</f>
        <v>0</v>
      </c>
      <c r="I7" s="366"/>
      <c r="J7" s="365">
        <f>SUMIF(52:52,YEAR(I7)&amp;"-"&amp;MONTH(I7),53:53)</f>
        <v>0</v>
      </c>
      <c r="K7" s="560"/>
      <c r="L7" s="915"/>
      <c r="M7" s="916"/>
      <c r="N7" s="916"/>
      <c r="O7" s="916"/>
      <c r="P7" s="3643" t="s">
        <v>1679</v>
      </c>
      <c r="Q7" s="3653"/>
      <c r="R7" s="701" t="s">
        <v>14</v>
      </c>
      <c r="S7" s="702">
        <f t="shared" ref="S7:S15" si="0">F7</f>
        <v>0</v>
      </c>
      <c r="T7" s="701" t="s">
        <v>14</v>
      </c>
      <c r="U7" s="702">
        <f t="shared" ref="U7:U15" si="1">H7</f>
        <v>0</v>
      </c>
      <c r="V7" s="701" t="s">
        <v>14</v>
      </c>
      <c r="W7" s="702">
        <f t="shared" ref="W7:W15" si="2">J7</f>
        <v>0</v>
      </c>
      <c r="X7" s="703"/>
      <c r="Y7" s="3643" t="s">
        <v>1679</v>
      </c>
      <c r="Z7" s="364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3" t="s">
        <v>1682</v>
      </c>
      <c r="Q8" s="3644"/>
      <c r="R8" s="701" t="s">
        <v>14</v>
      </c>
      <c r="S8" s="702">
        <f t="shared" si="0"/>
        <v>100</v>
      </c>
      <c r="T8" s="701" t="s">
        <v>14</v>
      </c>
      <c r="U8" s="702">
        <f t="shared" si="1"/>
        <v>100</v>
      </c>
      <c r="V8" s="701" t="s">
        <v>14</v>
      </c>
      <c r="W8" s="702">
        <f t="shared" si="2"/>
        <v>100</v>
      </c>
      <c r="X8" s="703"/>
      <c r="Y8" s="3643" t="s">
        <v>1682</v>
      </c>
      <c r="Z8" s="364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2"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2"/>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2"/>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2"/>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2"/>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9" t="s">
        <v>1690</v>
      </c>
      <c r="Q15" s="1352" t="str">
        <f t="shared" si="6"/>
        <v>产业集聚程度</v>
      </c>
      <c r="R15" s="705" t="s">
        <v>14</v>
      </c>
      <c r="S15" s="706">
        <f t="shared" si="0"/>
        <v>100</v>
      </c>
      <c r="T15" s="705" t="s">
        <v>14</v>
      </c>
      <c r="U15" s="706">
        <f t="shared" si="1"/>
        <v>100</v>
      </c>
      <c r="V15" s="705" t="s">
        <v>14</v>
      </c>
      <c r="W15" s="706">
        <f t="shared" si="2"/>
        <v>100</v>
      </c>
      <c r="X15" s="1355"/>
      <c r="Y15" s="365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0"/>
      <c r="Q16" s="1352"/>
      <c r="R16" s="705"/>
      <c r="S16" s="706"/>
      <c r="T16" s="705"/>
      <c r="U16" s="706"/>
      <c r="V16" s="705"/>
      <c r="W16" s="706"/>
      <c r="X16" s="1355"/>
      <c r="Y16" s="366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0"/>
      <c r="Q17" s="1352" t="str">
        <f>B17</f>
        <v>交通便捷度</v>
      </c>
      <c r="R17" s="705" t="s">
        <v>14</v>
      </c>
      <c r="S17" s="706">
        <f>F17</f>
        <v>100</v>
      </c>
      <c r="T17" s="705" t="s">
        <v>14</v>
      </c>
      <c r="U17" s="706">
        <f>H17</f>
        <v>100</v>
      </c>
      <c r="V17" s="705" t="s">
        <v>14</v>
      </c>
      <c r="W17" s="706">
        <f>J17</f>
        <v>100</v>
      </c>
      <c r="X17" s="1355"/>
      <c r="Y17" s="366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0"/>
      <c r="Q18" s="1352"/>
      <c r="R18" s="705"/>
      <c r="S18" s="706"/>
      <c r="T18" s="705"/>
      <c r="U18" s="706"/>
      <c r="V18" s="705"/>
      <c r="W18" s="706"/>
      <c r="X18" s="1355"/>
      <c r="Y18" s="366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0"/>
      <c r="Q19" s="1352" t="str">
        <f>B19</f>
        <v>公共配套设施</v>
      </c>
      <c r="R19" s="705" t="s">
        <v>14</v>
      </c>
      <c r="S19" s="706">
        <f>F19</f>
        <v>100</v>
      </c>
      <c r="T19" s="705" t="s">
        <v>14</v>
      </c>
      <c r="U19" s="706">
        <f>H19</f>
        <v>100</v>
      </c>
      <c r="V19" s="705" t="s">
        <v>14</v>
      </c>
      <c r="W19" s="706">
        <f>J19</f>
        <v>100</v>
      </c>
      <c r="X19" s="1355"/>
      <c r="Y19" s="366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0"/>
      <c r="Q20" s="1352"/>
      <c r="R20" s="705"/>
      <c r="S20" s="706"/>
      <c r="T20" s="705"/>
      <c r="U20" s="706"/>
      <c r="V20" s="705"/>
      <c r="W20" s="706"/>
      <c r="X20" s="1355"/>
      <c r="Y20" s="366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0"/>
      <c r="Q21" s="1352" t="str">
        <f>B21</f>
        <v>基础设施水平</v>
      </c>
      <c r="R21" s="705" t="s">
        <v>14</v>
      </c>
      <c r="S21" s="706">
        <f>F21</f>
        <v>100</v>
      </c>
      <c r="T21" s="705" t="s">
        <v>14</v>
      </c>
      <c r="U21" s="706">
        <f>H21</f>
        <v>100</v>
      </c>
      <c r="V21" s="705" t="s">
        <v>14</v>
      </c>
      <c r="W21" s="706">
        <f>J21</f>
        <v>100</v>
      </c>
      <c r="X21" s="1355"/>
      <c r="Y21" s="366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0"/>
      <c r="Q22" s="1352"/>
      <c r="R22" s="705"/>
      <c r="S22" s="706"/>
      <c r="T22" s="705"/>
      <c r="U22" s="706"/>
      <c r="V22" s="705"/>
      <c r="W22" s="706"/>
      <c r="X22" s="1355"/>
      <c r="Y22" s="366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0"/>
      <c r="Q23" s="1352" t="str">
        <f>B23</f>
        <v>环境质量</v>
      </c>
      <c r="R23" s="705" t="s">
        <v>14</v>
      </c>
      <c r="S23" s="706">
        <f>F23</f>
        <v>100</v>
      </c>
      <c r="T23" s="705" t="s">
        <v>14</v>
      </c>
      <c r="U23" s="706">
        <f>H23</f>
        <v>100</v>
      </c>
      <c r="V23" s="705" t="s">
        <v>14</v>
      </c>
      <c r="W23" s="706">
        <f>J23</f>
        <v>100</v>
      </c>
      <c r="X23" s="1355"/>
      <c r="Y23" s="366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0"/>
      <c r="Q24" s="1352"/>
      <c r="R24" s="705"/>
      <c r="S24" s="706"/>
      <c r="T24" s="705"/>
      <c r="U24" s="706"/>
      <c r="V24" s="705"/>
      <c r="W24" s="706"/>
      <c r="X24" s="1355"/>
      <c r="Y24" s="366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0"/>
      <c r="Q25" s="1352">
        <f>B25</f>
        <v>111</v>
      </c>
      <c r="R25" s="705" t="s">
        <v>14</v>
      </c>
      <c r="S25" s="706">
        <f>F25</f>
        <v>100</v>
      </c>
      <c r="T25" s="705" t="s">
        <v>14</v>
      </c>
      <c r="U25" s="706">
        <f>H25</f>
        <v>100</v>
      </c>
      <c r="V25" s="705" t="s">
        <v>14</v>
      </c>
      <c r="W25" s="706">
        <f>J25</f>
        <v>100</v>
      </c>
      <c r="X25" s="1355"/>
      <c r="Y25" s="366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0"/>
      <c r="Q26" s="1352">
        <f t="shared" ref="Q26:Q40" si="11">B26</f>
        <v>111</v>
      </c>
      <c r="R26" s="705" t="s">
        <v>14</v>
      </c>
      <c r="S26" s="706">
        <f>F26</f>
        <v>100</v>
      </c>
      <c r="T26" s="705" t="s">
        <v>14</v>
      </c>
      <c r="U26" s="706">
        <f>H26</f>
        <v>100</v>
      </c>
      <c r="V26" s="705" t="s">
        <v>14</v>
      </c>
      <c r="W26" s="706">
        <f>J26</f>
        <v>100</v>
      </c>
      <c r="X26" s="1355"/>
      <c r="Y26" s="366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0"/>
      <c r="Q27" s="1343">
        <f t="shared" si="11"/>
        <v>111</v>
      </c>
      <c r="R27" s="701" t="s">
        <v>14</v>
      </c>
      <c r="S27" s="702">
        <f>F27</f>
        <v>100</v>
      </c>
      <c r="T27" s="701" t="s">
        <v>14</v>
      </c>
      <c r="U27" s="702">
        <f>H27</f>
        <v>100</v>
      </c>
      <c r="V27" s="701" t="s">
        <v>14</v>
      </c>
      <c r="W27" s="702">
        <f>J27</f>
        <v>100</v>
      </c>
      <c r="X27" s="703"/>
      <c r="Y27" s="366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0"/>
      <c r="Q28" s="1352">
        <f t="shared" si="11"/>
        <v>111</v>
      </c>
      <c r="R28" s="705" t="s">
        <v>14</v>
      </c>
      <c r="S28" s="706">
        <f t="shared" ref="S28:S40" si="12">F28</f>
        <v>100</v>
      </c>
      <c r="T28" s="705" t="s">
        <v>14</v>
      </c>
      <c r="U28" s="706">
        <f t="shared" ref="U28:U40" si="13">H28</f>
        <v>100</v>
      </c>
      <c r="V28" s="705" t="s">
        <v>14</v>
      </c>
      <c r="W28" s="706">
        <f t="shared" ref="W28:W40" si="14">J28</f>
        <v>100</v>
      </c>
      <c r="X28" s="1355"/>
      <c r="Y28" s="366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76" t="s">
        <v>1695</v>
      </c>
      <c r="Q29" s="1352" t="str">
        <f t="shared" si="11"/>
        <v>建筑类型</v>
      </c>
      <c r="R29" s="705" t="s">
        <v>14</v>
      </c>
      <c r="S29" s="706">
        <f t="shared" si="12"/>
        <v>100</v>
      </c>
      <c r="T29" s="705" t="s">
        <v>14</v>
      </c>
      <c r="U29" s="706">
        <f t="shared" si="13"/>
        <v>100</v>
      </c>
      <c r="V29" s="705" t="s">
        <v>14</v>
      </c>
      <c r="W29" s="706">
        <f t="shared" si="14"/>
        <v>100</v>
      </c>
      <c r="X29" s="1355"/>
      <c r="Y29" s="366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1"/>
      <c r="Q30" s="707" t="str">
        <f t="shared" si="11"/>
        <v>项目建筑规模</v>
      </c>
      <c r="R30" s="708" t="s">
        <v>14</v>
      </c>
      <c r="S30" s="709" t="e">
        <f t="shared" si="12"/>
        <v>#N/A</v>
      </c>
      <c r="T30" s="708" t="s">
        <v>14</v>
      </c>
      <c r="U30" s="709" t="e">
        <f t="shared" si="13"/>
        <v>#N/A</v>
      </c>
      <c r="V30" s="708" t="s">
        <v>14</v>
      </c>
      <c r="W30" s="709" t="e">
        <f t="shared" si="14"/>
        <v>#N/A</v>
      </c>
      <c r="X30" s="710"/>
      <c r="Y30" s="366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1"/>
      <c r="Q31" s="1352" t="str">
        <f t="shared" si="11"/>
        <v>建筑结构</v>
      </c>
      <c r="R31" s="705" t="s">
        <v>14</v>
      </c>
      <c r="S31" s="706">
        <f t="shared" si="12"/>
        <v>100</v>
      </c>
      <c r="T31" s="705" t="s">
        <v>14</v>
      </c>
      <c r="U31" s="706">
        <f t="shared" si="13"/>
        <v>100</v>
      </c>
      <c r="V31" s="705" t="s">
        <v>14</v>
      </c>
      <c r="W31" s="706">
        <f t="shared" si="14"/>
        <v>100</v>
      </c>
      <c r="X31" s="1355"/>
      <c r="Y31" s="366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1"/>
      <c r="Q32" s="1352" t="str">
        <f t="shared" si="11"/>
        <v>公共部分装修</v>
      </c>
      <c r="R32" s="705" t="s">
        <v>14</v>
      </c>
      <c r="S32" s="706">
        <f t="shared" si="12"/>
        <v>100</v>
      </c>
      <c r="T32" s="705" t="s">
        <v>14</v>
      </c>
      <c r="U32" s="706">
        <f t="shared" si="13"/>
        <v>100</v>
      </c>
      <c r="V32" s="705" t="s">
        <v>14</v>
      </c>
      <c r="W32" s="706">
        <f t="shared" si="14"/>
        <v>100</v>
      </c>
      <c r="X32" s="1355"/>
      <c r="Y32" s="366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1"/>
      <c r="Q33" s="1352" t="str">
        <f t="shared" si="11"/>
        <v>成新度</v>
      </c>
      <c r="R33" s="705" t="s">
        <v>14</v>
      </c>
      <c r="S33" s="706" t="e">
        <f t="shared" si="12"/>
        <v>#N/A</v>
      </c>
      <c r="T33" s="705" t="s">
        <v>14</v>
      </c>
      <c r="U33" s="706" t="e">
        <f t="shared" si="13"/>
        <v>#N/A</v>
      </c>
      <c r="V33" s="705" t="s">
        <v>14</v>
      </c>
      <c r="W33" s="706" t="e">
        <f t="shared" si="14"/>
        <v>#N/A</v>
      </c>
      <c r="X33" s="1355"/>
      <c r="Y33" s="366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1"/>
      <c r="Q34" s="1343" t="str">
        <f t="shared" si="11"/>
        <v>物业管理</v>
      </c>
      <c r="R34" s="701" t="s">
        <v>14</v>
      </c>
      <c r="S34" s="702">
        <f t="shared" si="12"/>
        <v>100</v>
      </c>
      <c r="T34" s="701" t="s">
        <v>14</v>
      </c>
      <c r="U34" s="702">
        <f t="shared" si="13"/>
        <v>100</v>
      </c>
      <c r="V34" s="701" t="s">
        <v>14</v>
      </c>
      <c r="W34" s="702">
        <f t="shared" si="14"/>
        <v>100</v>
      </c>
      <c r="X34" s="703"/>
      <c r="Y34" s="366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1" t="s">
        <v>1695</v>
      </c>
      <c r="Q35" s="1352" t="str">
        <f t="shared" si="11"/>
        <v>市政基础设施</v>
      </c>
      <c r="R35" s="705" t="s">
        <v>14</v>
      </c>
      <c r="S35" s="706">
        <f t="shared" si="12"/>
        <v>100</v>
      </c>
      <c r="T35" s="705" t="s">
        <v>14</v>
      </c>
      <c r="U35" s="706">
        <f t="shared" si="13"/>
        <v>100</v>
      </c>
      <c r="V35" s="705" t="s">
        <v>14</v>
      </c>
      <c r="W35" s="706">
        <f t="shared" si="14"/>
        <v>100</v>
      </c>
      <c r="X35" s="1355"/>
      <c r="Y35" s="366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1"/>
      <c r="Q36" s="1352" t="str">
        <f t="shared" si="11"/>
        <v>内部装修</v>
      </c>
      <c r="R36" s="705" t="s">
        <v>14</v>
      </c>
      <c r="S36" s="706">
        <f t="shared" si="12"/>
        <v>100</v>
      </c>
      <c r="T36" s="705" t="s">
        <v>14</v>
      </c>
      <c r="U36" s="706">
        <f t="shared" si="13"/>
        <v>100</v>
      </c>
      <c r="V36" s="705" t="s">
        <v>14</v>
      </c>
      <c r="W36" s="706">
        <f t="shared" si="14"/>
        <v>100</v>
      </c>
      <c r="X36" s="1355"/>
      <c r="Y36" s="366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1"/>
      <c r="Q37" s="1352" t="str">
        <f t="shared" si="11"/>
        <v>内部装修状况</v>
      </c>
      <c r="R37" s="705" t="s">
        <v>14</v>
      </c>
      <c r="S37" s="706">
        <f t="shared" si="12"/>
        <v>100</v>
      </c>
      <c r="T37" s="705" t="s">
        <v>14</v>
      </c>
      <c r="U37" s="706">
        <f t="shared" si="13"/>
        <v>100</v>
      </c>
      <c r="V37" s="705" t="s">
        <v>14</v>
      </c>
      <c r="W37" s="706">
        <f t="shared" si="14"/>
        <v>100</v>
      </c>
      <c r="X37" s="1355"/>
      <c r="Y37" s="36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1"/>
      <c r="Q38" s="707">
        <f t="shared" si="11"/>
        <v>111</v>
      </c>
      <c r="R38" s="708" t="s">
        <v>14</v>
      </c>
      <c r="S38" s="709">
        <f t="shared" si="12"/>
        <v>100</v>
      </c>
      <c r="T38" s="708" t="s">
        <v>14</v>
      </c>
      <c r="U38" s="709">
        <f t="shared" si="13"/>
        <v>100</v>
      </c>
      <c r="V38" s="708" t="s">
        <v>14</v>
      </c>
      <c r="W38" s="709">
        <f t="shared" si="14"/>
        <v>100</v>
      </c>
      <c r="X38" s="710"/>
      <c r="Y38" s="36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1"/>
      <c r="Q39" s="1352">
        <f t="shared" si="11"/>
        <v>111</v>
      </c>
      <c r="R39" s="705" t="s">
        <v>14</v>
      </c>
      <c r="S39" s="706">
        <f t="shared" si="12"/>
        <v>100</v>
      </c>
      <c r="T39" s="705" t="s">
        <v>14</v>
      </c>
      <c r="U39" s="706">
        <f t="shared" si="13"/>
        <v>100</v>
      </c>
      <c r="V39" s="705" t="s">
        <v>14</v>
      </c>
      <c r="W39" s="706">
        <f t="shared" si="14"/>
        <v>100</v>
      </c>
      <c r="X39" s="1355"/>
      <c r="Y39" s="36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42" t="str">
        <f>A41</f>
        <v>成交单价（元/平方米）</v>
      </c>
      <c r="Q41" s="3642"/>
      <c r="R41" s="3708">
        <f>E41</f>
        <v>0</v>
      </c>
      <c r="S41" s="3708"/>
      <c r="T41" s="3708">
        <f>G41</f>
        <v>0</v>
      </c>
      <c r="U41" s="3708"/>
      <c r="V41" s="3708">
        <f>I41</f>
        <v>0</v>
      </c>
      <c r="W41" s="3708"/>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2" t="str">
        <f>A42</f>
        <v>比较价值（元/平方米）</v>
      </c>
      <c r="Q42" s="3642"/>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639" t="s">
        <v>1769</v>
      </c>
      <c r="D4" s="3665"/>
      <c r="E4" s="3666" t="s">
        <v>1770</v>
      </c>
      <c r="F4" s="3667"/>
      <c r="G4" s="3639" t="s">
        <v>1771</v>
      </c>
      <c r="H4" s="3665"/>
      <c r="I4" s="3639" t="s">
        <v>1772</v>
      </c>
      <c r="J4" s="3665"/>
      <c r="K4" s="559" t="s">
        <v>1773</v>
      </c>
      <c r="L4" s="2715"/>
      <c r="M4" s="2716"/>
      <c r="N4" s="2716"/>
      <c r="O4" s="2716"/>
      <c r="P4" s="3668" t="s">
        <v>1774</v>
      </c>
      <c r="Q4" s="3669"/>
      <c r="R4" s="3645" t="s">
        <v>1770</v>
      </c>
      <c r="S4" s="3646"/>
      <c r="T4" s="3645" t="s">
        <v>1771</v>
      </c>
      <c r="U4" s="3646"/>
      <c r="V4" s="3658" t="s">
        <v>1772</v>
      </c>
      <c r="W4" s="3658"/>
      <c r="X4" s="1355"/>
      <c r="Y4" s="3645" t="s">
        <v>1774</v>
      </c>
      <c r="Z4" s="3646"/>
      <c r="AA4" s="3662" t="s">
        <v>1770</v>
      </c>
      <c r="AB4" s="3663" t="s">
        <v>1771</v>
      </c>
      <c r="AC4" s="3662" t="s">
        <v>1772</v>
      </c>
    </row>
    <row r="5" spans="1:29" ht="15">
      <c r="A5" s="358"/>
      <c r="B5" s="359"/>
      <c r="C5" s="3649" t="s">
        <v>1672</v>
      </c>
      <c r="D5" s="3650"/>
      <c r="E5" s="3674" t="s">
        <v>1673</v>
      </c>
      <c r="F5" s="3675"/>
      <c r="G5" s="3649" t="s">
        <v>1674</v>
      </c>
      <c r="H5" s="3650"/>
      <c r="I5" s="3649" t="s">
        <v>1675</v>
      </c>
      <c r="J5" s="3650"/>
      <c r="K5" s="559"/>
      <c r="L5" s="2715"/>
      <c r="M5" s="2716"/>
      <c r="N5" s="2716"/>
      <c r="O5" s="2716"/>
      <c r="P5" s="3670"/>
      <c r="Q5" s="3671"/>
      <c r="R5" s="3647"/>
      <c r="S5" s="3648"/>
      <c r="T5" s="3647"/>
      <c r="U5" s="3648"/>
      <c r="V5" s="3658"/>
      <c r="W5" s="3658"/>
      <c r="X5" s="1355"/>
      <c r="Y5" s="3647"/>
      <c r="Z5" s="3648"/>
      <c r="AA5" s="3663"/>
      <c r="AB5" s="3663"/>
      <c r="AC5" s="3663"/>
    </row>
    <row r="6" spans="1:29" ht="15.75" thickBot="1">
      <c r="A6" s="360"/>
      <c r="B6" s="361"/>
      <c r="C6" s="3715" t="s">
        <v>1676</v>
      </c>
      <c r="D6" s="3716"/>
      <c r="E6" s="3717" t="s">
        <v>1676</v>
      </c>
      <c r="F6" s="3718"/>
      <c r="G6" s="3715" t="s">
        <v>1676</v>
      </c>
      <c r="H6" s="3716"/>
      <c r="I6" s="3715" t="s">
        <v>1676</v>
      </c>
      <c r="J6" s="3716"/>
      <c r="K6" s="559" t="s">
        <v>1677</v>
      </c>
      <c r="L6" s="2715"/>
      <c r="M6" s="2716"/>
      <c r="N6" s="2716"/>
      <c r="O6" s="2716"/>
      <c r="P6" s="3672"/>
      <c r="Q6" s="3673"/>
      <c r="R6" s="3647"/>
      <c r="S6" s="3648"/>
      <c r="T6" s="3656"/>
      <c r="U6" s="3657"/>
      <c r="V6" s="3658"/>
      <c r="W6" s="3658"/>
      <c r="X6" s="1355"/>
      <c r="Y6" s="3656"/>
      <c r="Z6" s="3657"/>
      <c r="AA6" s="3664"/>
      <c r="AB6" s="3664"/>
      <c r="AC6" s="3664"/>
    </row>
    <row r="7" spans="1:29" s="108" customFormat="1" ht="15.75" thickBot="1">
      <c r="A7" s="362" t="s">
        <v>1678</v>
      </c>
      <c r="B7" s="363"/>
      <c r="C7" s="364">
        <f>'数据-取费表'!B2</f>
        <v>45026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3" t="s">
        <v>1679</v>
      </c>
      <c r="Q7" s="3653"/>
      <c r="R7" s="701" t="s">
        <v>14</v>
      </c>
      <c r="S7" s="702">
        <f t="shared" ref="S7:S14" si="0">F7</f>
        <v>0</v>
      </c>
      <c r="T7" s="701" t="s">
        <v>14</v>
      </c>
      <c r="U7" s="702">
        <f t="shared" ref="U7:U14" si="1">H7</f>
        <v>0</v>
      </c>
      <c r="V7" s="701" t="s">
        <v>14</v>
      </c>
      <c r="W7" s="702">
        <f t="shared" ref="W7:W14" si="2">J7</f>
        <v>0</v>
      </c>
      <c r="X7" s="703"/>
      <c r="Y7" s="3643" t="s">
        <v>1679</v>
      </c>
      <c r="Z7" s="364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3" t="s">
        <v>1682</v>
      </c>
      <c r="Q8" s="3644"/>
      <c r="R8" s="701" t="s">
        <v>14</v>
      </c>
      <c r="S8" s="702">
        <f t="shared" si="0"/>
        <v>100</v>
      </c>
      <c r="T8" s="701" t="s">
        <v>14</v>
      </c>
      <c r="U8" s="702">
        <f t="shared" si="1"/>
        <v>100</v>
      </c>
      <c r="V8" s="701" t="s">
        <v>14</v>
      </c>
      <c r="W8" s="702">
        <f t="shared" si="2"/>
        <v>100</v>
      </c>
      <c r="X8" s="703"/>
      <c r="Y8" s="3643" t="s">
        <v>1682</v>
      </c>
      <c r="Z8" s="364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2" t="s">
        <v>1685</v>
      </c>
      <c r="Q9" s="1343" t="str">
        <f t="shared" ref="Q9:Q14" si="6">B9</f>
        <v>用途</v>
      </c>
      <c r="R9" s="701" t="s">
        <v>14</v>
      </c>
      <c r="S9" s="702">
        <f t="shared" si="0"/>
        <v>100</v>
      </c>
      <c r="T9" s="701" t="s">
        <v>14</v>
      </c>
      <c r="U9" s="702">
        <f t="shared" si="1"/>
        <v>100</v>
      </c>
      <c r="V9" s="701" t="s">
        <v>14</v>
      </c>
      <c r="W9" s="702">
        <f t="shared" si="2"/>
        <v>100</v>
      </c>
      <c r="X9" s="703"/>
      <c r="Y9" s="3543"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2"/>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2"/>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2"/>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9" t="s">
        <v>1690</v>
      </c>
      <c r="Q14" s="1352" t="str">
        <f t="shared" si="6"/>
        <v>交通便捷度</v>
      </c>
      <c r="R14" s="705" t="s">
        <v>14</v>
      </c>
      <c r="S14" s="706">
        <f t="shared" si="0"/>
        <v>100</v>
      </c>
      <c r="T14" s="705" t="s">
        <v>14</v>
      </c>
      <c r="U14" s="706">
        <f t="shared" si="1"/>
        <v>100</v>
      </c>
      <c r="V14" s="705" t="s">
        <v>14</v>
      </c>
      <c r="W14" s="706">
        <f t="shared" si="2"/>
        <v>100</v>
      </c>
      <c r="X14" s="1355"/>
      <c r="Y14" s="365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0"/>
      <c r="Q15" s="1352"/>
      <c r="R15" s="705"/>
      <c r="S15" s="706"/>
      <c r="T15" s="705"/>
      <c r="U15" s="706"/>
      <c r="V15" s="705"/>
      <c r="W15" s="706"/>
      <c r="X15" s="1355"/>
      <c r="Y15" s="3660"/>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0"/>
      <c r="Q16" s="1352" t="str">
        <f>B16</f>
        <v>公共配套设施</v>
      </c>
      <c r="R16" s="705" t="s">
        <v>14</v>
      </c>
      <c r="S16" s="706">
        <f>F16</f>
        <v>100</v>
      </c>
      <c r="T16" s="705" t="s">
        <v>14</v>
      </c>
      <c r="U16" s="706">
        <f>H16</f>
        <v>100</v>
      </c>
      <c r="V16" s="705" t="s">
        <v>14</v>
      </c>
      <c r="W16" s="706">
        <f>J16</f>
        <v>100</v>
      </c>
      <c r="X16" s="1355"/>
      <c r="Y16" s="366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0"/>
      <c r="Q17" s="1352"/>
      <c r="R17" s="705"/>
      <c r="S17" s="706"/>
      <c r="T17" s="705"/>
      <c r="U17" s="706"/>
      <c r="V17" s="705"/>
      <c r="W17" s="706"/>
      <c r="X17" s="1355"/>
      <c r="Y17" s="3660"/>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0"/>
      <c r="Q18" s="1352" t="str">
        <f>B18</f>
        <v>基础设施水平</v>
      </c>
      <c r="R18" s="705" t="s">
        <v>14</v>
      </c>
      <c r="S18" s="706">
        <f>F18</f>
        <v>100</v>
      </c>
      <c r="T18" s="705" t="s">
        <v>14</v>
      </c>
      <c r="U18" s="706">
        <f>H18</f>
        <v>100</v>
      </c>
      <c r="V18" s="705" t="s">
        <v>14</v>
      </c>
      <c r="W18" s="706">
        <f>J18</f>
        <v>100</v>
      </c>
      <c r="X18" s="1355"/>
      <c r="Y18" s="366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0"/>
      <c r="Q19" s="1352"/>
      <c r="R19" s="705"/>
      <c r="S19" s="706"/>
      <c r="T19" s="705"/>
      <c r="U19" s="706"/>
      <c r="V19" s="705"/>
      <c r="W19" s="706"/>
      <c r="X19" s="1355"/>
      <c r="Y19" s="3660"/>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0"/>
      <c r="Q20" s="1352" t="str">
        <f>B20</f>
        <v>自然及人文环境</v>
      </c>
      <c r="R20" s="705" t="s">
        <v>14</v>
      </c>
      <c r="S20" s="706">
        <f>F20</f>
        <v>100</v>
      </c>
      <c r="T20" s="705" t="s">
        <v>14</v>
      </c>
      <c r="U20" s="706">
        <f>H20</f>
        <v>100</v>
      </c>
      <c r="V20" s="705" t="s">
        <v>14</v>
      </c>
      <c r="W20" s="706">
        <f>J20</f>
        <v>100</v>
      </c>
      <c r="X20" s="1355"/>
      <c r="Y20" s="366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0"/>
      <c r="Q21" s="1352"/>
      <c r="R21" s="705"/>
      <c r="S21" s="706"/>
      <c r="T21" s="705"/>
      <c r="U21" s="706"/>
      <c r="V21" s="705"/>
      <c r="W21" s="706"/>
      <c r="X21" s="1355"/>
      <c r="Y21" s="366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0"/>
      <c r="Q22" s="1352" t="str">
        <f>B22</f>
        <v>楼层</v>
      </c>
      <c r="R22" s="705" t="s">
        <v>14</v>
      </c>
      <c r="S22" s="706">
        <f>F22</f>
        <v>100</v>
      </c>
      <c r="T22" s="705" t="s">
        <v>14</v>
      </c>
      <c r="U22" s="706">
        <f>H22</f>
        <v>100</v>
      </c>
      <c r="V22" s="705" t="s">
        <v>14</v>
      </c>
      <c r="W22" s="706">
        <f>J22</f>
        <v>100</v>
      </c>
      <c r="X22" s="1355"/>
      <c r="Y22" s="366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0"/>
      <c r="Q23" s="1352">
        <f>B23</f>
        <v>111</v>
      </c>
      <c r="R23" s="705" t="s">
        <v>14</v>
      </c>
      <c r="S23" s="706">
        <f>F23</f>
        <v>100</v>
      </c>
      <c r="T23" s="705" t="s">
        <v>14</v>
      </c>
      <c r="U23" s="706">
        <f>H23</f>
        <v>100</v>
      </c>
      <c r="V23" s="705" t="s">
        <v>14</v>
      </c>
      <c r="W23" s="706">
        <f>J23</f>
        <v>100</v>
      </c>
      <c r="X23" s="1355"/>
      <c r="Y23" s="366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0"/>
      <c r="Q24" s="1352">
        <f t="shared" ref="Q24:Q36" si="11">B24</f>
        <v>111</v>
      </c>
      <c r="R24" s="705" t="s">
        <v>14</v>
      </c>
      <c r="S24" s="706">
        <f>F24</f>
        <v>100</v>
      </c>
      <c r="T24" s="705" t="s">
        <v>14</v>
      </c>
      <c r="U24" s="706">
        <f>H24</f>
        <v>100</v>
      </c>
      <c r="V24" s="705" t="s">
        <v>14</v>
      </c>
      <c r="W24" s="706">
        <f>J24</f>
        <v>100</v>
      </c>
      <c r="X24" s="1355"/>
      <c r="Y24" s="366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0"/>
      <c r="Q25" s="1343">
        <f t="shared" si="11"/>
        <v>111</v>
      </c>
      <c r="R25" s="701" t="s">
        <v>14</v>
      </c>
      <c r="S25" s="702">
        <f>F25</f>
        <v>100</v>
      </c>
      <c r="T25" s="701" t="s">
        <v>14</v>
      </c>
      <c r="U25" s="702">
        <f>H25</f>
        <v>100</v>
      </c>
      <c r="V25" s="701" t="s">
        <v>14</v>
      </c>
      <c r="W25" s="702">
        <f>J25</f>
        <v>100</v>
      </c>
      <c r="X25" s="703"/>
      <c r="Y25" s="366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7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1"/>
      <c r="Q27" s="707" t="str">
        <f t="shared" si="11"/>
        <v>项目停车位配比</v>
      </c>
      <c r="R27" s="708" t="s">
        <v>14</v>
      </c>
      <c r="S27" s="709">
        <f t="shared" si="12"/>
        <v>100</v>
      </c>
      <c r="T27" s="708" t="s">
        <v>14</v>
      </c>
      <c r="U27" s="709">
        <f t="shared" si="13"/>
        <v>100</v>
      </c>
      <c r="V27" s="708" t="s">
        <v>14</v>
      </c>
      <c r="W27" s="709">
        <f t="shared" si="14"/>
        <v>100</v>
      </c>
      <c r="X27" s="710"/>
      <c r="Y27" s="366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1"/>
      <c r="Q28" s="1352" t="str">
        <f t="shared" si="11"/>
        <v>公共部分装修</v>
      </c>
      <c r="R28" s="705" t="s">
        <v>14</v>
      </c>
      <c r="S28" s="706">
        <f t="shared" si="12"/>
        <v>100</v>
      </c>
      <c r="T28" s="705" t="s">
        <v>14</v>
      </c>
      <c r="U28" s="706">
        <f t="shared" si="13"/>
        <v>100</v>
      </c>
      <c r="V28" s="705" t="s">
        <v>14</v>
      </c>
      <c r="W28" s="706">
        <f t="shared" si="14"/>
        <v>100</v>
      </c>
      <c r="X28" s="1355"/>
      <c r="Y28" s="366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1"/>
      <c r="Q29" s="1352" t="str">
        <f t="shared" si="11"/>
        <v>成新率</v>
      </c>
      <c r="R29" s="705" t="s">
        <v>14</v>
      </c>
      <c r="S29" s="706" t="e">
        <f t="shared" si="12"/>
        <v>#N/A</v>
      </c>
      <c r="T29" s="705" t="s">
        <v>14</v>
      </c>
      <c r="U29" s="706" t="e">
        <f t="shared" si="13"/>
        <v>#N/A</v>
      </c>
      <c r="V29" s="705" t="s">
        <v>14</v>
      </c>
      <c r="W29" s="706" t="e">
        <f t="shared" si="14"/>
        <v>#N/A</v>
      </c>
      <c r="X29" s="1355"/>
      <c r="Y29" s="366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1"/>
      <c r="Q30" s="1352" t="str">
        <f t="shared" si="11"/>
        <v>物业等级</v>
      </c>
      <c r="R30" s="705" t="s">
        <v>14</v>
      </c>
      <c r="S30" s="706">
        <f t="shared" si="12"/>
        <v>100</v>
      </c>
      <c r="T30" s="705" t="s">
        <v>14</v>
      </c>
      <c r="U30" s="706">
        <f t="shared" si="13"/>
        <v>100</v>
      </c>
      <c r="V30" s="705" t="s">
        <v>14</v>
      </c>
      <c r="W30" s="706">
        <f t="shared" si="14"/>
        <v>100</v>
      </c>
      <c r="X30" s="1355"/>
      <c r="Y30" s="366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1"/>
      <c r="Q31" s="1343" t="str">
        <f t="shared" si="11"/>
        <v>停车位面积</v>
      </c>
      <c r="R31" s="701" t="s">
        <v>14</v>
      </c>
      <c r="S31" s="702" t="e">
        <f t="shared" si="12"/>
        <v>#N/A</v>
      </c>
      <c r="T31" s="701" t="s">
        <v>14</v>
      </c>
      <c r="U31" s="702" t="e">
        <f t="shared" si="13"/>
        <v>#N/A</v>
      </c>
      <c r="V31" s="701" t="s">
        <v>14</v>
      </c>
      <c r="W31" s="702" t="e">
        <f t="shared" si="14"/>
        <v>#N/A</v>
      </c>
      <c r="X31" s="703"/>
      <c r="Y31" s="366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1" t="s">
        <v>1695</v>
      </c>
      <c r="Q32" s="1352" t="str">
        <f t="shared" si="11"/>
        <v>车位类型</v>
      </c>
      <c r="R32" s="705" t="s">
        <v>14</v>
      </c>
      <c r="S32" s="706">
        <f t="shared" si="12"/>
        <v>100</v>
      </c>
      <c r="T32" s="705" t="s">
        <v>14</v>
      </c>
      <c r="U32" s="706">
        <f t="shared" si="13"/>
        <v>100</v>
      </c>
      <c r="V32" s="705" t="s">
        <v>14</v>
      </c>
      <c r="W32" s="706">
        <f t="shared" si="14"/>
        <v>100</v>
      </c>
      <c r="X32" s="1355"/>
      <c r="Y32" s="366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1"/>
      <c r="Q33" s="1352" t="str">
        <f t="shared" si="11"/>
        <v>是否直接入户</v>
      </c>
      <c r="R33" s="705" t="s">
        <v>14</v>
      </c>
      <c r="S33" s="706">
        <f t="shared" si="12"/>
        <v>100</v>
      </c>
      <c r="T33" s="705" t="s">
        <v>14</v>
      </c>
      <c r="U33" s="706">
        <f t="shared" si="13"/>
        <v>100</v>
      </c>
      <c r="V33" s="705" t="s">
        <v>14</v>
      </c>
      <c r="W33" s="706">
        <f t="shared" si="14"/>
        <v>100</v>
      </c>
      <c r="X33" s="1355"/>
      <c r="Y33" s="36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1"/>
      <c r="Q35" s="707">
        <f t="shared" si="11"/>
        <v>111</v>
      </c>
      <c r="R35" s="708" t="s">
        <v>14</v>
      </c>
      <c r="S35" s="709">
        <f t="shared" si="12"/>
        <v>100</v>
      </c>
      <c r="T35" s="708" t="s">
        <v>14</v>
      </c>
      <c r="U35" s="709">
        <f t="shared" si="13"/>
        <v>100</v>
      </c>
      <c r="V35" s="708" t="s">
        <v>14</v>
      </c>
      <c r="W35" s="709">
        <f t="shared" si="14"/>
        <v>100</v>
      </c>
      <c r="X35" s="710"/>
      <c r="Y35" s="36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1"/>
      <c r="Q36" s="1352">
        <f t="shared" si="11"/>
        <v>111</v>
      </c>
      <c r="R36" s="705" t="s">
        <v>14</v>
      </c>
      <c r="S36" s="706">
        <f t="shared" si="12"/>
        <v>100</v>
      </c>
      <c r="T36" s="705" t="s">
        <v>14</v>
      </c>
      <c r="U36" s="706">
        <f t="shared" si="13"/>
        <v>100</v>
      </c>
      <c r="V36" s="705" t="s">
        <v>14</v>
      </c>
      <c r="W36" s="706">
        <f t="shared" si="14"/>
        <v>100</v>
      </c>
      <c r="X36" s="1355"/>
      <c r="Y36" s="3661"/>
      <c r="Z36" s="1356">
        <f t="shared" si="15"/>
        <v>111</v>
      </c>
      <c r="AA36" s="1353">
        <f t="shared" si="3"/>
        <v>1</v>
      </c>
      <c r="AB36" s="1353">
        <f t="shared" si="4"/>
        <v>1</v>
      </c>
      <c r="AC36" s="1353">
        <f t="shared" si="5"/>
        <v>1</v>
      </c>
    </row>
    <row r="37" spans="1:29" ht="15">
      <c r="A37" s="430" t="s">
        <v>1843</v>
      </c>
      <c r="B37" s="1973" t="s">
        <v>3360</v>
      </c>
      <c r="C37" s="1154" t="s">
        <v>0</v>
      </c>
      <c r="D37" s="1155"/>
      <c r="E37" s="1156"/>
      <c r="F37" s="1157"/>
      <c r="G37" s="1158"/>
      <c r="H37" s="1159"/>
      <c r="I37" s="1156"/>
      <c r="J37" s="1159"/>
      <c r="K37" s="568"/>
      <c r="L37" s="2724"/>
      <c r="M37" s="2725"/>
      <c r="N37" s="2716"/>
      <c r="O37" s="2725"/>
      <c r="P37" s="3642" t="str">
        <f>A37</f>
        <v>成交单价</v>
      </c>
      <c r="Q37" s="3642"/>
      <c r="R37" s="3708">
        <f>E37</f>
        <v>0</v>
      </c>
      <c r="S37" s="3708"/>
      <c r="T37" s="3708">
        <f>G37</f>
        <v>0</v>
      </c>
      <c r="U37" s="3708"/>
      <c r="V37" s="3708">
        <f>I37</f>
        <v>0</v>
      </c>
      <c r="W37" s="3708"/>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42" t="str">
        <f>A38</f>
        <v>比较价值（元/平方米）</v>
      </c>
      <c r="Q38" s="3642"/>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677" t="str">
        <f>A39</f>
        <v>估价对象XX用房的比较价值（楼面单价，元/平方米）</v>
      </c>
      <c r="Q39" s="3678"/>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39" t="s">
        <v>1769</v>
      </c>
      <c r="D4" s="3665"/>
      <c r="E4" s="3666" t="s">
        <v>1770</v>
      </c>
      <c r="F4" s="3667"/>
      <c r="G4" s="3639" t="s">
        <v>1771</v>
      </c>
      <c r="H4" s="3665"/>
      <c r="I4" s="3639" t="s">
        <v>1772</v>
      </c>
      <c r="J4" s="3665"/>
      <c r="K4" s="559" t="s">
        <v>1773</v>
      </c>
      <c r="L4" s="2715"/>
      <c r="M4" s="2716"/>
      <c r="N4" s="2716"/>
      <c r="O4" s="2716"/>
      <c r="P4" s="3668" t="s">
        <v>1774</v>
      </c>
      <c r="Q4" s="3669"/>
      <c r="R4" s="3645" t="s">
        <v>1770</v>
      </c>
      <c r="S4" s="3646"/>
      <c r="T4" s="3645" t="s">
        <v>1771</v>
      </c>
      <c r="U4" s="3646"/>
      <c r="V4" s="3658" t="s">
        <v>1772</v>
      </c>
      <c r="W4" s="3658"/>
      <c r="X4" s="1355"/>
      <c r="Y4" s="3645" t="s">
        <v>1774</v>
      </c>
      <c r="Z4" s="3646"/>
      <c r="AA4" s="3662" t="s">
        <v>1770</v>
      </c>
      <c r="AB4" s="3663" t="s">
        <v>1771</v>
      </c>
      <c r="AC4" s="3662" t="s">
        <v>1772</v>
      </c>
    </row>
    <row r="5" spans="1:29" ht="15">
      <c r="A5" s="358"/>
      <c r="B5" s="359"/>
      <c r="C5" s="3649" t="s">
        <v>1672</v>
      </c>
      <c r="D5" s="3650"/>
      <c r="E5" s="3674" t="s">
        <v>1673</v>
      </c>
      <c r="F5" s="3675"/>
      <c r="G5" s="3649" t="s">
        <v>1674</v>
      </c>
      <c r="H5" s="3650"/>
      <c r="I5" s="3649" t="s">
        <v>1675</v>
      </c>
      <c r="J5" s="3650"/>
      <c r="K5" s="559"/>
      <c r="L5" s="2715"/>
      <c r="M5" s="2716"/>
      <c r="N5" s="2716"/>
      <c r="O5" s="2716"/>
      <c r="P5" s="3670"/>
      <c r="Q5" s="3671"/>
      <c r="R5" s="3647"/>
      <c r="S5" s="3648"/>
      <c r="T5" s="3647"/>
      <c r="U5" s="3648"/>
      <c r="V5" s="3658"/>
      <c r="W5" s="3658"/>
      <c r="X5" s="1355"/>
      <c r="Y5" s="3647"/>
      <c r="Z5" s="3648"/>
      <c r="AA5" s="3663"/>
      <c r="AB5" s="3663"/>
      <c r="AC5" s="3663"/>
    </row>
    <row r="6" spans="1:29" ht="15.75" thickBot="1">
      <c r="A6" s="360"/>
      <c r="B6" s="361"/>
      <c r="C6" s="3715" t="s">
        <v>1676</v>
      </c>
      <c r="D6" s="3716"/>
      <c r="E6" s="3717" t="s">
        <v>1676</v>
      </c>
      <c r="F6" s="3718"/>
      <c r="G6" s="3715" t="s">
        <v>1676</v>
      </c>
      <c r="H6" s="3716"/>
      <c r="I6" s="3715" t="s">
        <v>1676</v>
      </c>
      <c r="J6" s="3716"/>
      <c r="K6" s="559" t="s">
        <v>1677</v>
      </c>
      <c r="L6" s="2715"/>
      <c r="M6" s="2716"/>
      <c r="N6" s="2716"/>
      <c r="O6" s="2716"/>
      <c r="P6" s="3672"/>
      <c r="Q6" s="3673"/>
      <c r="R6" s="3647"/>
      <c r="S6" s="3648"/>
      <c r="T6" s="3656"/>
      <c r="U6" s="3657"/>
      <c r="V6" s="3658"/>
      <c r="W6" s="3658"/>
      <c r="X6" s="1355"/>
      <c r="Y6" s="3656"/>
      <c r="Z6" s="3657"/>
      <c r="AA6" s="3664"/>
      <c r="AB6" s="3664"/>
      <c r="AC6" s="3664"/>
    </row>
    <row r="7" spans="1:29" s="108" customFormat="1" ht="15.75" thickBot="1">
      <c r="A7" s="362" t="s">
        <v>1678</v>
      </c>
      <c r="B7" s="363"/>
      <c r="C7" s="364">
        <f>'数据-取费表'!B2</f>
        <v>45026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3" t="s">
        <v>1679</v>
      </c>
      <c r="Q7" s="3653"/>
      <c r="R7" s="701" t="s">
        <v>14</v>
      </c>
      <c r="S7" s="702">
        <f t="shared" ref="S7:S14" si="0">F7</f>
        <v>0</v>
      </c>
      <c r="T7" s="701" t="s">
        <v>14</v>
      </c>
      <c r="U7" s="702">
        <f t="shared" ref="U7:U14" si="1">H7</f>
        <v>0</v>
      </c>
      <c r="V7" s="701" t="s">
        <v>14</v>
      </c>
      <c r="W7" s="702">
        <f t="shared" ref="W7:W14" si="2">J7</f>
        <v>0</v>
      </c>
      <c r="X7" s="703"/>
      <c r="Y7" s="3643" t="s">
        <v>1679</v>
      </c>
      <c r="Z7" s="364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3" t="s">
        <v>1682</v>
      </c>
      <c r="Q8" s="3644"/>
      <c r="R8" s="701" t="s">
        <v>14</v>
      </c>
      <c r="S8" s="702">
        <f t="shared" si="0"/>
        <v>100</v>
      </c>
      <c r="T8" s="701" t="s">
        <v>14</v>
      </c>
      <c r="U8" s="702">
        <f t="shared" si="1"/>
        <v>100</v>
      </c>
      <c r="V8" s="701" t="s">
        <v>14</v>
      </c>
      <c r="W8" s="702">
        <f t="shared" si="2"/>
        <v>100</v>
      </c>
      <c r="X8" s="703"/>
      <c r="Y8" s="3643" t="s">
        <v>1682</v>
      </c>
      <c r="Z8" s="364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2" t="s">
        <v>1685</v>
      </c>
      <c r="Q9" s="1343" t="str">
        <f t="shared" ref="Q9:Q14" si="6">B9</f>
        <v>用途</v>
      </c>
      <c r="R9" s="701" t="s">
        <v>14</v>
      </c>
      <c r="S9" s="702">
        <f t="shared" si="0"/>
        <v>100</v>
      </c>
      <c r="T9" s="701" t="s">
        <v>14</v>
      </c>
      <c r="U9" s="702">
        <f t="shared" si="1"/>
        <v>100</v>
      </c>
      <c r="V9" s="701" t="s">
        <v>14</v>
      </c>
      <c r="W9" s="702">
        <f t="shared" si="2"/>
        <v>100</v>
      </c>
      <c r="X9" s="703"/>
      <c r="Y9" s="3543"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2"/>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2"/>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2"/>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9" t="s">
        <v>1690</v>
      </c>
      <c r="Q14" s="1352" t="str">
        <f t="shared" si="6"/>
        <v>交通便捷度</v>
      </c>
      <c r="R14" s="705" t="s">
        <v>14</v>
      </c>
      <c r="S14" s="706">
        <f t="shared" si="0"/>
        <v>100</v>
      </c>
      <c r="T14" s="705" t="s">
        <v>14</v>
      </c>
      <c r="U14" s="706">
        <f t="shared" si="1"/>
        <v>100</v>
      </c>
      <c r="V14" s="705" t="s">
        <v>14</v>
      </c>
      <c r="W14" s="706">
        <f t="shared" si="2"/>
        <v>100</v>
      </c>
      <c r="X14" s="1355"/>
      <c r="Y14" s="365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0"/>
      <c r="Q15" s="1352"/>
      <c r="R15" s="705"/>
      <c r="S15" s="706"/>
      <c r="T15" s="705"/>
      <c r="U15" s="706"/>
      <c r="V15" s="705"/>
      <c r="W15" s="706"/>
      <c r="X15" s="1355"/>
      <c r="Y15" s="3660"/>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0"/>
      <c r="Q16" s="1352" t="str">
        <f>B16</f>
        <v>公共配套设施</v>
      </c>
      <c r="R16" s="705" t="s">
        <v>14</v>
      </c>
      <c r="S16" s="706">
        <f>F16</f>
        <v>100</v>
      </c>
      <c r="T16" s="705" t="s">
        <v>14</v>
      </c>
      <c r="U16" s="706">
        <f>H16</f>
        <v>100</v>
      </c>
      <c r="V16" s="705" t="s">
        <v>14</v>
      </c>
      <c r="W16" s="706">
        <f>J16</f>
        <v>100</v>
      </c>
      <c r="X16" s="1355"/>
      <c r="Y16" s="366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0"/>
      <c r="Q17" s="1352"/>
      <c r="R17" s="705"/>
      <c r="S17" s="706"/>
      <c r="T17" s="705"/>
      <c r="U17" s="706"/>
      <c r="V17" s="705"/>
      <c r="W17" s="706"/>
      <c r="X17" s="1355"/>
      <c r="Y17" s="3660"/>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0"/>
      <c r="Q18" s="1352" t="str">
        <f>B18</f>
        <v>基础设施水平</v>
      </c>
      <c r="R18" s="705" t="s">
        <v>14</v>
      </c>
      <c r="S18" s="706">
        <f>F18</f>
        <v>100</v>
      </c>
      <c r="T18" s="705" t="s">
        <v>14</v>
      </c>
      <c r="U18" s="706">
        <f>H18</f>
        <v>100</v>
      </c>
      <c r="V18" s="705" t="s">
        <v>14</v>
      </c>
      <c r="W18" s="706">
        <f>J18</f>
        <v>100</v>
      </c>
      <c r="X18" s="1355"/>
      <c r="Y18" s="366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0"/>
      <c r="Q19" s="1352"/>
      <c r="R19" s="705"/>
      <c r="S19" s="706"/>
      <c r="T19" s="705"/>
      <c r="U19" s="706"/>
      <c r="V19" s="705"/>
      <c r="W19" s="706"/>
      <c r="X19" s="1355"/>
      <c r="Y19" s="3660"/>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0"/>
      <c r="Q20" s="1352" t="str">
        <f>B20</f>
        <v>自然及人文环境</v>
      </c>
      <c r="R20" s="705" t="s">
        <v>14</v>
      </c>
      <c r="S20" s="706">
        <f>F20</f>
        <v>100</v>
      </c>
      <c r="T20" s="705" t="s">
        <v>14</v>
      </c>
      <c r="U20" s="706">
        <f>H20</f>
        <v>100</v>
      </c>
      <c r="V20" s="705" t="s">
        <v>14</v>
      </c>
      <c r="W20" s="706">
        <f>J20</f>
        <v>100</v>
      </c>
      <c r="X20" s="1355"/>
      <c r="Y20" s="366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0"/>
      <c r="Q21" s="1352"/>
      <c r="R21" s="705"/>
      <c r="S21" s="706"/>
      <c r="T21" s="705"/>
      <c r="U21" s="706"/>
      <c r="V21" s="705"/>
      <c r="W21" s="706"/>
      <c r="X21" s="1355"/>
      <c r="Y21" s="366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0"/>
      <c r="Q22" s="1352" t="str">
        <f>B22</f>
        <v>楼层</v>
      </c>
      <c r="R22" s="705" t="s">
        <v>14</v>
      </c>
      <c r="S22" s="706">
        <f>F22</f>
        <v>100</v>
      </c>
      <c r="T22" s="705" t="s">
        <v>14</v>
      </c>
      <c r="U22" s="706">
        <f>H22</f>
        <v>100</v>
      </c>
      <c r="V22" s="705" t="s">
        <v>14</v>
      </c>
      <c r="W22" s="706">
        <f>J22</f>
        <v>100</v>
      </c>
      <c r="X22" s="1355"/>
      <c r="Y22" s="366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0"/>
      <c r="Q23" s="1352">
        <f>B23</f>
        <v>111</v>
      </c>
      <c r="R23" s="705" t="s">
        <v>14</v>
      </c>
      <c r="S23" s="706">
        <f>F23</f>
        <v>100</v>
      </c>
      <c r="T23" s="705" t="s">
        <v>14</v>
      </c>
      <c r="U23" s="706">
        <f>H23</f>
        <v>100</v>
      </c>
      <c r="V23" s="705" t="s">
        <v>14</v>
      </c>
      <c r="W23" s="706">
        <f>J23</f>
        <v>100</v>
      </c>
      <c r="X23" s="1355"/>
      <c r="Y23" s="366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0"/>
      <c r="Q24" s="1352">
        <f t="shared" ref="Q24:Q34" si="11">B24</f>
        <v>111</v>
      </c>
      <c r="R24" s="705" t="s">
        <v>14</v>
      </c>
      <c r="S24" s="706">
        <f>F24</f>
        <v>100</v>
      </c>
      <c r="T24" s="705" t="s">
        <v>14</v>
      </c>
      <c r="U24" s="706">
        <f>H24</f>
        <v>100</v>
      </c>
      <c r="V24" s="705" t="s">
        <v>14</v>
      </c>
      <c r="W24" s="706">
        <f>J24</f>
        <v>100</v>
      </c>
      <c r="X24" s="1355"/>
      <c r="Y24" s="366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0"/>
      <c r="Q25" s="1343">
        <f t="shared" si="11"/>
        <v>111</v>
      </c>
      <c r="R25" s="701" t="s">
        <v>14</v>
      </c>
      <c r="S25" s="702">
        <f>F25</f>
        <v>100</v>
      </c>
      <c r="T25" s="701" t="s">
        <v>14</v>
      </c>
      <c r="U25" s="702">
        <f>H25</f>
        <v>100</v>
      </c>
      <c r="V25" s="701" t="s">
        <v>14</v>
      </c>
      <c r="W25" s="702">
        <f>J25</f>
        <v>100</v>
      </c>
      <c r="X25" s="703"/>
      <c r="Y25" s="366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7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1"/>
      <c r="Q27" s="707" t="str">
        <f t="shared" si="11"/>
        <v>成新率</v>
      </c>
      <c r="R27" s="708" t="s">
        <v>14</v>
      </c>
      <c r="S27" s="709" t="e">
        <f t="shared" si="12"/>
        <v>#N/A</v>
      </c>
      <c r="T27" s="708" t="s">
        <v>14</v>
      </c>
      <c r="U27" s="709" t="e">
        <f t="shared" si="13"/>
        <v>#N/A</v>
      </c>
      <c r="V27" s="708" t="s">
        <v>14</v>
      </c>
      <c r="W27" s="709" t="e">
        <f t="shared" si="14"/>
        <v>#N/A</v>
      </c>
      <c r="X27" s="710"/>
      <c r="Y27" s="366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1"/>
      <c r="Q28" s="1352" t="str">
        <f t="shared" si="11"/>
        <v>物业等级</v>
      </c>
      <c r="R28" s="705" t="s">
        <v>14</v>
      </c>
      <c r="S28" s="706">
        <f t="shared" si="12"/>
        <v>100</v>
      </c>
      <c r="T28" s="705" t="s">
        <v>14</v>
      </c>
      <c r="U28" s="706">
        <f t="shared" si="13"/>
        <v>100</v>
      </c>
      <c r="V28" s="705" t="s">
        <v>14</v>
      </c>
      <c r="W28" s="706">
        <f t="shared" si="14"/>
        <v>100</v>
      </c>
      <c r="X28" s="1355"/>
      <c r="Y28" s="366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1"/>
      <c r="Q29" s="1352" t="str">
        <f t="shared" si="11"/>
        <v>有无电梯</v>
      </c>
      <c r="R29" s="705" t="s">
        <v>14</v>
      </c>
      <c r="S29" s="706">
        <f t="shared" si="12"/>
        <v>100</v>
      </c>
      <c r="T29" s="705" t="s">
        <v>14</v>
      </c>
      <c r="U29" s="706">
        <f t="shared" si="13"/>
        <v>100</v>
      </c>
      <c r="V29" s="705" t="s">
        <v>14</v>
      </c>
      <c r="W29" s="706">
        <f t="shared" si="14"/>
        <v>100</v>
      </c>
      <c r="X29" s="1355"/>
      <c r="Y29" s="366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1"/>
      <c r="Q30" s="1352" t="str">
        <f t="shared" si="11"/>
        <v>建筑面积</v>
      </c>
      <c r="R30" s="705" t="s">
        <v>14</v>
      </c>
      <c r="S30" s="706" t="e">
        <f t="shared" si="12"/>
        <v>#N/A</v>
      </c>
      <c r="T30" s="705" t="s">
        <v>14</v>
      </c>
      <c r="U30" s="706" t="e">
        <f t="shared" si="13"/>
        <v>#N/A</v>
      </c>
      <c r="V30" s="705" t="s">
        <v>14</v>
      </c>
      <c r="W30" s="706" t="e">
        <f t="shared" si="14"/>
        <v>#N/A</v>
      </c>
      <c r="X30" s="1355"/>
      <c r="Y30" s="366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1"/>
      <c r="Q31" s="1343" t="str">
        <f t="shared" si="11"/>
        <v>是否封闭</v>
      </c>
      <c r="R31" s="701" t="s">
        <v>14</v>
      </c>
      <c r="S31" s="702">
        <f t="shared" si="12"/>
        <v>100</v>
      </c>
      <c r="T31" s="701" t="s">
        <v>14</v>
      </c>
      <c r="U31" s="702">
        <f t="shared" si="13"/>
        <v>100</v>
      </c>
      <c r="V31" s="701" t="s">
        <v>14</v>
      </c>
      <c r="W31" s="702">
        <f t="shared" si="14"/>
        <v>100</v>
      </c>
      <c r="X31" s="703"/>
      <c r="Y31" s="36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1" t="s">
        <v>1695</v>
      </c>
      <c r="Q32" s="1352">
        <f t="shared" si="11"/>
        <v>111</v>
      </c>
      <c r="R32" s="705" t="s">
        <v>14</v>
      </c>
      <c r="S32" s="706">
        <f t="shared" si="12"/>
        <v>100</v>
      </c>
      <c r="T32" s="705" t="s">
        <v>14</v>
      </c>
      <c r="U32" s="706">
        <f t="shared" si="13"/>
        <v>100</v>
      </c>
      <c r="V32" s="705" t="s">
        <v>14</v>
      </c>
      <c r="W32" s="706">
        <f t="shared" si="14"/>
        <v>100</v>
      </c>
      <c r="X32" s="1355"/>
      <c r="Y32" s="366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1"/>
      <c r="Q33" s="1352">
        <f t="shared" si="11"/>
        <v>111</v>
      </c>
      <c r="R33" s="705" t="s">
        <v>14</v>
      </c>
      <c r="S33" s="706">
        <f t="shared" si="12"/>
        <v>100</v>
      </c>
      <c r="T33" s="705" t="s">
        <v>14</v>
      </c>
      <c r="U33" s="706">
        <f t="shared" si="13"/>
        <v>100</v>
      </c>
      <c r="V33" s="705" t="s">
        <v>14</v>
      </c>
      <c r="W33" s="706">
        <f t="shared" si="14"/>
        <v>100</v>
      </c>
      <c r="X33" s="1355"/>
      <c r="Y33" s="36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642" t="str">
        <f>A35</f>
        <v>成交单价（元/平方米）</v>
      </c>
      <c r="Q35" s="3642"/>
      <c r="R35" s="3708">
        <f>E35</f>
        <v>0</v>
      </c>
      <c r="S35" s="3708"/>
      <c r="T35" s="3708">
        <f>G35</f>
        <v>0</v>
      </c>
      <c r="U35" s="3708"/>
      <c r="V35" s="3708">
        <f>I35</f>
        <v>0</v>
      </c>
      <c r="W35" s="3708"/>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42" t="str">
        <f>A36</f>
        <v>比较价值（元/平方米）</v>
      </c>
      <c r="Q36" s="3642"/>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677" t="str">
        <f>A37</f>
        <v>估价对象XX用房的比较价值（楼面单价，元/平方米）</v>
      </c>
      <c r="Q37" s="3678"/>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639" t="s">
        <v>1769</v>
      </c>
      <c r="D4" s="3665"/>
      <c r="E4" s="3666" t="s">
        <v>1770</v>
      </c>
      <c r="F4" s="3667"/>
      <c r="G4" s="3639" t="s">
        <v>1771</v>
      </c>
      <c r="H4" s="3665"/>
      <c r="I4" s="3639" t="s">
        <v>1772</v>
      </c>
      <c r="J4" s="3665"/>
      <c r="K4" s="559" t="s">
        <v>1773</v>
      </c>
      <c r="L4" s="2715"/>
      <c r="M4" s="2716"/>
      <c r="N4" s="2716"/>
      <c r="O4" s="2716"/>
      <c r="P4" s="3668" t="s">
        <v>1774</v>
      </c>
      <c r="Q4" s="3669"/>
      <c r="R4" s="3645" t="s">
        <v>1770</v>
      </c>
      <c r="S4" s="3646"/>
      <c r="T4" s="3645" t="s">
        <v>1771</v>
      </c>
      <c r="U4" s="3646"/>
      <c r="V4" s="3658" t="s">
        <v>1772</v>
      </c>
      <c r="W4" s="3658"/>
      <c r="X4" s="1355"/>
      <c r="Y4" s="3645" t="s">
        <v>1774</v>
      </c>
      <c r="Z4" s="3646"/>
      <c r="AA4" s="3662" t="s">
        <v>1770</v>
      </c>
      <c r="AB4" s="3663" t="s">
        <v>1771</v>
      </c>
      <c r="AC4" s="3662" t="s">
        <v>1772</v>
      </c>
    </row>
    <row r="5" spans="1:30" ht="15">
      <c r="A5" s="358"/>
      <c r="B5" s="359"/>
      <c r="C5" s="3649" t="s">
        <v>1672</v>
      </c>
      <c r="D5" s="3650"/>
      <c r="E5" s="3674" t="s">
        <v>1673</v>
      </c>
      <c r="F5" s="3675"/>
      <c r="G5" s="3649" t="s">
        <v>1674</v>
      </c>
      <c r="H5" s="3650"/>
      <c r="I5" s="3649" t="s">
        <v>1675</v>
      </c>
      <c r="J5" s="3650"/>
      <c r="K5" s="559"/>
      <c r="L5" s="2715"/>
      <c r="M5" s="2716"/>
      <c r="N5" s="2716"/>
      <c r="O5" s="2716"/>
      <c r="P5" s="3670"/>
      <c r="Q5" s="3671"/>
      <c r="R5" s="3647"/>
      <c r="S5" s="3648"/>
      <c r="T5" s="3647"/>
      <c r="U5" s="3648"/>
      <c r="V5" s="3658"/>
      <c r="W5" s="3658"/>
      <c r="X5" s="1355"/>
      <c r="Y5" s="3647"/>
      <c r="Z5" s="3648"/>
      <c r="AA5" s="3663"/>
      <c r="AB5" s="3663"/>
      <c r="AC5" s="3663"/>
    </row>
    <row r="6" spans="1:30" ht="15.75" thickBot="1">
      <c r="A6" s="360"/>
      <c r="B6" s="361"/>
      <c r="C6" s="3715" t="s">
        <v>1676</v>
      </c>
      <c r="D6" s="3716"/>
      <c r="E6" s="3717" t="s">
        <v>1676</v>
      </c>
      <c r="F6" s="3718"/>
      <c r="G6" s="3715" t="s">
        <v>1676</v>
      </c>
      <c r="H6" s="3716"/>
      <c r="I6" s="3715" t="s">
        <v>1676</v>
      </c>
      <c r="J6" s="3716"/>
      <c r="K6" s="559" t="s">
        <v>1677</v>
      </c>
      <c r="L6" s="2715"/>
      <c r="M6" s="2716"/>
      <c r="N6" s="2716"/>
      <c r="O6" s="2716"/>
      <c r="P6" s="3672"/>
      <c r="Q6" s="3673"/>
      <c r="R6" s="3647"/>
      <c r="S6" s="3648"/>
      <c r="T6" s="3656"/>
      <c r="U6" s="3657"/>
      <c r="V6" s="3658"/>
      <c r="W6" s="3658"/>
      <c r="X6" s="1355"/>
      <c r="Y6" s="3656"/>
      <c r="Z6" s="3657"/>
      <c r="AA6" s="3664"/>
      <c r="AB6" s="3664"/>
      <c r="AC6" s="3664"/>
    </row>
    <row r="7" spans="1:30" s="108" customFormat="1" ht="15.75" thickBot="1">
      <c r="A7" s="362" t="s">
        <v>1678</v>
      </c>
      <c r="B7" s="363"/>
      <c r="C7" s="364">
        <f>'数据-取费表'!B2</f>
        <v>45026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3" t="s">
        <v>1679</v>
      </c>
      <c r="Q7" s="3653"/>
      <c r="R7" s="701" t="s">
        <v>14</v>
      </c>
      <c r="S7" s="702">
        <f t="shared" ref="S7:S15" si="0">F7</f>
        <v>0</v>
      </c>
      <c r="T7" s="701" t="s">
        <v>14</v>
      </c>
      <c r="U7" s="702">
        <f t="shared" ref="U7:U15" si="1">H7</f>
        <v>0</v>
      </c>
      <c r="V7" s="701" t="s">
        <v>14</v>
      </c>
      <c r="W7" s="702">
        <f t="shared" ref="W7:W15" si="2">J7</f>
        <v>0</v>
      </c>
      <c r="X7" s="703"/>
      <c r="Y7" s="3643" t="s">
        <v>1679</v>
      </c>
      <c r="Z7" s="364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3" t="s">
        <v>1682</v>
      </c>
      <c r="Q8" s="3644"/>
      <c r="R8" s="701" t="s">
        <v>14</v>
      </c>
      <c r="S8" s="702">
        <f t="shared" si="0"/>
        <v>0</v>
      </c>
      <c r="T8" s="701" t="s">
        <v>14</v>
      </c>
      <c r="U8" s="702">
        <f t="shared" si="1"/>
        <v>0</v>
      </c>
      <c r="V8" s="701" t="s">
        <v>14</v>
      </c>
      <c r="W8" s="702">
        <f t="shared" si="2"/>
        <v>0</v>
      </c>
      <c r="X8" s="703"/>
      <c r="Y8" s="3643" t="s">
        <v>1682</v>
      </c>
      <c r="Z8" s="3644"/>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2" t="s">
        <v>1685</v>
      </c>
      <c r="Q9" s="1343" t="str">
        <f t="shared" ref="Q9:Q15" si="6">B9</f>
        <v>用途</v>
      </c>
      <c r="R9" s="701" t="s">
        <v>14</v>
      </c>
      <c r="S9" s="702">
        <f t="shared" si="0"/>
        <v>100</v>
      </c>
      <c r="T9" s="701" t="s">
        <v>14</v>
      </c>
      <c r="U9" s="702">
        <f t="shared" si="1"/>
        <v>100</v>
      </c>
      <c r="V9" s="701" t="s">
        <v>14</v>
      </c>
      <c r="W9" s="702">
        <f t="shared" si="2"/>
        <v>100</v>
      </c>
      <c r="X9" s="703"/>
      <c r="Y9" s="354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105</v>
      </c>
      <c r="G10" s="414"/>
      <c r="H10" s="127">
        <f>ROUND(100/'数据-取费表'!G16,0)</f>
        <v>105</v>
      </c>
      <c r="I10" s="414"/>
      <c r="J10" s="127">
        <f>ROUND(100/'数据-取费表'!G16,0)</f>
        <v>105</v>
      </c>
      <c r="K10" s="620"/>
      <c r="L10" s="2719"/>
      <c r="M10" s="2720"/>
      <c r="N10" s="2720"/>
      <c r="O10" s="2773"/>
      <c r="P10" s="3642"/>
      <c r="Q10" s="1343" t="str">
        <f t="shared" si="6"/>
        <v>土地使用年限（年）</v>
      </c>
      <c r="R10" s="701" t="s">
        <v>14</v>
      </c>
      <c r="S10" s="702">
        <f t="shared" si="0"/>
        <v>105</v>
      </c>
      <c r="T10" s="701" t="s">
        <v>14</v>
      </c>
      <c r="U10" s="702">
        <f t="shared" si="1"/>
        <v>105</v>
      </c>
      <c r="V10" s="701" t="s">
        <v>14</v>
      </c>
      <c r="W10" s="702">
        <f t="shared" si="2"/>
        <v>105</v>
      </c>
      <c r="X10" s="703"/>
      <c r="Y10" s="3543"/>
      <c r="Z10" s="52" t="str">
        <f t="shared" si="7"/>
        <v>土地使用年限（年）</v>
      </c>
      <c r="AA10" s="704">
        <f t="shared" si="3"/>
        <v>0.95238095238095233</v>
      </c>
      <c r="AB10" s="704">
        <f t="shared" si="4"/>
        <v>0.95238095238095233</v>
      </c>
      <c r="AC10" s="704">
        <f t="shared" si="5"/>
        <v>0.95238095238095233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2"/>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2"/>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2"/>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9" t="s">
        <v>1690</v>
      </c>
      <c r="Q15" s="1352" t="str">
        <f t="shared" si="6"/>
        <v>居住社区成熟度</v>
      </c>
      <c r="R15" s="705" t="s">
        <v>14</v>
      </c>
      <c r="S15" s="706">
        <f t="shared" si="0"/>
        <v>100</v>
      </c>
      <c r="T15" s="705" t="s">
        <v>14</v>
      </c>
      <c r="U15" s="706">
        <f t="shared" si="1"/>
        <v>100</v>
      </c>
      <c r="V15" s="705" t="s">
        <v>14</v>
      </c>
      <c r="W15" s="706">
        <f t="shared" si="2"/>
        <v>100</v>
      </c>
      <c r="X15" s="1355"/>
      <c r="Y15" s="365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0"/>
      <c r="Q16" s="1352"/>
      <c r="R16" s="705"/>
      <c r="S16" s="706"/>
      <c r="T16" s="705"/>
      <c r="U16" s="706"/>
      <c r="V16" s="705"/>
      <c r="W16" s="706"/>
      <c r="X16" s="1355"/>
      <c r="Y16" s="3660"/>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0"/>
      <c r="Q17" s="1352" t="str">
        <f>B17</f>
        <v>商业繁华度</v>
      </c>
      <c r="R17" s="705" t="s">
        <v>14</v>
      </c>
      <c r="S17" s="706">
        <f>F17</f>
        <v>100</v>
      </c>
      <c r="T17" s="705" t="s">
        <v>14</v>
      </c>
      <c r="U17" s="706">
        <f>H17</f>
        <v>100</v>
      </c>
      <c r="V17" s="705" t="s">
        <v>14</v>
      </c>
      <c r="W17" s="706">
        <f>J17</f>
        <v>100</v>
      </c>
      <c r="X17" s="1355"/>
      <c r="Y17" s="366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0"/>
      <c r="Q18" s="1352"/>
      <c r="R18" s="705"/>
      <c r="S18" s="706"/>
      <c r="T18" s="705"/>
      <c r="U18" s="706"/>
      <c r="V18" s="705"/>
      <c r="W18" s="706"/>
      <c r="X18" s="1355"/>
      <c r="Y18" s="3660"/>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0"/>
      <c r="Q19" s="1352" t="str">
        <f>B19</f>
        <v>办公集聚程度</v>
      </c>
      <c r="R19" s="705" t="s">
        <v>14</v>
      </c>
      <c r="S19" s="706">
        <f>F19</f>
        <v>100</v>
      </c>
      <c r="T19" s="705" t="s">
        <v>14</v>
      </c>
      <c r="U19" s="706">
        <f>H19</f>
        <v>100</v>
      </c>
      <c r="V19" s="705" t="s">
        <v>14</v>
      </c>
      <c r="W19" s="706">
        <f>J19</f>
        <v>100</v>
      </c>
      <c r="X19" s="1355"/>
      <c r="Y19" s="366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0"/>
      <c r="Q20" s="1352"/>
      <c r="R20" s="705"/>
      <c r="S20" s="706"/>
      <c r="T20" s="705"/>
      <c r="U20" s="706"/>
      <c r="V20" s="705"/>
      <c r="W20" s="706"/>
      <c r="X20" s="1355"/>
      <c r="Y20" s="3660"/>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0"/>
      <c r="Q21" s="1352" t="str">
        <f>B21</f>
        <v>交通便捷度</v>
      </c>
      <c r="R21" s="705" t="s">
        <v>14</v>
      </c>
      <c r="S21" s="706">
        <f>F21</f>
        <v>100</v>
      </c>
      <c r="T21" s="705" t="s">
        <v>14</v>
      </c>
      <c r="U21" s="706">
        <f>H21</f>
        <v>100</v>
      </c>
      <c r="V21" s="705" t="s">
        <v>14</v>
      </c>
      <c r="W21" s="706">
        <f>J21</f>
        <v>100</v>
      </c>
      <c r="X21" s="1355"/>
      <c r="Y21" s="366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0"/>
      <c r="Q22" s="1352"/>
      <c r="R22" s="705"/>
      <c r="S22" s="706"/>
      <c r="T22" s="705"/>
      <c r="U22" s="706"/>
      <c r="V22" s="705"/>
      <c r="W22" s="706"/>
      <c r="X22" s="1355"/>
      <c r="Y22" s="366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0"/>
      <c r="Q23" s="1352" t="str">
        <f t="shared" ref="Q23:Q37" si="8">B23</f>
        <v>区域土地利用方向</v>
      </c>
      <c r="R23" s="705" t="s">
        <v>14</v>
      </c>
      <c r="S23" s="706">
        <f>F23</f>
        <v>100</v>
      </c>
      <c r="T23" s="705" t="s">
        <v>14</v>
      </c>
      <c r="U23" s="706">
        <f>H23</f>
        <v>100</v>
      </c>
      <c r="V23" s="705" t="s">
        <v>14</v>
      </c>
      <c r="W23" s="706">
        <f>J23</f>
        <v>100</v>
      </c>
      <c r="X23" s="1355"/>
      <c r="Y23" s="366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0"/>
      <c r="Q24" s="1352"/>
      <c r="R24" s="705"/>
      <c r="S24" s="706"/>
      <c r="T24" s="705"/>
      <c r="U24" s="706"/>
      <c r="V24" s="705"/>
      <c r="W24" s="706"/>
      <c r="X24" s="1355"/>
      <c r="Y24" s="3660"/>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0"/>
      <c r="Q25" s="1352" t="str">
        <f t="shared" si="8"/>
        <v>自然及人文环境状况</v>
      </c>
      <c r="R25" s="705" t="s">
        <v>14</v>
      </c>
      <c r="S25" s="706">
        <f>F25</f>
        <v>100</v>
      </c>
      <c r="T25" s="705" t="s">
        <v>14</v>
      </c>
      <c r="U25" s="706">
        <f>H25</f>
        <v>100</v>
      </c>
      <c r="V25" s="705" t="s">
        <v>14</v>
      </c>
      <c r="W25" s="706">
        <f>J25</f>
        <v>100</v>
      </c>
      <c r="X25" s="1355"/>
      <c r="Y25" s="366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0"/>
      <c r="Q26" s="1352"/>
      <c r="R26" s="705"/>
      <c r="S26" s="706"/>
      <c r="T26" s="705"/>
      <c r="U26" s="706"/>
      <c r="V26" s="705"/>
      <c r="W26" s="706"/>
      <c r="X26" s="1355"/>
      <c r="Y26" s="3660"/>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0"/>
      <c r="Q27" s="1343" t="str">
        <f t="shared" si="8"/>
        <v>公共配套设施</v>
      </c>
      <c r="R27" s="701" t="s">
        <v>14</v>
      </c>
      <c r="S27" s="702">
        <f>F27</f>
        <v>100</v>
      </c>
      <c r="T27" s="701" t="s">
        <v>14</v>
      </c>
      <c r="U27" s="702">
        <f>H27</f>
        <v>100</v>
      </c>
      <c r="V27" s="701" t="s">
        <v>14</v>
      </c>
      <c r="W27" s="702">
        <f>J27</f>
        <v>100</v>
      </c>
      <c r="X27" s="703"/>
      <c r="Y27" s="366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0"/>
      <c r="Q28" s="1343"/>
      <c r="R28" s="701"/>
      <c r="S28" s="702"/>
      <c r="T28" s="701"/>
      <c r="U28" s="702"/>
      <c r="V28" s="701"/>
      <c r="W28" s="702"/>
      <c r="X28" s="703"/>
      <c r="Y28" s="3660"/>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0"/>
      <c r="Q29" s="1343" t="str">
        <f t="shared" ref="Q29" si="9">B29</f>
        <v>基础设施水平</v>
      </c>
      <c r="R29" s="701" t="s">
        <v>14</v>
      </c>
      <c r="S29" s="702">
        <f>F29</f>
        <v>100</v>
      </c>
      <c r="T29" s="701" t="s">
        <v>14</v>
      </c>
      <c r="U29" s="702">
        <f>H29</f>
        <v>100</v>
      </c>
      <c r="V29" s="701" t="s">
        <v>14</v>
      </c>
      <c r="W29" s="702">
        <f>J29</f>
        <v>100</v>
      </c>
      <c r="X29" s="703"/>
      <c r="Y29" s="366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0"/>
      <c r="Q30" s="1343"/>
      <c r="R30" s="701"/>
      <c r="S30" s="702"/>
      <c r="T30" s="701"/>
      <c r="U30" s="702"/>
      <c r="V30" s="701"/>
      <c r="W30" s="702"/>
      <c r="X30" s="703"/>
      <c r="Y30" s="366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0"/>
      <c r="Q32" s="1352" t="str">
        <f t="shared" si="8"/>
        <v>毗邻道路的类型与等级</v>
      </c>
      <c r="R32" s="705" t="s">
        <v>14</v>
      </c>
      <c r="S32" s="706">
        <f t="shared" si="10"/>
        <v>100</v>
      </c>
      <c r="T32" s="705" t="s">
        <v>14</v>
      </c>
      <c r="U32" s="706">
        <f t="shared" si="11"/>
        <v>100</v>
      </c>
      <c r="V32" s="705" t="s">
        <v>14</v>
      </c>
      <c r="W32" s="706">
        <f t="shared" si="12"/>
        <v>100</v>
      </c>
      <c r="X32" s="1355"/>
      <c r="Y32" s="366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0"/>
      <c r="Q33" s="1352"/>
      <c r="R33" s="705"/>
      <c r="S33" s="706"/>
      <c r="T33" s="705"/>
      <c r="U33" s="706"/>
      <c r="V33" s="705"/>
      <c r="W33" s="706"/>
      <c r="X33" s="1355"/>
      <c r="Y33" s="366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0"/>
      <c r="Q34" s="1352" t="str">
        <f t="shared" si="8"/>
        <v>土地级别</v>
      </c>
      <c r="R34" s="705" t="s">
        <v>14</v>
      </c>
      <c r="S34" s="706">
        <f t="shared" si="10"/>
        <v>100</v>
      </c>
      <c r="T34" s="705" t="s">
        <v>14</v>
      </c>
      <c r="U34" s="706">
        <f t="shared" si="11"/>
        <v>100</v>
      </c>
      <c r="V34" s="705" t="s">
        <v>14</v>
      </c>
      <c r="W34" s="706">
        <f t="shared" si="12"/>
        <v>100</v>
      </c>
      <c r="X34" s="1355"/>
      <c r="Y34" s="366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0"/>
      <c r="Q35" s="1352">
        <f t="shared" si="8"/>
        <v>111</v>
      </c>
      <c r="R35" s="705" t="s">
        <v>14</v>
      </c>
      <c r="S35" s="706">
        <f t="shared" si="10"/>
        <v>100</v>
      </c>
      <c r="T35" s="705" t="s">
        <v>14</v>
      </c>
      <c r="U35" s="706">
        <f t="shared" si="11"/>
        <v>100</v>
      </c>
      <c r="V35" s="705" t="s">
        <v>14</v>
      </c>
      <c r="W35" s="706">
        <f t="shared" si="12"/>
        <v>100</v>
      </c>
      <c r="X35" s="1355"/>
      <c r="Y35" s="366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76" t="s">
        <v>1695</v>
      </c>
      <c r="Q36" s="1352">
        <f t="shared" si="8"/>
        <v>111</v>
      </c>
      <c r="R36" s="705" t="s">
        <v>14</v>
      </c>
      <c r="S36" s="706">
        <f t="shared" si="10"/>
        <v>100</v>
      </c>
      <c r="T36" s="705" t="s">
        <v>14</v>
      </c>
      <c r="U36" s="706">
        <f t="shared" si="11"/>
        <v>100</v>
      </c>
      <c r="V36" s="705" t="s">
        <v>14</v>
      </c>
      <c r="W36" s="706">
        <f t="shared" si="12"/>
        <v>100</v>
      </c>
      <c r="X36" s="1355"/>
      <c r="Y36" s="366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1"/>
      <c r="Q37" s="1352">
        <f t="shared" si="8"/>
        <v>111</v>
      </c>
      <c r="R37" s="708" t="s">
        <v>14</v>
      </c>
      <c r="S37" s="709">
        <f t="shared" si="10"/>
        <v>100</v>
      </c>
      <c r="T37" s="708" t="s">
        <v>14</v>
      </c>
      <c r="U37" s="709">
        <f t="shared" si="11"/>
        <v>100</v>
      </c>
      <c r="V37" s="708" t="s">
        <v>14</v>
      </c>
      <c r="W37" s="709">
        <f t="shared" si="12"/>
        <v>100</v>
      </c>
      <c r="X37" s="710"/>
      <c r="Y37" s="366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1"/>
      <c r="Q38" s="1352" t="str">
        <f>B38</f>
        <v>宗地面积</v>
      </c>
      <c r="R38" s="705" t="s">
        <v>14</v>
      </c>
      <c r="S38" s="706" t="e">
        <f t="shared" si="10"/>
        <v>#N/A</v>
      </c>
      <c r="T38" s="705" t="s">
        <v>14</v>
      </c>
      <c r="U38" s="706" t="e">
        <f t="shared" si="11"/>
        <v>#N/A</v>
      </c>
      <c r="V38" s="705" t="s">
        <v>14</v>
      </c>
      <c r="W38" s="706" t="e">
        <f t="shared" si="12"/>
        <v>#N/A</v>
      </c>
      <c r="X38" s="1355"/>
      <c r="Y38" s="366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1"/>
      <c r="Q39" s="1352" t="str">
        <f t="shared" ref="Q39:Q45" si="14">B39</f>
        <v>宗地形状</v>
      </c>
      <c r="R39" s="705" t="s">
        <v>14</v>
      </c>
      <c r="S39" s="706">
        <f t="shared" si="10"/>
        <v>100</v>
      </c>
      <c r="T39" s="705" t="s">
        <v>14</v>
      </c>
      <c r="U39" s="706">
        <f t="shared" si="11"/>
        <v>100</v>
      </c>
      <c r="V39" s="705" t="s">
        <v>14</v>
      </c>
      <c r="W39" s="706">
        <f t="shared" si="12"/>
        <v>100</v>
      </c>
      <c r="X39" s="1355"/>
      <c r="Y39" s="366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1"/>
      <c r="Q40" s="1352" t="str">
        <f t="shared" si="14"/>
        <v>临街宽度及深度</v>
      </c>
      <c r="R40" s="705" t="s">
        <v>14</v>
      </c>
      <c r="S40" s="706">
        <f t="shared" si="10"/>
        <v>100</v>
      </c>
      <c r="T40" s="705" t="s">
        <v>14</v>
      </c>
      <c r="U40" s="706">
        <f t="shared" si="11"/>
        <v>100</v>
      </c>
      <c r="V40" s="705" t="s">
        <v>14</v>
      </c>
      <c r="W40" s="706">
        <f t="shared" si="12"/>
        <v>100</v>
      </c>
      <c r="X40" s="1355"/>
      <c r="Y40" s="366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1"/>
      <c r="Q41" s="1352" t="str">
        <f t="shared" si="14"/>
        <v>宗地开发程度</v>
      </c>
      <c r="R41" s="701" t="s">
        <v>14</v>
      </c>
      <c r="S41" s="702">
        <f t="shared" si="10"/>
        <v>100</v>
      </c>
      <c r="T41" s="701" t="s">
        <v>14</v>
      </c>
      <c r="U41" s="702">
        <f t="shared" si="11"/>
        <v>100</v>
      </c>
      <c r="V41" s="701" t="s">
        <v>14</v>
      </c>
      <c r="W41" s="702">
        <f t="shared" si="12"/>
        <v>100</v>
      </c>
      <c r="X41" s="703"/>
      <c r="Y41" s="366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1" t="s">
        <v>1695</v>
      </c>
      <c r="Q42" s="1352" t="str">
        <f t="shared" si="14"/>
        <v>工程地质条件</v>
      </c>
      <c r="R42" s="705" t="s">
        <v>14</v>
      </c>
      <c r="S42" s="706">
        <f t="shared" si="10"/>
        <v>100</v>
      </c>
      <c r="T42" s="705" t="s">
        <v>14</v>
      </c>
      <c r="U42" s="706">
        <f t="shared" si="11"/>
        <v>100</v>
      </c>
      <c r="V42" s="705" t="s">
        <v>14</v>
      </c>
      <c r="W42" s="706">
        <f t="shared" si="12"/>
        <v>100</v>
      </c>
      <c r="X42" s="1355"/>
      <c r="Y42" s="366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1"/>
      <c r="Q43" s="1352">
        <f t="shared" si="14"/>
        <v>111</v>
      </c>
      <c r="R43" s="705" t="s">
        <v>14</v>
      </c>
      <c r="S43" s="706">
        <f t="shared" si="10"/>
        <v>100</v>
      </c>
      <c r="T43" s="705" t="s">
        <v>14</v>
      </c>
      <c r="U43" s="706">
        <f t="shared" si="11"/>
        <v>100</v>
      </c>
      <c r="V43" s="705" t="s">
        <v>14</v>
      </c>
      <c r="W43" s="706">
        <f t="shared" si="12"/>
        <v>100</v>
      </c>
      <c r="X43" s="1355"/>
      <c r="Y43" s="36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1"/>
      <c r="Q44" s="1352">
        <f t="shared" si="14"/>
        <v>111</v>
      </c>
      <c r="R44" s="705" t="s">
        <v>14</v>
      </c>
      <c r="S44" s="706">
        <f t="shared" si="10"/>
        <v>100</v>
      </c>
      <c r="T44" s="705" t="s">
        <v>14</v>
      </c>
      <c r="U44" s="706">
        <f t="shared" si="11"/>
        <v>100</v>
      </c>
      <c r="V44" s="705" t="s">
        <v>14</v>
      </c>
      <c r="W44" s="706">
        <f t="shared" si="12"/>
        <v>100</v>
      </c>
      <c r="X44" s="1355"/>
      <c r="Y44" s="36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1"/>
      <c r="Q45" s="1352">
        <f t="shared" si="14"/>
        <v>111</v>
      </c>
      <c r="R45" s="708" t="s">
        <v>14</v>
      </c>
      <c r="S45" s="709">
        <f t="shared" si="10"/>
        <v>100</v>
      </c>
      <c r="T45" s="708" t="s">
        <v>14</v>
      </c>
      <c r="U45" s="709">
        <f t="shared" si="11"/>
        <v>100</v>
      </c>
      <c r="V45" s="708" t="s">
        <v>14</v>
      </c>
      <c r="W45" s="709">
        <f t="shared" si="12"/>
        <v>100</v>
      </c>
      <c r="X45" s="710"/>
      <c r="Y45" s="366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642" t="str">
        <f>A46</f>
        <v>成交单价</v>
      </c>
      <c r="Q46" s="3642"/>
      <c r="R46" s="3658">
        <f>E46</f>
        <v>0</v>
      </c>
      <c r="S46" s="3658"/>
      <c r="T46" s="3658">
        <f>G46</f>
        <v>0</v>
      </c>
      <c r="U46" s="3658"/>
      <c r="V46" s="3658">
        <f>I46</f>
        <v>0</v>
      </c>
      <c r="W46" s="3658"/>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42" t="str">
        <f>A47</f>
        <v>比较价值（元/平方米）</v>
      </c>
      <c r="Q47" s="3642"/>
      <c r="R47" s="3680" t="e">
        <f>ROUND(PRODUCT(R46,AA7:AA45),0)</f>
        <v>#DIV/0!</v>
      </c>
      <c r="S47" s="3680"/>
      <c r="T47" s="3680" t="e">
        <f>ROUND(PRODUCT(T46,AB7:AB45),0)</f>
        <v>#DIV/0!</v>
      </c>
      <c r="U47" s="3680"/>
      <c r="V47" s="3680" t="e">
        <f>ROUND(PRODUCT(V46,AC7:AC45),0)</f>
        <v>#DIV/0!</v>
      </c>
      <c r="W47" s="368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677" t="str">
        <f>A48</f>
        <v>估价对象XX用房的比较价值（楼面单价，元/平方米）</v>
      </c>
      <c r="Q48" s="3678"/>
      <c r="R48" s="3679" t="e">
        <f>ROUND(IF(D47="简单平均",AVERAGE(R47:W47),R47*F47+T47*H47+V47*J47),0)</f>
        <v>#DIV/0!</v>
      </c>
      <c r="S48" s="3679"/>
      <c r="T48" s="3679"/>
      <c r="U48" s="3679"/>
      <c r="V48" s="3679"/>
      <c r="W48" s="367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639" t="s">
        <v>1886</v>
      </c>
      <c r="H55" s="3640"/>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22663.3</v>
      </c>
      <c r="F56" s="886" t="e">
        <f t="shared" ref="F56:F64" si="15">ROUND(B56*E56/10000,0)</f>
        <v>#DIV/0!</v>
      </c>
      <c r="G56" s="3641"/>
      <c r="H56" s="364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7113.3</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29776.6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8" t="s">
        <v>2083</v>
      </c>
      <c r="D1" s="3739"/>
      <c r="E1" s="3739"/>
      <c r="F1" s="3739"/>
      <c r="G1" s="3739"/>
      <c r="H1" s="3739"/>
      <c r="I1" s="3739"/>
      <c r="J1" s="3739"/>
      <c r="K1" s="3739"/>
      <c r="L1" s="3739"/>
      <c r="M1" s="3739"/>
      <c r="N1" s="3739"/>
      <c r="O1" s="3739"/>
      <c r="P1" s="3739"/>
      <c r="Q1" s="3739"/>
      <c r="R1" s="3739"/>
      <c r="S1" s="374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0</v>
      </c>
      <c r="C2" s="2145" t="s">
        <v>2073</v>
      </c>
      <c r="D2" s="2145" t="s">
        <v>2074</v>
      </c>
      <c r="E2" s="2612">
        <f ca="1">SUMIF(E6:E13,"&lt;&gt;#ref!",E6:E13)</f>
        <v>0</v>
      </c>
      <c r="F2" s="2793"/>
      <c r="G2" s="2793"/>
      <c r="H2" s="2793"/>
      <c r="I2" s="2793"/>
      <c r="J2" s="2793"/>
      <c r="K2" s="2793"/>
      <c r="L2" s="2793"/>
      <c r="M2" s="2793"/>
      <c r="N2" s="2793"/>
      <c r="O2" s="2793"/>
      <c r="P2" s="2793"/>
    </row>
    <row r="3" spans="1:16" ht="15.75">
      <c r="A3" s="2145" t="s">
        <v>2075</v>
      </c>
      <c r="B3" s="2602" t="e">
        <f ca="1">ROUND(B2*10000/E2,0)</f>
        <v>#DIV/0!</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5" zoomScaleNormal="80" zoomScaleSheetLayoutView="85" workbookViewId="0">
      <selection activeCell="A4" sqref="A4:J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25.5">
      <c r="A2" s="201" t="s">
        <v>1933</v>
      </c>
      <c r="B2" s="204">
        <f>C30</f>
        <v>0</v>
      </c>
      <c r="C2" s="1999" t="s">
        <v>1934</v>
      </c>
      <c r="D2" s="2000" t="s">
        <v>1935</v>
      </c>
      <c r="E2" s="3422" t="s">
        <v>3</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Ⅷ-生物医药基地</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1263</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20" t="s">
        <v>2481</v>
      </c>
      <c r="F3" s="2004" t="s">
        <v>3401</v>
      </c>
      <c r="G3" s="752">
        <f>IF(F3="宗地容积率",'数据-汇总表'!I4,IF(F3="估价对象容积率",'数据-汇总表'!I6,'数据-汇总表'!I7))</f>
        <v>0.99</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974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794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1195</v>
      </c>
      <c r="D5" s="1339">
        <f>ROUND(C6*C17+C20,0)</f>
        <v>1195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674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1380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八级</v>
      </c>
      <c r="Y7" s="1214" t="s">
        <v>1955</v>
      </c>
      <c r="Z7" s="1215">
        <f>G3</f>
        <v>0.99</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1380</v>
      </c>
      <c r="N8" s="866">
        <f>SUMPRODUCT((因素修正幅度!B234:B276=I2)*(因素修正幅度!C3:G3=E2)*(因素修正幅度!C234:G276))</f>
        <v>0.05</v>
      </c>
      <c r="O8" s="1119"/>
      <c r="P8" s="1119"/>
      <c r="Q8" s="1119"/>
      <c r="R8" s="1212">
        <v>7</v>
      </c>
      <c r="S8" s="1213"/>
      <c r="T8" s="3361">
        <f t="shared" si="0"/>
        <v>0</v>
      </c>
      <c r="U8" s="1213"/>
      <c r="V8" s="3361">
        <f t="shared" si="1"/>
        <v>0</v>
      </c>
      <c r="W8" s="3745" t="s">
        <v>1959</v>
      </c>
      <c r="X8" s="374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3260</v>
      </c>
      <c r="B20" s="167" t="s">
        <v>1993</v>
      </c>
      <c r="C20" s="3325">
        <f>ROUND(IF(F21="与级别开发程度一致",0,(G21-E21)/C21),0)</f>
        <v>-185</v>
      </c>
      <c r="D20" s="3341" t="s">
        <v>1997</v>
      </c>
      <c r="E20" s="3342"/>
      <c r="F20" s="3758" t="s">
        <v>1994</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3"/>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2001</v>
      </c>
      <c r="E23" s="761">
        <v>44197</v>
      </c>
      <c r="F23" s="2054" t="s">
        <v>2002</v>
      </c>
      <c r="G23" s="762">
        <f>'数据-取费表'!B2</f>
        <v>45026</v>
      </c>
      <c r="H23" s="3343" t="s">
        <v>3262</v>
      </c>
      <c r="I23" s="3344" t="str">
        <f>IF(H23="季度增幅（自定义）",SUMIF(N25:N28,E2,O25:O28),"")</f>
        <v/>
      </c>
      <c r="J23" s="3446" t="s">
        <v>3261</v>
      </c>
      <c r="K23" s="1125"/>
      <c r="L23" s="2055" t="s">
        <v>2003</v>
      </c>
      <c r="M23" s="1328">
        <f>ROUND(SUMIF(地价!B2:G2,E2,地价!B16:G16),0)</f>
        <v>318</v>
      </c>
      <c r="N23" s="2056" t="s">
        <v>2004</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0.65280000000000005</v>
      </c>
      <c r="D24" s="2060" t="s">
        <v>2006</v>
      </c>
      <c r="E24" s="1335">
        <f>存贷款利率!E22/100</f>
        <v>4.3499999999999997E-2</v>
      </c>
      <c r="F24" s="2060" t="s">
        <v>1998</v>
      </c>
      <c r="G24" s="768">
        <f>SUMIF(M30:Q30,E2,M33:Q33)</f>
        <v>0.05</v>
      </c>
      <c r="H24" s="2060" t="s">
        <v>2007</v>
      </c>
      <c r="I24" s="769">
        <f>SUMIF('数据-取费表'!C6:C15,E2,'数据-取费表'!F6:F15)/COUNTIF('数据-取费表'!C6:C15,E2)</f>
        <v>18.57</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3263</v>
      </c>
      <c r="D26" s="1352">
        <f>IF(E26=G26,F26,IF(G3&lt;10,ROUND(F26+(H26-F26)*(G3-E26)/(G26-E26),4),"——"))</f>
        <v>0.9</v>
      </c>
      <c r="E26" s="752">
        <f>ROUNDDOWN(G3,1)</f>
        <v>0.9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51" t="s">
        <v>1935</v>
      </c>
      <c r="M30" s="3352" t="s">
        <v>1989</v>
      </c>
      <c r="N30" s="3352" t="s">
        <v>1990</v>
      </c>
      <c r="O30" s="3352" t="s">
        <v>1991</v>
      </c>
      <c r="P30" s="3352" t="s">
        <v>1992</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737</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111</v>
      </c>
      <c r="D34" s="2103"/>
      <c r="E34" s="773">
        <f>ROUND(IF(B25="楼层修正",SUM(V2:V16)*M40,C34*D34/10000),0)</f>
        <v>0</v>
      </c>
      <c r="F34" s="2104" t="s">
        <v>2031</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2035</v>
      </c>
      <c r="C37" s="175">
        <f>ROUND(D5*C22*C23*C24*C28*F37,0)</f>
        <v>410</v>
      </c>
      <c r="D37" s="2098"/>
      <c r="E37" s="171">
        <f>ROUND(C37*D37/10000,0)</f>
        <v>0</v>
      </c>
      <c r="F37" s="171">
        <f>SUMIF(修正!A57:A68,G2,修正!B57:B68)</f>
        <v>0.5</v>
      </c>
      <c r="G37" s="171">
        <f>ROUND(IF(E2="工业",C37*$M$42,C37*$M$41),0)</f>
        <v>62</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2036</v>
      </c>
      <c r="C38" s="175">
        <f>ROUND(D5*C22*C23*C24*C28*F38,0)</f>
        <v>164</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3265</v>
      </c>
      <c r="C39" s="175">
        <f>ROUND(D5*C22*C23*C24*C28*F39,0)</f>
        <v>164</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164</v>
      </c>
      <c r="D40" s="2098"/>
      <c r="E40" s="171">
        <f t="shared" si="4"/>
        <v>0</v>
      </c>
      <c r="F40" s="175">
        <f>SUMIF(修正!A57:A68,G2,修正!E57:E68)</f>
        <v>0.2</v>
      </c>
      <c r="G40" s="171">
        <f>ROUND(IF(E2="工业",C40*$M$42,C40*$M$41),0)</f>
        <v>25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f t="shared" si="23"/>
        <v>2.5000000000000001E-3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f t="shared" si="23"/>
        <v>1.1999999999999999E-3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f t="shared" si="23"/>
        <v>1.5E-3</v>
      </c>
      <c r="I87" s="3367">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f t="shared" si="23"/>
        <v>3.0000000000000001E-3</v>
      </c>
      <c r="I88" s="3367">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f t="shared" si="23"/>
        <v>1.5E-3</v>
      </c>
      <c r="I89" s="3367">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4" t="s">
        <v>3300</v>
      </c>
      <c r="B103" s="3754"/>
      <c r="C103" s="3754"/>
      <c r="D103" s="3754"/>
      <c r="E103" s="3754"/>
      <c r="F103" s="3754"/>
      <c r="G103" s="3754"/>
      <c r="H103" s="3754"/>
      <c r="I103" s="3754"/>
      <c r="J103" s="3754"/>
      <c r="K103" s="3390"/>
      <c r="L103" s="3390"/>
      <c r="M103" s="3390"/>
      <c r="N103" s="3390"/>
    </row>
    <row r="104" spans="1:14">
      <c r="A104" s="3755" t="s">
        <v>3301</v>
      </c>
      <c r="B104" s="3755" t="s">
        <v>3302</v>
      </c>
      <c r="C104" s="3391" t="s">
        <v>3303</v>
      </c>
      <c r="D104" s="3392"/>
      <c r="E104" s="3392"/>
      <c r="F104" s="3392"/>
      <c r="G104" s="3392"/>
      <c r="H104" s="3392"/>
      <c r="I104" s="3392"/>
      <c r="J104" s="3393"/>
      <c r="K104" s="3394"/>
      <c r="L104" s="3394"/>
      <c r="M104" s="3394"/>
      <c r="N104" s="3394"/>
    </row>
    <row r="105" spans="1:14">
      <c r="A105" s="3755"/>
      <c r="B105" s="375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4" t="s">
        <v>3317</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0.99</v>
      </c>
      <c r="C116" s="3400" t="s">
        <v>3319</v>
      </c>
      <c r="D116" s="3401">
        <f>SUMPRODUCT((A118:A122=F116)*(B117:M117=H116)*B118:M122)</f>
        <v>0.57169999999999999</v>
      </c>
      <c r="E116" s="2000" t="s">
        <v>3320</v>
      </c>
      <c r="F116" s="3402" t="str">
        <f>E2</f>
        <v>工业</v>
      </c>
      <c r="G116" s="2000" t="s">
        <v>3321</v>
      </c>
      <c r="H116" s="3402" t="str">
        <f>G2</f>
        <v>八级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0.9859</v>
      </c>
      <c r="C118" s="3388">
        <f>B118</f>
        <v>0.9859</v>
      </c>
      <c r="D118" s="3388">
        <f>ROUND(0.949-0.014*B116,4)</f>
        <v>0.93510000000000004</v>
      </c>
      <c r="E118" s="3388">
        <f>D118</f>
        <v>0.93510000000000004</v>
      </c>
      <c r="F118" s="3388">
        <f>E118</f>
        <v>0.93510000000000004</v>
      </c>
      <c r="G118" s="3388">
        <f>F118</f>
        <v>0.93510000000000004</v>
      </c>
      <c r="H118" s="3388">
        <f>G118</f>
        <v>0.93510000000000004</v>
      </c>
      <c r="I118" s="3388">
        <f>ROUND(0.8486-0.018*B116,4)</f>
        <v>0.83079999999999998</v>
      </c>
      <c r="J118" s="3388">
        <f t="shared" ref="J118:M122" si="35">I118</f>
        <v>0.83079999999999998</v>
      </c>
      <c r="K118" s="3388">
        <f t="shared" si="35"/>
        <v>0.83079999999999998</v>
      </c>
      <c r="L118" s="3388">
        <f t="shared" si="35"/>
        <v>0.83079999999999998</v>
      </c>
      <c r="M118" s="3411">
        <f t="shared" si="35"/>
        <v>0.83079999999999998</v>
      </c>
      <c r="N118" s="3398"/>
    </row>
    <row r="119" spans="1:14">
      <c r="A119" s="3410" t="s">
        <v>3335</v>
      </c>
      <c r="B119" s="3388">
        <f>ROUND(0.993-0.0112*B116,4)</f>
        <v>0.9819</v>
      </c>
      <c r="C119" s="3388">
        <f>B119</f>
        <v>0.9819</v>
      </c>
      <c r="D119" s="3388">
        <f>ROUND(0.9415-0.0142*B116,4)</f>
        <v>0.9274</v>
      </c>
      <c r="E119" s="3388">
        <f t="shared" ref="E119:H120" si="36">D119</f>
        <v>0.9274</v>
      </c>
      <c r="F119" s="3388">
        <f t="shared" si="36"/>
        <v>0.9274</v>
      </c>
      <c r="G119" s="3388">
        <f t="shared" si="36"/>
        <v>0.9274</v>
      </c>
      <c r="H119" s="3388">
        <f t="shared" si="36"/>
        <v>0.9274</v>
      </c>
      <c r="I119" s="3388">
        <f>ROUND(0.838-0.0182*B116,4)</f>
        <v>0.82</v>
      </c>
      <c r="J119" s="3388">
        <f t="shared" si="35"/>
        <v>0.82</v>
      </c>
      <c r="K119" s="3388">
        <f t="shared" si="35"/>
        <v>0.82</v>
      </c>
      <c r="L119" s="3388">
        <f t="shared" si="35"/>
        <v>0.82</v>
      </c>
      <c r="M119" s="3411">
        <f t="shared" si="35"/>
        <v>0.82</v>
      </c>
      <c r="N119" s="3398"/>
    </row>
    <row r="120" spans="1:14">
      <c r="A120" s="3410" t="s">
        <v>3336</v>
      </c>
      <c r="B120" s="3388">
        <f>ROUND(0.9448-0.0115*B116,4)</f>
        <v>0.93340000000000001</v>
      </c>
      <c r="C120" s="3388">
        <f>B120</f>
        <v>0.93340000000000001</v>
      </c>
      <c r="D120" s="3388">
        <f>ROUND(0.937-0.0145*B116,4)</f>
        <v>0.92259999999999998</v>
      </c>
      <c r="E120" s="3388">
        <f t="shared" si="36"/>
        <v>0.92259999999999998</v>
      </c>
      <c r="F120" s="3388">
        <f t="shared" si="36"/>
        <v>0.92259999999999998</v>
      </c>
      <c r="G120" s="3388">
        <f t="shared" si="36"/>
        <v>0.92259999999999998</v>
      </c>
      <c r="H120" s="3388">
        <f t="shared" si="36"/>
        <v>0.92259999999999998</v>
      </c>
      <c r="I120" s="3388">
        <f>ROUND(0.7965-0.0185*B116,4)</f>
        <v>0.7782</v>
      </c>
      <c r="J120" s="3388">
        <f t="shared" si="35"/>
        <v>0.7782</v>
      </c>
      <c r="K120" s="3388">
        <f t="shared" si="35"/>
        <v>0.7782</v>
      </c>
      <c r="L120" s="3388">
        <f t="shared" si="35"/>
        <v>0.7782</v>
      </c>
      <c r="M120" s="3411">
        <f t="shared" si="35"/>
        <v>0.7782</v>
      </c>
      <c r="N120" s="3398"/>
    </row>
    <row r="121" spans="1:14" ht="13.5" thickBot="1">
      <c r="A121" s="3412" t="s">
        <v>3337</v>
      </c>
      <c r="B121" s="3413">
        <f>ROUND(0.7836-0.012*B116,4)</f>
        <v>0.77170000000000005</v>
      </c>
      <c r="C121" s="3413">
        <f>B121</f>
        <v>0.77170000000000005</v>
      </c>
      <c r="D121" s="3413">
        <f>ROUND(0.753-0.015*B116,4)</f>
        <v>0.73819999999999997</v>
      </c>
      <c r="E121" s="3413">
        <f>D121</f>
        <v>0.73819999999999997</v>
      </c>
      <c r="F121" s="3413">
        <f>E121</f>
        <v>0.73819999999999997</v>
      </c>
      <c r="G121" s="3413">
        <f>ROUND(0.6612-0.018*B116,4)</f>
        <v>0.64339999999999997</v>
      </c>
      <c r="H121" s="3413">
        <f>G121</f>
        <v>0.64339999999999997</v>
      </c>
      <c r="I121" s="3413">
        <f>ROUND(0.5905-0.019*B116,4)</f>
        <v>0.57169999999999999</v>
      </c>
      <c r="J121" s="3413">
        <f t="shared" si="35"/>
        <v>0.57169999999999999</v>
      </c>
      <c r="K121" s="3413">
        <f t="shared" si="35"/>
        <v>0.57169999999999999</v>
      </c>
      <c r="L121" s="3413">
        <f t="shared" si="35"/>
        <v>0.57169999999999999</v>
      </c>
      <c r="M121" s="3414">
        <f t="shared" si="35"/>
        <v>0.57169999999999999</v>
      </c>
      <c r="N121" s="3398"/>
    </row>
    <row r="122" spans="1:14">
      <c r="A122" s="3415" t="s">
        <v>2614</v>
      </c>
      <c r="B122" s="3388">
        <f>ROUND(0.9404-0.0106*B116,4)</f>
        <v>0.92989999999999995</v>
      </c>
      <c r="C122" s="3388">
        <f>B122</f>
        <v>0.92989999999999995</v>
      </c>
      <c r="D122" s="3388">
        <f>ROUND(0.8955-0.0135*B116,4)</f>
        <v>0.8821</v>
      </c>
      <c r="E122" s="3388">
        <f t="shared" ref="E122:H122" si="37">D122</f>
        <v>0.8821</v>
      </c>
      <c r="F122" s="3388">
        <f t="shared" si="37"/>
        <v>0.8821</v>
      </c>
      <c r="G122" s="3388">
        <f t="shared" si="37"/>
        <v>0.8821</v>
      </c>
      <c r="H122" s="3388">
        <f t="shared" si="37"/>
        <v>0.8821</v>
      </c>
      <c r="I122" s="3388">
        <f>ROUND(0.7632-0.0166*B116,4)</f>
        <v>0.74680000000000002</v>
      </c>
      <c r="J122" s="3388">
        <f t="shared" si="35"/>
        <v>0.74680000000000002</v>
      </c>
      <c r="K122" s="3388">
        <f t="shared" si="35"/>
        <v>0.74680000000000002</v>
      </c>
      <c r="L122" s="3388">
        <f t="shared" si="35"/>
        <v>0.74680000000000002</v>
      </c>
      <c r="M122" s="3411">
        <f t="shared" si="35"/>
        <v>0.74680000000000002</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9" t="s">
        <v>2609</v>
      </c>
      <c r="B20" s="3764" t="s">
        <v>2630</v>
      </c>
      <c r="C20" s="3103" t="s">
        <v>2441</v>
      </c>
      <c r="D20" s="3104"/>
      <c r="E20" s="3105">
        <v>1</v>
      </c>
      <c r="F20" s="3106" t="s">
        <v>2442</v>
      </c>
      <c r="G20" s="3106"/>
    </row>
    <row r="21" spans="1:13" ht="19.5" customHeight="1">
      <c r="A21" s="3770"/>
      <c r="B21" s="3763"/>
      <c r="C21" s="3107" t="s">
        <v>2443</v>
      </c>
      <c r="D21" s="3108"/>
      <c r="E21" s="3109">
        <v>1</v>
      </c>
      <c r="F21" s="3106" t="s">
        <v>2444</v>
      </c>
      <c r="G21" s="3106"/>
    </row>
    <row r="22" spans="1:13" ht="19.5" customHeight="1">
      <c r="A22" s="3770"/>
      <c r="B22" s="3763"/>
      <c r="C22" s="3107" t="s">
        <v>2445</v>
      </c>
      <c r="D22" s="3108"/>
      <c r="E22" s="3109">
        <v>0.9</v>
      </c>
      <c r="F22" s="3106" t="s">
        <v>2446</v>
      </c>
      <c r="G22" s="3106"/>
    </row>
    <row r="23" spans="1:13" ht="19.5" customHeight="1">
      <c r="A23" s="3770"/>
      <c r="B23" s="3763"/>
      <c r="C23" s="3107" t="s">
        <v>2447</v>
      </c>
      <c r="D23" s="3108"/>
      <c r="E23" s="3109">
        <v>0.9</v>
      </c>
      <c r="F23" s="3106" t="s">
        <v>2448</v>
      </c>
      <c r="G23" s="3106"/>
    </row>
    <row r="24" spans="1:13" ht="19.5" customHeight="1">
      <c r="A24" s="3770"/>
      <c r="B24" s="3763"/>
      <c r="C24" s="3107" t="s">
        <v>2449</v>
      </c>
      <c r="D24" s="3108"/>
      <c r="E24" s="3109">
        <v>0.8</v>
      </c>
      <c r="F24" s="3106" t="s">
        <v>2450</v>
      </c>
      <c r="G24" s="3106"/>
    </row>
    <row r="25" spans="1:13" ht="19.5" customHeight="1" thickBot="1">
      <c r="A25" s="3771"/>
      <c r="B25" s="3765"/>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6" t="s">
        <v>2633</v>
      </c>
      <c r="B27" s="3764" t="s">
        <v>2614</v>
      </c>
      <c r="C27" s="3103" t="s">
        <v>2454</v>
      </c>
      <c r="D27" s="3104"/>
      <c r="E27" s="3105">
        <v>1</v>
      </c>
      <c r="F27" s="3106" t="s">
        <v>2455</v>
      </c>
      <c r="G27" s="3106"/>
    </row>
    <row r="28" spans="1:13" ht="19.5" customHeight="1">
      <c r="A28" s="3767"/>
      <c r="B28" s="3763"/>
      <c r="C28" s="3107" t="s">
        <v>2456</v>
      </c>
      <c r="D28" s="3108"/>
      <c r="E28" s="3109">
        <v>1</v>
      </c>
      <c r="F28" s="3106" t="s">
        <v>2457</v>
      </c>
      <c r="G28" s="3106"/>
    </row>
    <row r="29" spans="1:13" ht="19.5" customHeight="1">
      <c r="A29" s="3767"/>
      <c r="B29" s="3763"/>
      <c r="C29" s="3107" t="s">
        <v>2458</v>
      </c>
      <c r="D29" s="3108"/>
      <c r="E29" s="3109">
        <v>0.8</v>
      </c>
      <c r="F29" s="3106" t="s">
        <v>2459</v>
      </c>
      <c r="G29" s="3106"/>
    </row>
    <row r="30" spans="1:13" ht="19.5" customHeight="1">
      <c r="A30" s="3767"/>
      <c r="B30" s="3763"/>
      <c r="C30" s="3107" t="s">
        <v>2460</v>
      </c>
      <c r="D30" s="3108"/>
      <c r="E30" s="3109">
        <v>0.8</v>
      </c>
      <c r="F30" s="3106" t="s">
        <v>2461</v>
      </c>
      <c r="G30" s="3106"/>
    </row>
    <row r="31" spans="1:13" ht="19.5" customHeight="1">
      <c r="A31" s="3767"/>
      <c r="B31" s="3763"/>
      <c r="C31" s="3107" t="s">
        <v>2462</v>
      </c>
      <c r="D31" s="3108"/>
      <c r="E31" s="3109">
        <v>0.8</v>
      </c>
      <c r="F31" s="3106" t="s">
        <v>2463</v>
      </c>
      <c r="G31" s="3106"/>
    </row>
    <row r="32" spans="1:13" ht="19.5" customHeight="1">
      <c r="A32" s="3767"/>
      <c r="B32" s="3763"/>
      <c r="C32" s="3107" t="s">
        <v>2464</v>
      </c>
      <c r="D32" s="3108"/>
      <c r="E32" s="3109">
        <v>0.7</v>
      </c>
      <c r="F32" s="3106" t="s">
        <v>2465</v>
      </c>
      <c r="G32" s="3106"/>
    </row>
    <row r="33" spans="1:7" ht="19.5" customHeight="1">
      <c r="A33" s="3767"/>
      <c r="B33" s="3763"/>
      <c r="C33" s="3107" t="s">
        <v>2466</v>
      </c>
      <c r="D33" s="3108"/>
      <c r="E33" s="3109">
        <v>0.8</v>
      </c>
      <c r="F33" s="3106" t="s">
        <v>2467</v>
      </c>
      <c r="G33" s="3106"/>
    </row>
    <row r="34" spans="1:7" ht="19.5" customHeight="1">
      <c r="A34" s="3767"/>
      <c r="B34" s="3763"/>
      <c r="C34" s="3107" t="s">
        <v>2468</v>
      </c>
      <c r="D34" s="3108"/>
      <c r="E34" s="3109">
        <v>0.6</v>
      </c>
      <c r="F34" s="3106" t="s">
        <v>2469</v>
      </c>
      <c r="G34" s="3106"/>
    </row>
    <row r="35" spans="1:7" ht="19.5" customHeight="1">
      <c r="A35" s="3767"/>
      <c r="B35" s="3763"/>
      <c r="C35" s="3107" t="s">
        <v>2470</v>
      </c>
      <c r="D35" s="3108"/>
      <c r="E35" s="3109">
        <v>0.2</v>
      </c>
      <c r="F35" s="3106" t="s">
        <v>2471</v>
      </c>
      <c r="G35" s="3106"/>
    </row>
    <row r="36" spans="1:7" ht="19.5" customHeight="1">
      <c r="A36" s="3767"/>
      <c r="B36" s="3763"/>
      <c r="C36" s="3107" t="s">
        <v>2472</v>
      </c>
      <c r="D36" s="3108"/>
      <c r="E36" s="3109">
        <v>0.2</v>
      </c>
      <c r="F36" s="3106" t="s">
        <v>2473</v>
      </c>
      <c r="G36" s="3106"/>
    </row>
    <row r="37" spans="1:7" ht="19.5" customHeight="1">
      <c r="A37" s="3767"/>
      <c r="B37" s="3761" t="s">
        <v>2634</v>
      </c>
      <c r="C37" s="3107" t="s">
        <v>2474</v>
      </c>
      <c r="D37" s="3108"/>
      <c r="E37" s="3109">
        <v>0.6</v>
      </c>
      <c r="F37" s="3106" t="s">
        <v>2475</v>
      </c>
      <c r="G37" s="3106"/>
    </row>
    <row r="38" spans="1:7" ht="19.5" customHeight="1">
      <c r="A38" s="3767"/>
      <c r="B38" s="3763"/>
      <c r="C38" s="3107" t="s">
        <v>2476</v>
      </c>
      <c r="D38" s="3108"/>
      <c r="E38" s="3109">
        <v>0.6</v>
      </c>
      <c r="F38" s="3106" t="s">
        <v>2477</v>
      </c>
      <c r="G38" s="3106"/>
    </row>
    <row r="39" spans="1:7" ht="19.5" customHeight="1" thickBot="1">
      <c r="A39" s="3768"/>
      <c r="B39" s="3765"/>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9" t="s">
        <v>2612</v>
      </c>
      <c r="B41" s="3764" t="s">
        <v>2636</v>
      </c>
      <c r="C41" s="3103" t="s">
        <v>2481</v>
      </c>
      <c r="D41" s="3104"/>
      <c r="E41" s="3105">
        <v>1</v>
      </c>
      <c r="F41" s="3106" t="s">
        <v>2482</v>
      </c>
      <c r="G41" s="3106"/>
    </row>
    <row r="42" spans="1:7" ht="19.5" customHeight="1">
      <c r="A42" s="3770"/>
      <c r="B42" s="3763"/>
      <c r="C42" s="3107" t="s">
        <v>2483</v>
      </c>
      <c r="D42" s="3108"/>
      <c r="E42" s="3109">
        <v>1</v>
      </c>
      <c r="F42" s="3106" t="s">
        <v>2484</v>
      </c>
      <c r="G42" s="3106"/>
    </row>
    <row r="43" spans="1:7" ht="19.5" customHeight="1">
      <c r="A43" s="3770"/>
      <c r="B43" s="3762"/>
      <c r="C43" s="3107" t="s">
        <v>2485</v>
      </c>
      <c r="D43" s="3108"/>
      <c r="E43" s="3109">
        <v>1.5</v>
      </c>
      <c r="F43" s="3106" t="s">
        <v>2486</v>
      </c>
      <c r="G43" s="3106"/>
    </row>
    <row r="44" spans="1:7" ht="19.5" customHeight="1">
      <c r="A44" s="3770"/>
      <c r="B44" s="3118" t="s">
        <v>2637</v>
      </c>
      <c r="C44" s="3107" t="s">
        <v>2638</v>
      </c>
      <c r="D44" s="3108"/>
      <c r="E44" s="3109">
        <v>2</v>
      </c>
      <c r="F44" s="3106" t="s">
        <v>2487</v>
      </c>
      <c r="G44" s="3106"/>
    </row>
    <row r="45" spans="1:7" ht="19.5" customHeight="1">
      <c r="A45" s="3770"/>
      <c r="B45" s="3761" t="s">
        <v>2639</v>
      </c>
      <c r="C45" s="3107" t="s">
        <v>2488</v>
      </c>
      <c r="D45" s="3108"/>
      <c r="E45" s="3109">
        <v>1</v>
      </c>
      <c r="F45" s="3106" t="s">
        <v>2489</v>
      </c>
      <c r="G45" s="3106"/>
    </row>
    <row r="46" spans="1:7" ht="19.5" customHeight="1">
      <c r="A46" s="3770"/>
      <c r="B46" s="3763"/>
      <c r="C46" s="3107" t="s">
        <v>2490</v>
      </c>
      <c r="D46" s="3108"/>
      <c r="E46" s="3109">
        <v>1</v>
      </c>
      <c r="F46" s="3106" t="s">
        <v>2491</v>
      </c>
      <c r="G46" s="3106"/>
    </row>
    <row r="47" spans="1:7" ht="19.5" customHeight="1">
      <c r="A47" s="3770"/>
      <c r="B47" s="3763"/>
      <c r="C47" s="3107" t="s">
        <v>2492</v>
      </c>
      <c r="D47" s="3108"/>
      <c r="E47" s="3109">
        <v>1</v>
      </c>
      <c r="F47" s="3106" t="s">
        <v>2493</v>
      </c>
      <c r="G47" s="3106"/>
    </row>
    <row r="48" spans="1:7" ht="19.5" customHeight="1">
      <c r="A48" s="3770"/>
      <c r="B48" s="3763"/>
      <c r="C48" s="3107" t="s">
        <v>2494</v>
      </c>
      <c r="D48" s="3108"/>
      <c r="E48" s="3109">
        <v>1</v>
      </c>
      <c r="F48" s="3106" t="s">
        <v>2495</v>
      </c>
      <c r="G48" s="3106"/>
    </row>
    <row r="49" spans="1:7" ht="19.5" customHeight="1">
      <c r="A49" s="3770"/>
      <c r="B49" s="3763"/>
      <c r="C49" s="3107" t="s">
        <v>2496</v>
      </c>
      <c r="D49" s="3108"/>
      <c r="E49" s="3109">
        <v>1</v>
      </c>
      <c r="F49" s="3106" t="s">
        <v>2497</v>
      </c>
      <c r="G49" s="3106"/>
    </row>
    <row r="50" spans="1:7" ht="19.5" customHeight="1">
      <c r="A50" s="3770"/>
      <c r="B50" s="3763"/>
      <c r="C50" s="3107" t="s">
        <v>2498</v>
      </c>
      <c r="D50" s="3108"/>
      <c r="E50" s="3109">
        <v>1</v>
      </c>
      <c r="F50" s="3106" t="s">
        <v>2499</v>
      </c>
      <c r="G50" s="3106"/>
    </row>
    <row r="51" spans="1:7" ht="19.5" customHeight="1" thickBot="1">
      <c r="A51" s="3771"/>
      <c r="B51" s="3765"/>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1" t="s">
        <v>2653</v>
      </c>
      <c r="C73" s="3092" t="s">
        <v>2654</v>
      </c>
      <c r="D73" s="3092" t="s">
        <v>2655</v>
      </c>
      <c r="E73" s="3118">
        <v>0.2</v>
      </c>
      <c r="F73" s="3118">
        <v>25</v>
      </c>
    </row>
    <row r="74" spans="1:7" ht="24">
      <c r="A74" s="3118">
        <v>2</v>
      </c>
      <c r="B74" s="3763"/>
      <c r="C74" s="3092" t="s">
        <v>2656</v>
      </c>
      <c r="D74" s="3092" t="s">
        <v>2657</v>
      </c>
      <c r="E74" s="3118">
        <v>0.2</v>
      </c>
      <c r="F74" s="3118">
        <v>25</v>
      </c>
    </row>
    <row r="75" spans="1:7" ht="24">
      <c r="A75" s="3118">
        <v>3</v>
      </c>
      <c r="B75" s="3763"/>
      <c r="C75" s="3092" t="s">
        <v>2658</v>
      </c>
      <c r="D75" s="3092" t="s">
        <v>2659</v>
      </c>
      <c r="E75" s="3118">
        <v>0.2</v>
      </c>
      <c r="F75" s="3118">
        <v>25</v>
      </c>
    </row>
    <row r="76" spans="1:7" ht="13.5">
      <c r="A76" s="3118">
        <v>4</v>
      </c>
      <c r="B76" s="3763"/>
      <c r="C76" s="3092" t="s">
        <v>2660</v>
      </c>
      <c r="D76" s="3092" t="s">
        <v>2661</v>
      </c>
      <c r="E76" s="3118">
        <v>0.15</v>
      </c>
      <c r="F76" s="3118">
        <v>20</v>
      </c>
    </row>
    <row r="77" spans="1:7" ht="24">
      <c r="A77" s="3118">
        <v>5</v>
      </c>
      <c r="B77" s="3763"/>
      <c r="C77" s="3092" t="s">
        <v>2662</v>
      </c>
      <c r="D77" s="3092" t="s">
        <v>2663</v>
      </c>
      <c r="E77" s="3118">
        <v>0.15</v>
      </c>
      <c r="F77" s="3118">
        <v>20</v>
      </c>
    </row>
    <row r="78" spans="1:7" ht="24">
      <c r="A78" s="3118">
        <v>6</v>
      </c>
      <c r="B78" s="3763"/>
      <c r="C78" s="3092" t="s">
        <v>2664</v>
      </c>
      <c r="D78" s="3092" t="s">
        <v>2665</v>
      </c>
      <c r="E78" s="3118">
        <v>0.15</v>
      </c>
      <c r="F78" s="3118">
        <v>20</v>
      </c>
    </row>
    <row r="79" spans="1:7" ht="24">
      <c r="A79" s="3118">
        <v>7</v>
      </c>
      <c r="B79" s="3763"/>
      <c r="C79" s="3092" t="s">
        <v>2666</v>
      </c>
      <c r="D79" s="3092" t="s">
        <v>2667</v>
      </c>
      <c r="E79" s="3118">
        <v>0.15</v>
      </c>
      <c r="F79" s="3118">
        <v>20</v>
      </c>
    </row>
    <row r="80" spans="1:7" ht="24">
      <c r="A80" s="3118">
        <v>8</v>
      </c>
      <c r="B80" s="3763"/>
      <c r="C80" s="3092" t="s">
        <v>2668</v>
      </c>
      <c r="D80" s="3092" t="s">
        <v>2669</v>
      </c>
      <c r="E80" s="3118">
        <v>0.1</v>
      </c>
      <c r="F80" s="3118">
        <v>15</v>
      </c>
    </row>
    <row r="81" spans="1:6" ht="24">
      <c r="A81" s="3118">
        <v>9</v>
      </c>
      <c r="B81" s="3763"/>
      <c r="C81" s="3092" t="s">
        <v>2670</v>
      </c>
      <c r="D81" s="3092" t="s">
        <v>2671</v>
      </c>
      <c r="E81" s="3118">
        <v>0.1</v>
      </c>
      <c r="F81" s="3118">
        <v>15</v>
      </c>
    </row>
    <row r="82" spans="1:6" ht="24">
      <c r="A82" s="3118">
        <v>10</v>
      </c>
      <c r="B82" s="3763"/>
      <c r="C82" s="3092" t="s">
        <v>2672</v>
      </c>
      <c r="D82" s="3092" t="s">
        <v>2673</v>
      </c>
      <c r="E82" s="3118">
        <v>0.1</v>
      </c>
      <c r="F82" s="3118">
        <v>15</v>
      </c>
    </row>
    <row r="83" spans="1:6" ht="24">
      <c r="A83" s="3118">
        <v>11</v>
      </c>
      <c r="B83" s="3763"/>
      <c r="C83" s="3092" t="s">
        <v>2674</v>
      </c>
      <c r="D83" s="3092" t="s">
        <v>2675</v>
      </c>
      <c r="E83" s="3118">
        <v>0.1</v>
      </c>
      <c r="F83" s="3118">
        <v>15</v>
      </c>
    </row>
    <row r="84" spans="1:6" ht="24">
      <c r="A84" s="3118">
        <v>12</v>
      </c>
      <c r="B84" s="3763"/>
      <c r="C84" s="3092" t="s">
        <v>2676</v>
      </c>
      <c r="D84" s="3092" t="s">
        <v>2677</v>
      </c>
      <c r="E84" s="3118">
        <v>0.1</v>
      </c>
      <c r="F84" s="3118">
        <v>15</v>
      </c>
    </row>
    <row r="85" spans="1:6" ht="13.5">
      <c r="A85" s="3118">
        <v>13</v>
      </c>
      <c r="B85" s="3763"/>
      <c r="C85" s="3092" t="s">
        <v>2678</v>
      </c>
      <c r="D85" s="3092" t="s">
        <v>2679</v>
      </c>
      <c r="E85" s="3118">
        <v>0.1</v>
      </c>
      <c r="F85" s="3118">
        <v>15</v>
      </c>
    </row>
    <row r="86" spans="1:6" ht="13.5">
      <c r="A86" s="3118">
        <v>14</v>
      </c>
      <c r="B86" s="3763"/>
      <c r="C86" s="3092" t="s">
        <v>2680</v>
      </c>
      <c r="D86" s="3092" t="s">
        <v>2681</v>
      </c>
      <c r="E86" s="3118">
        <v>0.1</v>
      </c>
      <c r="F86" s="3118">
        <v>15</v>
      </c>
    </row>
    <row r="87" spans="1:6" ht="13.5">
      <c r="A87" s="3118">
        <v>15</v>
      </c>
      <c r="B87" s="3763"/>
      <c r="C87" s="3092" t="s">
        <v>2682</v>
      </c>
      <c r="D87" s="3092" t="s">
        <v>2683</v>
      </c>
      <c r="E87" s="3118">
        <v>0.1</v>
      </c>
      <c r="F87" s="3118">
        <v>15</v>
      </c>
    </row>
    <row r="88" spans="1:6" ht="24">
      <c r="A88" s="3118">
        <v>16</v>
      </c>
      <c r="B88" s="3763"/>
      <c r="C88" s="3092" t="s">
        <v>2684</v>
      </c>
      <c r="D88" s="3092" t="s">
        <v>2685</v>
      </c>
      <c r="E88" s="3118">
        <v>0.1</v>
      </c>
      <c r="F88" s="3118">
        <v>15</v>
      </c>
    </row>
    <row r="89" spans="1:6" ht="24">
      <c r="A89" s="3118">
        <v>17</v>
      </c>
      <c r="B89" s="3762"/>
      <c r="C89" s="3092" t="s">
        <v>2686</v>
      </c>
      <c r="D89" s="3092" t="s">
        <v>2687</v>
      </c>
      <c r="E89" s="3118">
        <v>0.1</v>
      </c>
      <c r="F89" s="3118">
        <v>15</v>
      </c>
    </row>
    <row r="90" spans="1:6" ht="13.5">
      <c r="A90" s="3118">
        <v>18</v>
      </c>
      <c r="B90" s="3761" t="s">
        <v>2688</v>
      </c>
      <c r="C90" s="3092" t="s">
        <v>2689</v>
      </c>
      <c r="D90" s="3092" t="s">
        <v>2690</v>
      </c>
      <c r="E90" s="3118">
        <v>0.2</v>
      </c>
      <c r="F90" s="3118">
        <v>25</v>
      </c>
    </row>
    <row r="91" spans="1:6" ht="24">
      <c r="A91" s="3118">
        <v>19</v>
      </c>
      <c r="B91" s="3763"/>
      <c r="C91" s="3092" t="s">
        <v>2691</v>
      </c>
      <c r="D91" s="3092" t="s">
        <v>2692</v>
      </c>
      <c r="E91" s="3118">
        <v>0.2</v>
      </c>
      <c r="F91" s="3118">
        <v>25</v>
      </c>
    </row>
    <row r="92" spans="1:6" ht="13.5">
      <c r="A92" s="3118">
        <v>20</v>
      </c>
      <c r="B92" s="3763"/>
      <c r="C92" s="3092" t="s">
        <v>2693</v>
      </c>
      <c r="D92" s="3092" t="s">
        <v>2694</v>
      </c>
      <c r="E92" s="3118">
        <v>0.15</v>
      </c>
      <c r="F92" s="3118">
        <v>20</v>
      </c>
    </row>
    <row r="93" spans="1:6" ht="13.5">
      <c r="A93" s="3118">
        <v>21</v>
      </c>
      <c r="B93" s="3763"/>
      <c r="C93" s="3092" t="s">
        <v>2695</v>
      </c>
      <c r="D93" s="3092" t="s">
        <v>2696</v>
      </c>
      <c r="E93" s="3118">
        <v>0.15</v>
      </c>
      <c r="F93" s="3118">
        <v>20</v>
      </c>
    </row>
    <row r="94" spans="1:6" ht="13.5">
      <c r="A94" s="3118">
        <v>22</v>
      </c>
      <c r="B94" s="3763"/>
      <c r="C94" s="3092" t="s">
        <v>2697</v>
      </c>
      <c r="D94" s="3092" t="s">
        <v>2698</v>
      </c>
      <c r="E94" s="3118">
        <v>0.15</v>
      </c>
      <c r="F94" s="3118">
        <v>20</v>
      </c>
    </row>
    <row r="95" spans="1:6" ht="36">
      <c r="A95" s="3118">
        <v>23</v>
      </c>
      <c r="B95" s="3763"/>
      <c r="C95" s="3092" t="s">
        <v>2699</v>
      </c>
      <c r="D95" s="3092" t="s">
        <v>2700</v>
      </c>
      <c r="E95" s="3118">
        <v>0.15</v>
      </c>
      <c r="F95" s="3118">
        <v>20</v>
      </c>
    </row>
    <row r="96" spans="1:6" ht="13.5">
      <c r="A96" s="3118">
        <v>24</v>
      </c>
      <c r="B96" s="3763"/>
      <c r="C96" s="3092" t="s">
        <v>2701</v>
      </c>
      <c r="D96" s="3092" t="s">
        <v>2702</v>
      </c>
      <c r="E96" s="3118">
        <v>0.1</v>
      </c>
      <c r="F96" s="3118">
        <v>15</v>
      </c>
    </row>
    <row r="97" spans="1:6" ht="13.5">
      <c r="A97" s="3118">
        <v>25</v>
      </c>
      <c r="B97" s="3763"/>
      <c r="C97" s="3092" t="s">
        <v>2703</v>
      </c>
      <c r="D97" s="3092" t="s">
        <v>2704</v>
      </c>
      <c r="E97" s="3118">
        <v>0.1</v>
      </c>
      <c r="F97" s="3118">
        <v>15</v>
      </c>
    </row>
    <row r="98" spans="1:6" ht="24">
      <c r="A98" s="3118">
        <v>26</v>
      </c>
      <c r="B98" s="3763"/>
      <c r="C98" s="3092" t="s">
        <v>2705</v>
      </c>
      <c r="D98" s="3092" t="s">
        <v>2706</v>
      </c>
      <c r="E98" s="3118">
        <v>0.1</v>
      </c>
      <c r="F98" s="3118">
        <v>15</v>
      </c>
    </row>
    <row r="99" spans="1:6" ht="24">
      <c r="A99" s="3118">
        <v>27</v>
      </c>
      <c r="B99" s="3763"/>
      <c r="C99" s="3092" t="s">
        <v>2707</v>
      </c>
      <c r="D99" s="3092" t="s">
        <v>2708</v>
      </c>
      <c r="E99" s="3118">
        <v>0.1</v>
      </c>
      <c r="F99" s="3118">
        <v>15</v>
      </c>
    </row>
    <row r="100" spans="1:6" ht="13.5">
      <c r="A100" s="3118">
        <v>28</v>
      </c>
      <c r="B100" s="3763"/>
      <c r="C100" s="3092" t="s">
        <v>2709</v>
      </c>
      <c r="D100" s="3092" t="s">
        <v>2710</v>
      </c>
      <c r="E100" s="3118">
        <v>0.1</v>
      </c>
      <c r="F100" s="3118">
        <v>15</v>
      </c>
    </row>
    <row r="101" spans="1:6" ht="13.5">
      <c r="A101" s="3118">
        <v>29</v>
      </c>
      <c r="B101" s="3763"/>
      <c r="C101" s="3092" t="s">
        <v>2711</v>
      </c>
      <c r="D101" s="3092" t="s">
        <v>2712</v>
      </c>
      <c r="E101" s="3118">
        <v>0.1</v>
      </c>
      <c r="F101" s="3118">
        <v>15</v>
      </c>
    </row>
    <row r="102" spans="1:6" ht="13.5">
      <c r="A102" s="3118">
        <v>30</v>
      </c>
      <c r="B102" s="3763"/>
      <c r="C102" s="3092" t="s">
        <v>2713</v>
      </c>
      <c r="D102" s="3092" t="s">
        <v>2714</v>
      </c>
      <c r="E102" s="3118">
        <v>0.1</v>
      </c>
      <c r="F102" s="3118">
        <v>15</v>
      </c>
    </row>
    <row r="103" spans="1:6" ht="24">
      <c r="A103" s="3118">
        <v>31</v>
      </c>
      <c r="B103" s="3763"/>
      <c r="C103" s="3092" t="s">
        <v>2715</v>
      </c>
      <c r="D103" s="3092" t="s">
        <v>2716</v>
      </c>
      <c r="E103" s="3118">
        <v>0.1</v>
      </c>
      <c r="F103" s="3118">
        <v>15</v>
      </c>
    </row>
    <row r="104" spans="1:6" ht="24">
      <c r="A104" s="3118">
        <v>32</v>
      </c>
      <c r="B104" s="3763"/>
      <c r="C104" s="3092" t="s">
        <v>2717</v>
      </c>
      <c r="D104" s="3092" t="s">
        <v>2718</v>
      </c>
      <c r="E104" s="3118">
        <v>0.1</v>
      </c>
      <c r="F104" s="3118">
        <v>15</v>
      </c>
    </row>
    <row r="105" spans="1:6" ht="24">
      <c r="A105" s="3118">
        <v>33</v>
      </c>
      <c r="B105" s="3763"/>
      <c r="C105" s="3092" t="s">
        <v>2719</v>
      </c>
      <c r="D105" s="3092" t="s">
        <v>2720</v>
      </c>
      <c r="E105" s="3118">
        <v>0.1</v>
      </c>
      <c r="F105" s="3118">
        <v>15</v>
      </c>
    </row>
    <row r="106" spans="1:6" ht="24">
      <c r="A106" s="3118">
        <v>34</v>
      </c>
      <c r="B106" s="3762"/>
      <c r="C106" s="3092" t="s">
        <v>2721</v>
      </c>
      <c r="D106" s="3092" t="s">
        <v>2722</v>
      </c>
      <c r="E106" s="3118">
        <v>0.1</v>
      </c>
      <c r="F106" s="3118">
        <v>15</v>
      </c>
    </row>
    <row r="107" spans="1:6" ht="24">
      <c r="A107" s="3118">
        <v>35</v>
      </c>
      <c r="B107" s="3761" t="s">
        <v>2723</v>
      </c>
      <c r="C107" s="3118" t="s">
        <v>2724</v>
      </c>
      <c r="D107" s="3092" t="s">
        <v>2725</v>
      </c>
      <c r="E107" s="3118">
        <v>0.15</v>
      </c>
      <c r="F107" s="3118">
        <v>20</v>
      </c>
    </row>
    <row r="108" spans="1:6" ht="13.5">
      <c r="A108" s="3118">
        <v>36</v>
      </c>
      <c r="B108" s="3763"/>
      <c r="C108" s="3118" t="s">
        <v>2726</v>
      </c>
      <c r="D108" s="3092" t="s">
        <v>2727</v>
      </c>
      <c r="E108" s="3118">
        <v>0.15</v>
      </c>
      <c r="F108" s="3118">
        <v>20</v>
      </c>
    </row>
    <row r="109" spans="1:6" ht="13.5">
      <c r="A109" s="3118">
        <v>37</v>
      </c>
      <c r="B109" s="3763"/>
      <c r="C109" s="3118" t="s">
        <v>2728</v>
      </c>
      <c r="D109" s="3092" t="s">
        <v>2729</v>
      </c>
      <c r="E109" s="3118">
        <v>0.15</v>
      </c>
      <c r="F109" s="3118">
        <v>20</v>
      </c>
    </row>
    <row r="110" spans="1:6" ht="13.5">
      <c r="A110" s="3118">
        <v>38</v>
      </c>
      <c r="B110" s="3763"/>
      <c r="C110" s="3118" t="s">
        <v>2730</v>
      </c>
      <c r="D110" s="3092" t="s">
        <v>2731</v>
      </c>
      <c r="E110" s="3118">
        <v>0.1</v>
      </c>
      <c r="F110" s="3118">
        <v>15</v>
      </c>
    </row>
    <row r="111" spans="1:6" ht="24">
      <c r="A111" s="3118">
        <v>39</v>
      </c>
      <c r="B111" s="3763"/>
      <c r="C111" s="3118" t="s">
        <v>2732</v>
      </c>
      <c r="D111" s="3092" t="s">
        <v>2733</v>
      </c>
      <c r="E111" s="3118">
        <v>0.1</v>
      </c>
      <c r="F111" s="3118">
        <v>15</v>
      </c>
    </row>
    <row r="112" spans="1:6" ht="24">
      <c r="A112" s="3118">
        <v>40</v>
      </c>
      <c r="B112" s="3762"/>
      <c r="C112" s="3118" t="s">
        <v>2734</v>
      </c>
      <c r="D112" s="3092" t="s">
        <v>2735</v>
      </c>
      <c r="E112" s="3118">
        <v>0.1</v>
      </c>
      <c r="F112" s="3118">
        <v>15</v>
      </c>
    </row>
    <row r="113" spans="1:6" ht="13.5">
      <c r="A113" s="3118">
        <v>41</v>
      </c>
      <c r="B113" s="3760" t="s">
        <v>2736</v>
      </c>
      <c r="C113" s="3118" t="s">
        <v>2737</v>
      </c>
      <c r="D113" s="3092" t="s">
        <v>2738</v>
      </c>
      <c r="E113" s="3118">
        <v>0.1</v>
      </c>
      <c r="F113" s="3118">
        <v>15</v>
      </c>
    </row>
    <row r="114" spans="1:6" ht="13.5">
      <c r="A114" s="3118">
        <v>42</v>
      </c>
      <c r="B114" s="3760"/>
      <c r="C114" s="3118" t="s">
        <v>2739</v>
      </c>
      <c r="D114" s="3092" t="s">
        <v>2740</v>
      </c>
      <c r="E114" s="3118">
        <v>0.1</v>
      </c>
      <c r="F114" s="3118">
        <v>15</v>
      </c>
    </row>
    <row r="115" spans="1:6" ht="24">
      <c r="A115" s="3118">
        <v>43</v>
      </c>
      <c r="B115" s="3760"/>
      <c r="C115" s="3118" t="s">
        <v>2741</v>
      </c>
      <c r="D115" s="3092" t="s">
        <v>2742</v>
      </c>
      <c r="E115" s="3118">
        <v>0.1</v>
      </c>
      <c r="F115" s="3118">
        <v>15</v>
      </c>
    </row>
    <row r="116" spans="1:6" ht="13.5">
      <c r="A116" s="3118">
        <v>44</v>
      </c>
      <c r="B116" s="3761" t="s">
        <v>2743</v>
      </c>
      <c r="C116" s="3118" t="s">
        <v>2744</v>
      </c>
      <c r="D116" s="3092" t="s">
        <v>2745</v>
      </c>
      <c r="E116" s="3118">
        <v>0.1</v>
      </c>
      <c r="F116" s="3118">
        <v>15</v>
      </c>
    </row>
    <row r="117" spans="1:6" ht="24">
      <c r="A117" s="3118">
        <v>45</v>
      </c>
      <c r="B117" s="3762"/>
      <c r="C117" s="3092" t="s">
        <v>2746</v>
      </c>
      <c r="D117" s="3092" t="s">
        <v>2747</v>
      </c>
      <c r="E117" s="3118">
        <v>0.1</v>
      </c>
      <c r="F117" s="3118">
        <v>15</v>
      </c>
    </row>
    <row r="118" spans="1:6" ht="24">
      <c r="A118" s="3118">
        <v>46</v>
      </c>
      <c r="B118" s="3761" t="s">
        <v>2748</v>
      </c>
      <c r="C118" s="3118" t="s">
        <v>2749</v>
      </c>
      <c r="D118" s="3092" t="s">
        <v>2750</v>
      </c>
      <c r="E118" s="3118">
        <v>0.1</v>
      </c>
      <c r="F118" s="3118">
        <v>15</v>
      </c>
    </row>
    <row r="119" spans="1:6" ht="24">
      <c r="A119" s="3118">
        <v>47</v>
      </c>
      <c r="B119" s="3762"/>
      <c r="C119" s="3118" t="s">
        <v>2751</v>
      </c>
      <c r="D119" s="3092" t="s">
        <v>2752</v>
      </c>
      <c r="E119" s="3118">
        <v>0.1</v>
      </c>
      <c r="F119" s="3118">
        <v>15</v>
      </c>
    </row>
    <row r="120" spans="1:6" ht="13.5">
      <c r="A120" s="3118">
        <v>48</v>
      </c>
      <c r="B120" s="3761" t="s">
        <v>2753</v>
      </c>
      <c r="C120" s="3118" t="s">
        <v>2754</v>
      </c>
      <c r="D120" s="3092" t="s">
        <v>2755</v>
      </c>
      <c r="E120" s="3118">
        <v>0.1</v>
      </c>
      <c r="F120" s="3118">
        <v>15</v>
      </c>
    </row>
    <row r="121" spans="1:6" ht="13.5">
      <c r="A121" s="3118">
        <v>49</v>
      </c>
      <c r="B121" s="3762"/>
      <c r="C121" s="3118" t="s">
        <v>2756</v>
      </c>
      <c r="D121" s="3092" t="s">
        <v>2757</v>
      </c>
      <c r="E121" s="3118">
        <v>0.1</v>
      </c>
      <c r="F121" s="3118">
        <v>15</v>
      </c>
    </row>
    <row r="122" spans="1:6" ht="24">
      <c r="A122" s="3118">
        <v>50</v>
      </c>
      <c r="B122" s="3760" t="s">
        <v>2758</v>
      </c>
      <c r="C122" s="3118" t="s">
        <v>2759</v>
      </c>
      <c r="D122" s="3092" t="s">
        <v>2760</v>
      </c>
      <c r="E122" s="3118">
        <v>0.1</v>
      </c>
      <c r="F122" s="3118">
        <v>15</v>
      </c>
    </row>
    <row r="123" spans="1:6" ht="24">
      <c r="A123" s="3118">
        <v>51</v>
      </c>
      <c r="B123" s="3760"/>
      <c r="C123" s="3118" t="s">
        <v>2761</v>
      </c>
      <c r="D123" s="3092" t="s">
        <v>2762</v>
      </c>
      <c r="E123" s="3118">
        <v>0.1</v>
      </c>
      <c r="F123" s="3118">
        <v>15</v>
      </c>
    </row>
    <row r="124" spans="1:6" ht="24">
      <c r="A124" s="3118">
        <v>52</v>
      </c>
      <c r="B124" s="3760" t="s">
        <v>2763</v>
      </c>
      <c r="C124" s="3118" t="s">
        <v>2764</v>
      </c>
      <c r="D124" s="3092" t="s">
        <v>2765</v>
      </c>
      <c r="E124" s="3118">
        <v>0.1</v>
      </c>
      <c r="F124" s="3118">
        <v>15</v>
      </c>
    </row>
    <row r="125" spans="1:6" ht="24">
      <c r="A125" s="3118">
        <v>53</v>
      </c>
      <c r="B125" s="3760"/>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0" t="s">
        <v>2771</v>
      </c>
      <c r="C127" s="3118" t="s">
        <v>2772</v>
      </c>
      <c r="D127" s="3092" t="s">
        <v>2773</v>
      </c>
      <c r="E127" s="3118">
        <v>0.1</v>
      </c>
      <c r="F127" s="3118">
        <v>15</v>
      </c>
    </row>
    <row r="128" spans="1:6" ht="13.5">
      <c r="A128" s="3118">
        <v>56</v>
      </c>
      <c r="B128" s="3760"/>
      <c r="C128" s="3118" t="s">
        <v>2774</v>
      </c>
      <c r="D128" s="3092" t="s">
        <v>2775</v>
      </c>
      <c r="E128" s="3118">
        <v>0.1</v>
      </c>
      <c r="F128" s="3118">
        <v>15</v>
      </c>
    </row>
    <row r="129" spans="1:6" ht="24">
      <c r="A129" s="3118">
        <v>57</v>
      </c>
      <c r="B129" s="3760"/>
      <c r="C129" s="3118" t="s">
        <v>2776</v>
      </c>
      <c r="D129" s="3092" t="s">
        <v>2777</v>
      </c>
      <c r="E129" s="3118">
        <v>0.1</v>
      </c>
      <c r="F129" s="3118">
        <v>15</v>
      </c>
    </row>
    <row r="130" spans="1:6" ht="24">
      <c r="A130" s="3118">
        <v>58</v>
      </c>
      <c r="B130" s="3760" t="s">
        <v>2778</v>
      </c>
      <c r="C130" s="3118" t="s">
        <v>2779</v>
      </c>
      <c r="D130" s="3092" t="s">
        <v>2780</v>
      </c>
      <c r="E130" s="3118">
        <v>0.1</v>
      </c>
      <c r="F130" s="3118">
        <v>15</v>
      </c>
    </row>
    <row r="131" spans="1:6" ht="13.5">
      <c r="A131" s="3118">
        <v>59</v>
      </c>
      <c r="B131" s="3760"/>
      <c r="C131" s="3118" t="s">
        <v>2781</v>
      </c>
      <c r="D131" s="3092" t="s">
        <v>2782</v>
      </c>
      <c r="E131" s="3118">
        <v>0.1</v>
      </c>
      <c r="F131" s="3118">
        <v>15</v>
      </c>
    </row>
    <row r="132" spans="1:6" ht="13.5">
      <c r="A132" s="3118">
        <v>60</v>
      </c>
      <c r="B132" s="3761" t="s">
        <v>2783</v>
      </c>
      <c r="C132" s="3118" t="s">
        <v>2784</v>
      </c>
      <c r="D132" s="3092" t="s">
        <v>2785</v>
      </c>
      <c r="E132" s="3118">
        <v>0.1</v>
      </c>
      <c r="F132" s="3118">
        <v>15</v>
      </c>
    </row>
    <row r="133" spans="1:6" ht="13.5">
      <c r="A133" s="3118">
        <v>61</v>
      </c>
      <c r="B133" s="376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0" t="s">
        <v>2791</v>
      </c>
      <c r="C135" s="3118" t="s">
        <v>2792</v>
      </c>
      <c r="D135" s="3092" t="s">
        <v>2793</v>
      </c>
      <c r="E135" s="3118">
        <v>0.1</v>
      </c>
      <c r="F135" s="3118">
        <v>15</v>
      </c>
    </row>
    <row r="136" spans="1:6" ht="13.5">
      <c r="A136" s="3118">
        <v>64</v>
      </c>
      <c r="B136" s="3760"/>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34237</v>
      </c>
      <c r="C2" s="2" t="s">
        <v>106</v>
      </c>
      <c r="D2" s="199"/>
      <c r="E2" s="199"/>
      <c r="F2" s="199"/>
      <c r="G2" s="199"/>
    </row>
    <row r="3" spans="1:7" s="200" customFormat="1" ht="18" customHeight="1" thickBot="1">
      <c r="A3" s="203" t="s">
        <v>58</v>
      </c>
      <c r="B3" s="204">
        <f ca="1">ROUND(B2*10000/'数据-汇总表'!E3,0)</f>
        <v>9936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689</v>
      </c>
      <c r="D10" s="845">
        <f>'数据-汇总表'!E6</f>
        <v>34459.100000000006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689</v>
      </c>
      <c r="D19" s="849">
        <f>'数据-汇总表'!E3</f>
        <v>34459.100000000006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802</v>
      </c>
      <c r="D22" s="235">
        <f ca="1">C26</f>
        <v>4.0000000000000002E-4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768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26</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1304</v>
      </c>
      <c r="D27" s="235">
        <f>C29</f>
        <v>1.1999999999999999E-3</v>
      </c>
      <c r="E27" s="236" t="s">
        <v>99</v>
      </c>
      <c r="F27" s="246">
        <f>'数据-取费表'!Q16</f>
        <v>0.1</v>
      </c>
      <c r="G27" s="247" t="s">
        <v>431</v>
      </c>
    </row>
    <row r="28" spans="1:7" s="214" customFormat="1" ht="13.5" customHeight="1">
      <c r="A28" s="780" t="s">
        <v>349</v>
      </c>
      <c r="B28" s="248" t="s">
        <v>424</v>
      </c>
      <c r="C28" s="249">
        <f>ROUND((C5+C19+C20)*F27*'数据-取费表'!B21/'数据-取费表'!B20,0)</f>
        <v>1304</v>
      </c>
      <c r="D28" s="235"/>
      <c r="E28" s="236"/>
      <c r="F28" s="246"/>
      <c r="G28" s="247"/>
    </row>
    <row r="29" spans="1:7" s="214" customFormat="1" ht="13.5" customHeight="1">
      <c r="A29" s="780" t="s">
        <v>347</v>
      </c>
      <c r="B29" s="248" t="s">
        <v>425</v>
      </c>
      <c r="C29" s="238">
        <f>ROUND(C21*F27*'数据-取费表'!B21/'数据-取费表'!B20,4)</f>
        <v>1.1999999999999999E-3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6202</v>
      </c>
      <c r="D34" s="217"/>
      <c r="E34" s="220"/>
      <c r="F34" s="257">
        <f>IF('数据-取费表'!B24=0,1,'数据-取费表'!N16)</f>
        <v>0.6</v>
      </c>
      <c r="G34" s="219" t="s">
        <v>89</v>
      </c>
    </row>
    <row r="35" spans="1:7" ht="13.5" customHeight="1">
      <c r="A35" s="780" t="s">
        <v>351</v>
      </c>
      <c r="B35" s="215" t="s">
        <v>33</v>
      </c>
      <c r="C35" s="220">
        <f>ROUND(C34*F35,0)</f>
        <v>186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414</v>
      </c>
      <c r="D37" s="217">
        <f>'数据-汇总表'!E3</f>
        <v>34459.100000000006</v>
      </c>
      <c r="E37" s="249">
        <f>'数据-取费表'!B35</f>
        <v>200</v>
      </c>
      <c r="F37" s="259"/>
      <c r="G37" s="261" t="s">
        <v>92</v>
      </c>
    </row>
    <row r="38" spans="1:7" ht="13.5" customHeight="1">
      <c r="A38" s="780" t="s">
        <v>354</v>
      </c>
      <c r="B38" s="215" t="s">
        <v>36</v>
      </c>
      <c r="C38" s="220">
        <f>ROUND(C34*F38,0)</f>
        <v>93</v>
      </c>
      <c r="D38" s="220"/>
      <c r="E38" s="220"/>
      <c r="F38" s="259">
        <f>'数据-取费表'!B36</f>
        <v>1.4999999999999999E-2</v>
      </c>
      <c r="G38" s="219" t="s">
        <v>90</v>
      </c>
    </row>
    <row r="39" spans="1:7" s="214" customFormat="1" ht="13.5" customHeight="1">
      <c r="A39" s="777" t="s">
        <v>338</v>
      </c>
      <c r="B39" s="210" t="s">
        <v>77</v>
      </c>
      <c r="C39" s="232">
        <f>ROUND(C33*F20,0)</f>
        <v>138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130</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127</v>
      </c>
      <c r="D42" s="238"/>
      <c r="E42" s="238"/>
      <c r="F42" s="239"/>
      <c r="G42" s="3636" t="s">
        <v>94</v>
      </c>
    </row>
    <row r="43" spans="1:7" ht="13.5" customHeight="1">
      <c r="A43" s="780" t="s">
        <v>347</v>
      </c>
      <c r="B43" s="215" t="s">
        <v>426</v>
      </c>
      <c r="C43" s="238">
        <f ca="1">ROUND(IF('数据-取费表'!B22&lt;=1,C39*F22*'数据-取费表'!B21/2,C39*(POWER((1+F22),'数据-取费表'!B21/2)-1)),0)</f>
        <v>3</v>
      </c>
      <c r="D43" s="238"/>
      <c r="E43" s="238"/>
      <c r="F43" s="239"/>
      <c r="G43" s="3637"/>
    </row>
    <row r="44" spans="1:7" ht="13.5" customHeight="1">
      <c r="A44" s="780" t="s">
        <v>348</v>
      </c>
      <c r="B44" s="215" t="s">
        <v>428</v>
      </c>
      <c r="C44" s="238">
        <f ca="1">ROUND(IF('数据-取费表'!B22&lt;=1,C40*F22*'数据-取费表'!B21/2,C40*(POWER((1+F22),'数据-取费表'!B21/2)-1)),4)</f>
        <v>4.0000000000000002E-4</v>
      </c>
      <c r="D44" s="238"/>
      <c r="E44" s="238"/>
      <c r="F44" s="239"/>
      <c r="G44" s="3638"/>
    </row>
    <row r="45" spans="1:7" s="214" customFormat="1" ht="13.5" customHeight="1">
      <c r="A45" s="777" t="s">
        <v>341</v>
      </c>
      <c r="B45" s="244" t="s">
        <v>85</v>
      </c>
      <c r="C45" s="245">
        <f>C46</f>
        <v>703</v>
      </c>
      <c r="D45" s="235">
        <f>C47</f>
        <v>2E-3</v>
      </c>
      <c r="E45" s="236" t="s">
        <v>102</v>
      </c>
      <c r="F45" s="246"/>
      <c r="G45" s="247" t="s">
        <v>434</v>
      </c>
    </row>
    <row r="46" spans="1:7" s="214" customFormat="1" ht="13.5" customHeight="1">
      <c r="A46" s="780" t="s">
        <v>349</v>
      </c>
      <c r="B46" s="248" t="s">
        <v>427</v>
      </c>
      <c r="C46" s="249">
        <f>ROUND((C33+C39)*F27,0)</f>
        <v>703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8502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8502</v>
      </c>
      <c r="D51" s="232"/>
      <c r="E51" s="232"/>
      <c r="F51" s="264"/>
      <c r="G51" s="234" t="s">
        <v>37</v>
      </c>
    </row>
    <row r="52" spans="1:7" s="208" customFormat="1" ht="16.5" thickBot="1">
      <c r="A52" s="265" t="s">
        <v>38</v>
      </c>
      <c r="B52" s="266"/>
      <c r="C52" s="267">
        <f ca="1">C31+C51</f>
        <v>34237</v>
      </c>
      <c r="D52" s="266"/>
      <c r="E52" s="266"/>
      <c r="F52" s="266"/>
      <c r="G52" s="268"/>
    </row>
    <row r="55" spans="1:7" ht="15">
      <c r="B55" s="270" t="s">
        <v>39</v>
      </c>
      <c r="C55" s="271"/>
    </row>
    <row r="56" spans="1:7">
      <c r="B56" s="273" t="s">
        <v>40</v>
      </c>
      <c r="C56" s="274">
        <f ca="1">ROUND(C51/C52,3)</f>
        <v>0.248</v>
      </c>
    </row>
    <row r="57" spans="1:7">
      <c r="B57" s="273" t="s">
        <v>41</v>
      </c>
      <c r="C57" s="275">
        <f ca="1">1-C56</f>
        <v>0.752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12483</v>
      </c>
      <c r="E5" s="1491"/>
    </row>
    <row r="6" spans="1:5" ht="15.75">
      <c r="A6" s="1491"/>
      <c r="B6" s="3455"/>
      <c r="C6" s="1494" t="s">
        <v>911</v>
      </c>
      <c r="D6" s="850" t="str">
        <f ca="1">NUMBERSTRING(INT(D5*10000),2)&amp;"元整"</f>
        <v>壹亿贰仟肆佰捌拾叁万元整</v>
      </c>
      <c r="E6" s="1491"/>
    </row>
    <row r="7" spans="1:5" ht="15.75">
      <c r="A7" s="1491"/>
      <c r="B7" s="3460"/>
      <c r="C7" s="1495" t="s">
        <v>912</v>
      </c>
      <c r="D7" s="851">
        <f ca="1">结果表!H102</f>
        <v>3623</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12483</v>
      </c>
      <c r="E13" s="1491"/>
    </row>
    <row r="14" spans="1:5" ht="15.75">
      <c r="A14" s="1491"/>
      <c r="B14" s="3455"/>
      <c r="C14" s="1494" t="s">
        <v>911</v>
      </c>
      <c r="D14" s="850" t="str">
        <f ca="1">NUMBERSTRING(INT(D13*10000),2)&amp;"元整"</f>
        <v>壹亿贰仟肆佰捌拾叁万元整</v>
      </c>
      <c r="E14" s="1491"/>
    </row>
    <row r="15" spans="1:5" ht="15">
      <c r="A15" s="1491"/>
      <c r="B15" s="3460"/>
      <c r="C15" s="1495" t="s">
        <v>921</v>
      </c>
      <c r="D15" s="859">
        <f ca="1">结果表!H108</f>
        <v>3623</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2845</v>
      </c>
      <c r="B1" s="3774"/>
      <c r="C1" s="3774"/>
      <c r="D1" s="3774"/>
      <c r="E1" s="3774"/>
      <c r="F1" s="3774"/>
      <c r="G1" s="377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2"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3187</v>
      </c>
      <c r="B1" s="3776"/>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3238</v>
      </c>
      <c r="B1" s="3777"/>
      <c r="C1" s="3777"/>
      <c r="D1" s="3777"/>
      <c r="E1" s="3777"/>
      <c r="F1" s="377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45026</v>
      </c>
      <c r="B1" s="3210" t="s">
        <v>2844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9" t="s">
        <v>2832</v>
      </c>
      <c r="S21" s="3780"/>
      <c r="T21" s="3780"/>
      <c r="U21" s="3780"/>
      <c r="V21" s="3780"/>
      <c r="W21" s="3780"/>
      <c r="X21" s="3165"/>
      <c r="Y21" s="3779" t="s">
        <v>2833</v>
      </c>
      <c r="Z21" s="3780"/>
      <c r="AA21" s="3780"/>
      <c r="AB21" s="3780"/>
      <c r="AC21" s="3780"/>
      <c r="AD21" s="378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45026</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34459.100000000006</v>
      </c>
      <c r="C4" s="854">
        <f>项目基本情况!C18</f>
        <v>23251.84</v>
      </c>
      <c r="D4" s="854">
        <f ca="1">结果表!D118</f>
        <v>4020</v>
      </c>
      <c r="E4" s="854">
        <f ca="1">结果表!E118</f>
        <v>1167</v>
      </c>
      <c r="F4" s="854">
        <f ca="1">结果表!F118</f>
        <v>8463</v>
      </c>
      <c r="G4" s="854">
        <f ca="1">结果表!G118</f>
        <v>2456</v>
      </c>
      <c r="H4" s="854">
        <f ca="1">结果表!H118</f>
        <v>12483</v>
      </c>
      <c r="I4" s="854">
        <f ca="1">结果表!I118</f>
        <v>3623</v>
      </c>
    </row>
    <row r="5" spans="1:9" ht="30" customHeight="1">
      <c r="A5" s="3467" t="s">
        <v>927</v>
      </c>
      <c r="B5" s="3467"/>
      <c r="C5" s="3467"/>
      <c r="D5" s="3467" t="str">
        <f ca="1">结果表!D119</f>
        <v>肆仟零贰拾万元整</v>
      </c>
      <c r="E5" s="3467"/>
      <c r="F5" s="3467" t="str">
        <f ca="1">结果表!F119</f>
        <v>捌仟肆佰陆拾叁万元整</v>
      </c>
      <c r="G5" s="3467"/>
      <c r="H5" s="3467" t="str">
        <f ca="1">结果表!H119</f>
        <v>壹亿贰仟肆佰捌拾叁万元整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12483</v>
      </c>
      <c r="E8" s="3466"/>
      <c r="F8" s="3466"/>
      <c r="G8" s="3466"/>
      <c r="H8" s="3466"/>
      <c r="I8" s="3466"/>
    </row>
    <row r="9" spans="1:9" ht="15">
      <c r="A9" s="3467" t="s">
        <v>927</v>
      </c>
      <c r="B9" s="3467"/>
      <c r="C9" s="3467"/>
      <c r="D9" s="3467" t="str">
        <f ca="1">结果表!D123</f>
        <v>壹亿贰仟肆佰捌拾叁万元整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45026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3"/>
      <c r="E18" s="3492" t="s">
        <v>2161</v>
      </c>
      <c r="F18" s="3491"/>
      <c r="G18" s="349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2023-04-10T06:12:37Z</dcterms:modified>
</cp:coreProperties>
</file>