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4"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I38" i="73" l="1"/>
  <c r="I37" i="73"/>
  <c r="I36" i="73"/>
  <c r="I35" i="73"/>
  <c r="I34" i="73"/>
  <c r="I33" i="73"/>
  <c r="I32" i="73"/>
  <c r="I31" i="73"/>
  <c r="I30" i="73"/>
  <c r="I29" i="73"/>
  <c r="I28" i="73"/>
  <c r="I27" i="73"/>
  <c r="I26" i="73"/>
  <c r="E7" i="40"/>
  <c r="B35" i="1" l="1"/>
  <c r="J28" i="73" l="1"/>
  <c r="J29" i="73"/>
  <c r="J30" i="73"/>
  <c r="J31" i="73"/>
  <c r="J32" i="73"/>
  <c r="J33" i="73"/>
  <c r="J27" i="73"/>
  <c r="C14" i="66" l="1"/>
  <c r="E110" i="40"/>
  <c r="F110" i="40" s="1"/>
  <c r="D110" i="40"/>
  <c r="I43" i="40"/>
  <c r="G43" i="40"/>
  <c r="E43" i="40"/>
  <c r="I36" i="40"/>
  <c r="G36" i="40"/>
  <c r="E36" i="40"/>
  <c r="C13" i="40"/>
  <c r="I7" i="40" l="1"/>
  <c r="G7" i="40"/>
  <c r="I9" i="40" l="1"/>
  <c r="G9" i="40"/>
  <c r="E9" i="40"/>
  <c r="C36" i="40"/>
  <c r="I39" i="73"/>
  <c r="N6" i="1" s="1"/>
  <c r="Y6" i="1" s="1"/>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23" i="15"/>
  <c r="F38" i="44"/>
  <c r="F8" i="15"/>
  <c r="F9" i="44"/>
  <c r="E9" i="67"/>
  <c r="J3" i="65"/>
  <c r="F39" i="44"/>
  <c r="F26" i="15"/>
  <c r="F38" i="15"/>
  <c r="N4" i="65"/>
  <c r="E11" i="67"/>
  <c r="F16" i="15"/>
  <c r="F10" i="67"/>
  <c r="F11" i="44"/>
  <c r="M8" i="15"/>
  <c r="I7" i="65"/>
  <c r="E14" i="67"/>
  <c r="F6" i="15"/>
  <c r="F40" i="44"/>
  <c r="E10" i="67"/>
  <c r="F7" i="15"/>
  <c r="J7" i="65"/>
  <c r="F9" i="15"/>
  <c r="M11" i="44"/>
  <c r="F12" i="67"/>
  <c r="J17" i="44"/>
  <c r="B13" i="67"/>
  <c r="M25" i="44"/>
  <c r="F9" i="67"/>
  <c r="J15" i="15"/>
  <c r="M26" i="44"/>
  <c r="F28" i="44"/>
  <c r="J36" i="15"/>
  <c r="B12" i="67"/>
  <c r="I3" i="65"/>
  <c r="F45" i="44"/>
  <c r="M6" i="15"/>
  <c r="F10" i="44"/>
  <c r="L48" i="15"/>
  <c r="N3" i="65"/>
  <c r="F15" i="44"/>
  <c r="M26" i="15"/>
  <c r="F43" i="44"/>
  <c r="F13" i="15"/>
  <c r="N5" i="65"/>
  <c r="F13" i="67"/>
  <c r="F8" i="67"/>
  <c r="F11" i="67"/>
  <c r="N6" i="65"/>
  <c r="B11" i="67"/>
  <c r="F8" i="44"/>
  <c r="J6" i="65"/>
  <c r="M31" i="44"/>
  <c r="M24" i="15"/>
  <c r="F37" i="15"/>
  <c r="M28" i="15"/>
  <c r="B9" i="67"/>
  <c r="B10" i="67"/>
  <c r="N7" i="65"/>
  <c r="I6" i="65"/>
  <c r="E13" i="67"/>
  <c r="J5" i="65"/>
  <c r="F36" i="15"/>
  <c r="B8" i="67"/>
  <c r="E12" i="67"/>
  <c r="I4" i="65"/>
  <c r="M30" i="44"/>
  <c r="F40" i="15"/>
  <c r="F43" i="15"/>
  <c r="B14" i="67"/>
  <c r="J4" i="65"/>
  <c r="M9" i="15"/>
  <c r="F14" i="67"/>
  <c r="I5" i="65"/>
  <c r="E8" i="67"/>
  <c r="M22" i="15"/>
  <c r="M29" i="15"/>
  <c r="F18" i="44"/>
  <c r="M24" i="44"/>
  <c r="L49" i="44"/>
  <c r="F42" i="15"/>
  <c r="L48" i="44"/>
  <c r="L47" i="15"/>
  <c r="M28" i="44"/>
  <c r="M8" i="44"/>
  <c r="M10" i="44"/>
  <c r="M43" i="9" l="1"/>
  <c r="D18" i="9"/>
  <c r="M44" i="9" s="1"/>
  <c r="A30" i="5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43"/>
  <c r="E3" i="65"/>
  <c r="C18" i="44"/>
  <c r="C16" i="15"/>
  <c r="E2" i="6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D16" i="43"/>
  <c r="AE6" i="1"/>
  <c r="F21" i="43"/>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9" i="44"/>
  <c r="M27" i="15"/>
  <c r="F41" i="15"/>
  <c r="F68" i="15"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22" i="43"/>
  <c r="F7" i="67"/>
  <c r="C17" i="15"/>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43"/>
  <c r="C19" i="44"/>
  <c r="B7" i="67"/>
  <c r="E7" i="67"/>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1" i="15"/>
  <c r="F35" i="15"/>
  <c r="M23" i="44"/>
  <c r="C14" i="15"/>
  <c r="C16" i="44"/>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B5" i="43"/>
  <c r="D19" i="9"/>
  <c r="G19" i="9" l="1"/>
  <c r="C32" i="9" s="1"/>
  <c r="L44" i="9"/>
  <c r="D22" i="9"/>
  <c r="B3" i="12"/>
  <c r="B3" i="11"/>
  <c r="B4" i="12"/>
  <c r="B4" i="11"/>
  <c r="B3" i="43"/>
  <c r="B4" i="43"/>
  <c r="N43" i="9" l="1"/>
  <c r="G22" i="9"/>
  <c r="O43" i="9"/>
  <c r="O38" i="9"/>
  <c r="C42" i="9"/>
  <c r="C33" i="9"/>
  <c r="C35" i="9"/>
  <c r="F42" i="9" s="1"/>
  <c r="C34" i="9"/>
  <c r="D20" i="9"/>
  <c r="D21" i="9"/>
  <c r="G21" i="9" l="1"/>
  <c r="E14" i="66" s="1"/>
  <c r="D14" i="66" s="1"/>
  <c r="F14" i="66" s="1"/>
  <c r="G20" i="9"/>
  <c r="B5" i="66"/>
  <c r="D63" i="9"/>
  <c r="R5" i="54"/>
  <c r="B48" i="63" s="1"/>
  <c r="N68" i="9"/>
  <c r="M38" i="9"/>
  <c r="K27" i="9" s="1"/>
  <c r="E42" i="9"/>
  <c r="P5" i="54" s="1"/>
  <c r="B46" i="63" s="1"/>
  <c r="N38" i="9"/>
  <c r="K28" i="9" s="1"/>
  <c r="D42" i="9"/>
  <c r="Q5" i="54" s="1"/>
  <c r="B47" i="63" s="1"/>
  <c r="K25" i="9"/>
  <c r="K26" i="9"/>
  <c r="D5" i="66" l="1"/>
  <c r="C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<sst xmlns="http://schemas.openxmlformats.org/spreadsheetml/2006/main" count="7600" uniqueCount="3434">
  <si>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</si>
  <si>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</si>
  <si>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</si>
  <si>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</si>
  <si>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</si>
  <si>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</si>
  <si>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</si>
  <si>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</si>
  <si>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</si>
  <si>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</si>
  <si>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</si>
  <si>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</si>
  <si>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</si>
  <si>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</si>
  <si>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</si>
  <si>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</si>
  <si>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</si>
  <si>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</si>
  <si>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</si>
  <si>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</si>
  <si>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</si>
  <si>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</si>
  <si>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</si>
  <si>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</si>
  <si>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</si>
  <si>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</si>
  <si>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</si>
  <si>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</si>
  <si>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</si>
  <si>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</si>
  <si>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</si>
  <si>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</si>
  <si>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</si>
  <si>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</si>
  <si>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</si>
  <si>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</si>
  <si>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</si>
  <si>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</si>
  <si>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</si>
  <si>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</si>
  <si>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</si>
  <si>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</si>
  <si>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</si>
  <si>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</si>
  <si>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</si>
  <si>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</si>
  <si>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</si>
  <si>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</si>
  <si>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</si>
  <si>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</si>
  <si>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</si>
  <si>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</si>
  <si>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</si>
  <si>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</si>
  <si>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</si>
  <si>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</si>
  <si>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</si>
  <si>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</si>
  <si>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</si>
  <si>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</si>
  <si>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</si>
  <si>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</si>
  <si>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</si>
  <si>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</si>
  <si>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</si>
  <si>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</si>
  <si>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</si>
  <si>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</si>
  <si>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</si>
  <si>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</si>
  <si>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</si>
  <si>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</si>
  <si>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</si>
  <si>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</si>
  <si>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</si>
  <si>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</si>
  <si>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</si>
  <si>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</si>
  <si>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</si>
  <si>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</si>
  <si>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</si>
  <si>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</si>
  <si>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</si>
  <si>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</si>
  <si>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</si>
  <si>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</si>
  <si>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</si>
  <si>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</si>
  <si>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</si>
  <si>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</si>
  <si>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</si>
  <si>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</si>
  <si>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</si>
  <si>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</si>
  <si>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</si>
  <si>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</si>
  <si>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</si>
  <si>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</si>
  <si>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</si>
  <si>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</si>
  <si>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</si>
  <si>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</si>
  <si>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</si>
  <si>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</si>
  <si>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</si>
  <si>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</si>
  <si>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</si>
  <si>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</si>
  <si>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</si>
  <si>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</si>
  <si>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</si>
  <si>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</si>
  <si>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</si>
  <si>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</si>
  <si>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</si>
  <si>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</si>
  <si>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</si>
  <si>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</si>
  <si>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</si>
  <si>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</si>
  <si>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</si>
  <si>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</si>
  <si>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</si>
  <si>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</si>
  <si>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</si>
  <si>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</si>
  <si>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</si>
  <si>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</si>
  <si>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</si>
  <si>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</si>
  <si>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</si>
  <si>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</si>
  <si>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</si>
  <si>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</si>
  <si>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</si>
  <si>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</si>
  <si>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</si>
  <si>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</si>
  <si>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</si>
  <si>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</si>
  <si>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</si>
  <si>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</si>
  <si>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</si>
  <si>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</si>
  <si>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</si>
  <si>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</si>
  <si>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</si>
  <si>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</si>
  <si>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</si>
  <si>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</si>
  <si>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</si>
  <si>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</si>
  <si>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</si>
  <si>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</si>
  <si>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</si>
  <si>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</si>
  <si>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</si>
  <si>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</si>
  <si>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</si>
  <si>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</si>
  <si>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</si>
  <si>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</si>
  <si>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</si>
  <si>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</si>
  <si>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</si>
  <si>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</si>
  <si>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</si>
  <si>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</si>
  <si>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</si>
  <si>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</si>
  <si>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</si>
  <si>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</si>
  <si>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</si>
  <si>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</si>
  <si>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</si>
  <si>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</si>
  <si>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</si>
  <si>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</si>
  <si>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</si>
  <si>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</si>
  <si>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</si>
  <si>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</si>
  <si>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</si>
  <si>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</si>
  <si>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</si>
  <si>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</si>
  <si>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</si>
  <si>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</si>
  <si>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</si>
  <si>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</si>
  <si>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</si>
  <si>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</si>
  <si>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</si>
  <si>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</si>
  <si>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</si>
  <si>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</si>
  <si>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</si>
  <si>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</si>
  <si>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</si>
  <si>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</si>
  <si>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</si>
  <si>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</si>
  <si>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</si>
  <si>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</si>
  <si>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</si>
  <si>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</si>
  <si>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</si>
  <si>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</si>
  <si>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</si>
  <si>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</si>
  <si>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</si>
  <si>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</si>
  <si>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</si>
  <si>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</si>
  <si>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</si>
  <si>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</si>
  <si>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</si>
  <si>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</si>
  <si>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</si>
  <si>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</si>
  <si>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</si>
  <si>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</si>
  <si>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</si>
  <si>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</si>
  <si>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</si>
  <si>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</si>
  <si>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</si>
  <si>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</si>
  <si>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</si>
  <si>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</si>
  <si>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</si>
  <si>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</si>
  <si>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</si>
  <si>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</si>
  <si>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</si>
  <si>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</si>
  <si>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</si>
  <si>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</si>
  <si>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</si>
  <si>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</si>
  <si>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</si>
  <si>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</si>
  <si>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</si>
  <si>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</si>
  <si>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</si>
  <si>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</si>
  <si>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</si>
  <si>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</si>
  <si>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</si>
  <si>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</si>
  <si>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</si>
  <si>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</si>
  <si>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</si>
  <si>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</si>
  <si>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</si>
  <si>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</si>
  <si>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</si>
  <si>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</si>
  <si>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</si>
  <si>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</si>
  <si>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</si>
  <si>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</si>
  <si>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</si>
  <si>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</si>
  <si>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</si>
  <si>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</si>
  <si>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</si>
  <si>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</si>
  <si>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</si>
  <si>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</si>
  <si>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</si>
  <si>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</si>
  <si>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</si>
  <si>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</si>
  <si>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</si>
  <si>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</si>
  <si>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</si>
  <si>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</si>
  <si>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</si>
  <si>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</si>
  <si>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</si>
  <si>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</si>
  <si>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</si>
  <si>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</si>
  <si>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</si>
  <si>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</si>
  <si>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</si>
  <si>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</si>
  <si>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</si>
  <si>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</si>
  <si>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</si>
  <si>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</si>
  <si>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</si>
  <si>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</si>
  <si>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</si>
  <si>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</si>
  <si>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</si>
  <si>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</si>
  <si>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</si>
  <si>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</si>
  <si>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</si>
  <si>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</si>
  <si>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</si>
  <si>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</si>
  <si>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</si>
  <si>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</si>
  <si>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</si>
  <si>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</si>
  <si>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</si>
  <si>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</si>
  <si>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</si>
  <si>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</si>
  <si>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</si>
  <si>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</si>
  <si>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</si>
  <si>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</si>
  <si>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</si>
  <si>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</si>
  <si>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</si>
  <si>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</si>
  <si>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</si>
  <si>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</si>
  <si>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</si>
  <si>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</si>
  <si>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</si>
  <si>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</si>
  <si>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</si>
  <si>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</si>
  <si>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</si>
  <si>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</si>
  <si>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</si>
  <si>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</si>
  <si>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</si>
  <si>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</si>
  <si>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</si>
  <si>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</si>
  <si>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</si>
  <si>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</si>
  <si>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</si>
  <si>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</si>
  <si>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</si>
  <si>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</si>
  <si>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</si>
  <si>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</si>
  <si>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</si>
  <si>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</si>
  <si>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</si>
  <si>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</si>
  <si>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</si>
  <si>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</si>
  <si>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</si>
  <si>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</si>
  <si>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</si>
  <si>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</si>
  <si>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</si>
  <si>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</si>
  <si>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</si>
  <si>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</si>
  <si>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</si>
  <si>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</si>
  <si>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</si>
  <si>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</si>
  <si>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</si>
  <si>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</si>
  <si>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</si>
  <si>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</si>
  <si>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</si>
  <si>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</si>
  <si>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</si>
  <si>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</si>
  <si>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</si>
  <si>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</si>
  <si>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</si>
  <si>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</si>
  <si>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</si>
  <si>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</si>
  <si>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</si>
  <si>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</si>
  <si>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</si>
  <si>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</si>
  <si>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</si>
  <si>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</si>
  <si>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</si>
  <si>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</si>
  <si>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</si>
  <si>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</si>
  <si>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</si>
  <si>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</si>
  <si>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</si>
  <si>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</si>
  <si>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</si>
  <si>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</si>
  <si>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</si>
  <si>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</si>
  <si>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</si>
  <si>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</si>
  <si>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</si>
  <si>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</si>
  <si>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</si>
  <si>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</si>
  <si>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</si>
  <si>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</si>
  <si>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</si>
  <si>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</si>
  <si>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</si>
  <si>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</si>
  <si>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</si>
  <si>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</si>
  <si>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</si>
  <si>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</si>
  <si>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</si>
  <si>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</si>
  <si>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</si>
  <si>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</si>
  <si>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</si>
  <si>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</si>
  <si>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</si>
  <si>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</si>
  <si>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</si>
  <si>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</si>
  <si>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</si>
  <si>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</si>
  <si>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</si>
  <si>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</si>
  <si>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</si>
  <si>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</si>
  <si>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</si>
  <si>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</si>
  <si>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</si>
  <si>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</si>
  <si>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</si>
  <si>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</si>
  <si>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</si>
  <si>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</si>
  <si>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</si>
  <si>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</si>
  <si>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</si>
  <si>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</si>
  <si>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</si>
  <si>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</si>
  <si>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</si>
  <si>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</si>
  <si>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</si>
  <si>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</si>
  <si>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</si>
  <si>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</si>
  <si>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</si>
  <si>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</si>
  <si>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</si>
  <si>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</si>
  <si>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</si>
  <si>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</si>
  <si>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</si>
  <si>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</si>
  <si>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</si>
  <si>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</si>
  <si>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</si>
  <si>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</si>
  <si>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</si>
  <si>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</si>
  <si>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</si>
  <si>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</si>
  <si>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</si>
  <si>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</si>
  <si>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</si>
  <si>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</si>
  <si>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</si>
  <si>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</si>
  <si>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</si>
  <si>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</si>
  <si>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</si>
  <si>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</si>
  <si>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</si>
  <si>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</si>
  <si>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</si>
  <si>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</si>
  <si>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</si>
  <si>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</si>
  <si>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</si>
  <si>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</si>
  <si>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</si>
  <si>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</si>
  <si>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</si>
  <si>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</si>
  <si>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</si>
  <si>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</si>
  <si>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</si>
  <si>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</si>
  <si>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</si>
  <si>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</si>
  <si>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</si>
  <si>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</si>
  <si>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</si>
  <si>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</si>
  <si>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</si>
  <si>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</si>
  <si>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</si>
  <si>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</si>
  <si>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</si>
  <si>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</si>
  <si>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</si>
  <si>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</si>
  <si>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</si>
  <si>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</si>
  <si>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</si>
  <si>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</si>
  <si>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</si>
  <si>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</si>
  <si>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</si>
  <si>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</si>
  <si>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</si>
  <si>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</si>
  <si>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</si>
  <si>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</si>
  <si>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</si>
  <si>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</si>
  <si>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</si>
  <si>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</si>
  <si>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</si>
  <si>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</si>
  <si>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</si>
  <si>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</si>
  <si>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</si>
  <si>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</si>
  <si>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</si>
  <si>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</si>
  <si>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</si>
  <si>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</si>
  <si>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</si>
  <si>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</si>
  <si>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</si>
  <si>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</si>
  <si>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</si>
  <si>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</si>
  <si>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</si>
  <si>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</si>
  <si>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</si>
  <si>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</si>
  <si>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</si>
  <si>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</si>
  <si>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</si>
  <si>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</si>
  <si>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</si>
  <si>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</si>
  <si>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</si>
  <si>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</si>
  <si>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</si>
  <si>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</si>
  <si>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</si>
  <si>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</si>
  <si>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</si>
  <si>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</si>
  <si>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</si>
  <si>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</si>
  <si>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</si>
  <si>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</si>
  <si>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</si>
  <si>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</si>
  <si>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</si>
  <si>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</si>
  <si>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</si>
  <si>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</si>
  <si>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</si>
  <si>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</si>
  <si>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</si>
  <si>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</si>
  <si>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</si>
  <si>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</si>
  <si>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</si>
  <si>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</si>
  <si>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</si>
  <si>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</si>
  <si>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</si>
  <si>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</si>
  <si>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</si>
  <si>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</si>
  <si>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</si>
  <si>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</si>
  <si>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</si>
  <si>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</si>
  <si>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</si>
  <si>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</si>
  <si>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</si>
  <si>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</si>
  <si>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</si>
  <si>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</si>
  <si>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</si>
  <si>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</si>
  <si>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</si>
  <si>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</si>
  <si>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</si>
  <si>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</si>
  <si>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</si>
  <si>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</si>
  <si>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</si>
  <si>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</si>
  <si>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</si>
  <si>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</si>
  <si>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</si>
  <si>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</si>
  <si>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</si>
  <si>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</si>
  <si>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</si>
  <si>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</si>
  <si>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</si>
  <si>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</si>
  <si>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</si>
  <si>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</si>
  <si>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</si>
  <si>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</si>
  <si>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</si>
  <si>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</si>
  <si>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</si>
  <si>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</si>
  <si>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</si>
  <si>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</si>
  <si>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</si>
  <si>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</si>
  <si>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</si>
  <si>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</si>
  <si>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</si>
  <si>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</si>
  <si>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</si>
  <si>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</si>
  <si>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</si>
  <si>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</si>
  <si>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</si>
  <si>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</si>
  <si>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</si>
  <si>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</si>
  <si>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</si>
  <si>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</si>
  <si>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</si>
  <si>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</si>
  <si>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</si>
  <si>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</si>
  <si>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</si>
  <si>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</si>
  <si>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</si>
  <si>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</si>
  <si>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</si>
  <si>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</si>
  <si>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</si>
  <si>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</si>
  <si>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</si>
  <si>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</si>
  <si>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</si>
  <si>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</si>
  <si>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</si>
  <si>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</si>
  <si>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</si>
  <si>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</si>
  <si>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</si>
  <si>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</si>
  <si>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</si>
  <si>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</si>
  <si>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</si>
  <si>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</si>
  <si>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</si>
  <si>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</si>
  <si>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</si>
  <si>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</si>
  <si>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</si>
  <si>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</si>
  <si>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</si>
  <si>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</si>
  <si>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</si>
  <si>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</si>
  <si>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</si>
  <si>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</si>
  <si>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</si>
  <si>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</si>
  <si>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</si>
  <si>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</si>
  <si>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</si>
  <si>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</si>
  <si>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</si>
  <si>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</si>
  <si>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</si>
  <si>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</si>
  <si>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</si>
  <si>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</si>
  <si>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</si>
  <si>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</si>
  <si>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</si>
  <si>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</si>
  <si>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</si>
  <si>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</si>
  <si>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</si>
  <si>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</si>
  <si>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</si>
  <si>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</si>
  <si>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</si>
  <si>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</si>
  <si>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</si>
  <si>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</si>
  <si>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</si>
  <si>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</si>
  <si>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</si>
  <si>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</si>
  <si>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</si>
  <si>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</si>
  <si>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</si>
  <si>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</si>
  <si>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</si>
  <si>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</si>
  <si>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</si>
  <si>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</si>
  <si>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</si>
  <si>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</si>
  <si>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</si>
  <si>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</si>
  <si>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</si>
  <si>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</si>
  <si>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</si>
  <si>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</si>
  <si>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</si>
  <si>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</si>
  <si>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</si>
  <si>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</si>
  <si>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</si>
  <si>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</si>
  <si>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</si>
  <si>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</si>
  <si>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</si>
  <si>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</si>
  <si>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</si>
  <si>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</si>
  <si>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</si>
  <si>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</si>
  <si>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</si>
  <si>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</si>
  <si>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</si>
  <si>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</si>
  <si>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</si>
  <si>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</si>
  <si>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</si>
  <si>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</si>
  <si>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</si>
  <si>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</si>
  <si>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</si>
  <si>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</si>
  <si>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</si>
  <si>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</si>
  <si>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</si>
  <si>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</si>
  <si>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</si>
  <si>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</si>
  <si>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</si>
  <si>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</si>
  <si>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</si>
  <si>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</si>
  <si>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</si>
  <si>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</si>
  <si>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</si>
  <si>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</si>
  <si>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</si>
  <si>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</si>
  <si>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</si>
  <si>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</si>
  <si>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</si>
  <si>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</si>
  <si>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</si>
  <si>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</si>
  <si>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</si>
  <si>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</si>
  <si>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</si>
  <si>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</si>
  <si>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</si>
  <si>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</si>
  <si>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</si>
  <si>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</si>
  <si>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</si>
  <si>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</si>
  <si>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</si>
  <si>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</si>
  <si>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</si>
  <si>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</si>
  <si>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</si>
  <si>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</si>
  <si>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</si>
  <si>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</si>
  <si>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</si>
  <si>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</si>
  <si>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</si>
  <si>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</si>
  <si>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</si>
  <si>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</si>
  <si>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</si>
  <si>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</si>
  <si>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</si>
  <si>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</si>
  <si>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</si>
  <si>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</si>
  <si>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</si>
  <si>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</si>
  <si>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</si>
  <si>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</si>
  <si>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</si>
  <si>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</si>
  <si>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</si>
  <si>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</si>
  <si>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</si>
  <si>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</si>
  <si>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</si>
  <si>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</si>
  <si>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</si>
  <si>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</si>
  <si>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</si>
  <si>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</si>
  <si>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</si>
  <si>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</si>
  <si>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</si>
  <si>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</si>
  <si>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</si>
  <si>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</si>
  <si>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</si>
  <si>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</si>
  <si>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</si>
  <si>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</si>
  <si>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</si>
  <si>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</si>
  <si>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</si>
  <si>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</si>
  <si>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</si>
  <si>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</si>
  <si>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</si>
  <si>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</si>
  <si>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</si>
  <si>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</si>
  <si>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</si>
  <si>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</si>
  <si>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</si>
  <si>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</si>
  <si>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</si>
  <si>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</si>
  <si>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</si>
  <si>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</si>
  <si>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</si>
  <si>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</si>
  <si>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</si>
  <si>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</si>
  <si>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</si>
  <si>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</si>
  <si>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</si>
  <si>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</si>
  <si>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</si>
  <si>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</si>
  <si>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</si>
  <si>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</si>
  <si>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</si>
  <si>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</si>
  <si>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</si>
  <si>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</si>
  <si>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</si>
  <si>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</si>
  <si>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</si>
  <si>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</si>
  <si>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</si>
  <si>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</si>
  <si>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</si>
  <si>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</si>
  <si>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</si>
  <si>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</si>
  <si>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</si>
  <si>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</si>
  <si>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</si>
  <si>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</si>
  <si>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</si>
  <si>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</si>
  <si>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</si>
  <si>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</si>
  <si>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</si>
  <si>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</si>
  <si>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</si>
  <si>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</si>
  <si>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</si>
  <si>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</si>
  <si>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</si>
  <si>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</si>
  <si>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</si>
  <si>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</si>
  <si>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</si>
  <si>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</si>
  <si>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</si>
  <si>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</si>
  <si>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</si>
  <si>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</si>
  <si>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</si>
  <si>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</si>
  <si>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</si>
  <si>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</si>
  <si>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</si>
  <si>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</si>
  <si>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</si>
  <si>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</si>
  <si>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</si>
  <si>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</si>
  <si>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</si>
  <si>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</si>
  <si>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</si>
  <si>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</si>
  <si>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</si>
  <si>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</si>
  <si>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</si>
  <si>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</si>
  <si>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</si>
  <si>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</si>
  <si>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</si>
  <si>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</si>
  <si>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</si>
  <si>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</si>
  <si>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</si>
  <si>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</si>
  <si>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</si>
  <si>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</si>
  <si>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</si>
  <si>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</si>
  <si>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</si>
  <si>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</si>
  <si>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</si>
  <si>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</si>
  <si>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</si>
  <si>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</si>
  <si>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</si>
  <si>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</si>
  <si>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</si>
  <si>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</si>
  <si>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</si>
  <si>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</si>
  <si>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</si>
  <si>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</si>
  <si>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</si>
  <si>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</si>
  <si>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</si>
  <si>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</si>
  <si>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</si>
  <si>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</si>
  <si>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</si>
  <si>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</si>
  <si>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</si>
  <si>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</si>
  <si>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</si>
  <si>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</si>
  <si>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</si>
  <si>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</si>
  <si>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</si>
  <si>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</si>
  <si>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</si>
  <si>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</si>
  <si>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</si>
  <si>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</si>
  <si>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</si>
  <si>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</si>
  <si>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</si>
  <si>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</si>
  <si>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</si>
  <si>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</si>
  <si>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</si>
  <si>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</si>
  <si>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</si>
  <si>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</si>
  <si>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</si>
  <si>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</si>
  <si>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</si>
  <si>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</si>
  <si>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</si>
  <si>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</si>
  <si>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</si>
  <si>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</si>
  <si>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</si>
  <si>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</si>
  <si>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</si>
  <si>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</si>
  <si>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</si>
  <si>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</si>
  <si>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</si>
  <si>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</si>
  <si>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</si>
  <si>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</si>
  <si>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</si>
  <si>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</si>
  <si>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</si>
  <si>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</si>
  <si>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</si>
  <si>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</si>
  <si>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</si>
  <si>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</si>
  <si>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</si>
  <si>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</si>
  <si>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</si>
  <si>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</si>
  <si>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</si>
  <si>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</si>
  <si>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</si>
  <si>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</si>
  <si>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</si>
  <si>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</si>
  <si>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</si>
  <si>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</si>
  <si>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</si>
  <si>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</si>
  <si>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</si>
  <si>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</si>
  <si>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</si>
  <si>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</si>
  <si>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</si>
  <si>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</si>
  <si>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</si>
  <si>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</si>
  <si>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</si>
  <si>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</si>
  <si>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</si>
  <si>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</si>
  <si>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</si>
  <si>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</si>
  <si>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</si>
  <si>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</si>
  <si>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</si>
  <si>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</si>
  <si>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</si>
  <si>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</si>
  <si>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</si>
  <si>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</si>
  <si>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</si>
  <si>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</si>
  <si>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</si>
  <si>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</si>
  <si>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</si>
  <si>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</si>
  <si>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</si>
  <si>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</si>
  <si>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</si>
  <si>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</si>
  <si>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</si>
  <si>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</si>
  <si>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</si>
  <si>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</si>
  <si>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</si>
  <si>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</si>
  <si>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</si>
  <si>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</si>
  <si>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</si>
  <si>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</si>
  <si>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</si>
  <si>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</si>
  <si>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</si>
  <si>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</si>
  <si>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</si>
  <si>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</si>
  <si>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</si>
  <si>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</si>
  <si>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</si>
  <si>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</si>
  <si>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</si>
  <si>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</si>
  <si>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</si>
  <si>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</si>
  <si>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</si>
  <si>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</si>
  <si>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</si>
  <si>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</si>
  <si>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</si>
  <si>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</si>
  <si>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</si>
  <si>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</si>
  <si>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</si>
  <si>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</si>
  <si>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</si>
  <si>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</si>
  <si>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</si>
  <si>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</si>
  <si>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</si>
  <si>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</si>
  <si>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</si>
  <si>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</si>
  <si>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</si>
  <si>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</si>
  <si>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</si>
  <si>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</si>
  <si>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</si>
  <si>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</si>
  <si>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</si>
  <si>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</si>
  <si>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</si>
  <si>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</si>
  <si>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</si>
  <si>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</si>
  <si>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</si>
  <si>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</si>
  <si>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</si>
  <si>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</si>
  <si>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</si>
  <si>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</si>
  <si>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</si>
  <si>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</si>
  <si>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</si>
  <si>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</si>
  <si>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</si>
  <si>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</si>
  <si>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</si>
  <si>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</si>
  <si>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</si>
  <si>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</si>
  <si>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</si>
  <si>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</si>
  <si>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</si>
  <si>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</si>
  <si>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</si>
  <si>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</si>
  <si>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</si>
  <si>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</si>
  <si>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</si>
  <si>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</si>
  <si>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</si>
  <si>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</si>
  <si>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</si>
  <si>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</si>
  <si>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</si>
  <si>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</si>
  <si>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</si>
  <si>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</si>
  <si>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</si>
  <si>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</si>
  <si>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</si>
  <si>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</si>
  <si>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</si>
  <si>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</si>
  <si>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</si>
  <si>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</si>
  <si>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</si>
  <si>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</si>
  <si>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</si>
  <si>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</si>
  <si>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</si>
  <si>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</si>
  <si>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</si>
  <si>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</si>
  <si>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</si>
  <si>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</si>
  <si>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</si>
  <si>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</si>
  <si>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</si>
  <si>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</si>
  <si>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</si>
  <si>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</si>
  <si>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</si>
  <si>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</si>
  <si>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</si>
  <si>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</si>
  <si>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</si>
  <si>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</si>
  <si>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</si>
  <si>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</si>
  <si>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</si>
  <si>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</si>
  <si>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</si>
  <si>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</si>
  <si>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</si>
  <si>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</si>
  <si>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</si>
  <si>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</si>
  <si>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</si>
  <si>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</si>
  <si>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</si>
  <si>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</si>
  <si>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</si>
  <si>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</si>
  <si>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</si>
  <si>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</si>
  <si>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</si>
  <si>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</si>
  <si>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</si>
  <si>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</si>
  <si>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</si>
  <si>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</si>
  <si>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</si>
  <si>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</si>
  <si>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</si>
  <si>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</si>
  <si>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</si>
  <si>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</si>
  <si>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</si>
  <si>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</si>
  <si>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</si>
  <si>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</si>
  <si>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</si>
  <si>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</si>
  <si>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</si>
  <si>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</si>
  <si>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</si>
  <si>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</si>
  <si>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</si>
  <si>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</si>
  <si>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</si>
  <si>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</si>
  <si>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</si>
  <si>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</si>
  <si>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</si>
  <si>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</si>
  <si>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</si>
  <si>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</si>
  <si>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</si>
  <si>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</si>
  <si>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</si>
  <si>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</si>
  <si>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</si>
  <si>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</si>
  <si>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</si>
  <si>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</si>
  <si>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</si>
  <si>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</si>
  <si>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</si>
  <si>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</si>
  <si>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</si>
  <si>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</si>
  <si>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</si>
  <si>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</si>
  <si>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</si>
  <si>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</si>
  <si>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</si>
  <si>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</si>
  <si>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</si>
  <si>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</si>
  <si>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</si>
  <si>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</si>
  <si>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</si>
  <si>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</si>
  <si>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</si>
  <si>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</si>
  <si>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</si>
  <si>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</si>
  <si>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</si>
  <si>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</si>
  <si>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</si>
  <si>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</si>
  <si>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</si>
  <si>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</si>
  <si>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</si>
  <si>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</si>
  <si>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</si>
  <si>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</si>
  <si>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</si>
  <si>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</si>
  <si>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</si>
  <si>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</si>
  <si>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</si>
  <si>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</si>
  <si>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</si>
  <si>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</si>
  <si>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</si>
  <si>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</si>
  <si>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</si>
  <si>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</si>
  <si>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</si>
  <si>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</si>
  <si>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</si>
  <si>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</si>
  <si>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</si>
  <si>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</si>
  <si>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</si>
  <si>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</si>
  <si>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</si>
  <si>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</si>
  <si>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</si>
  <si>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</si>
  <si>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</si>
  <si>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</si>
  <si>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</si>
  <si>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</si>
  <si>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</si>
  <si>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</si>
  <si>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</si>
  <si>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</si>
  <si>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</si>
  <si>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</si>
  <si>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</si>
  <si>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</si>
  <si>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</si>
  <si>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</si>
  <si>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</si>
  <si>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</si>
  <si>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</si>
  <si>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</si>
  <si>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</si>
  <si>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</si>
  <si>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</si>
  <si>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</si>
  <si>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</si>
  <si>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</si>
  <si>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</si>
  <si>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</si>
  <si>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</si>
  <si>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</si>
  <si>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</si>
  <si>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</si>
  <si>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</si>
  <si>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</si>
  <si>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</si>
  <si>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</si>
  <si>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</si>
  <si>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</si>
  <si>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</si>
  <si>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</si>
  <si>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</si>
  <si>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</si>
  <si>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</si>
  <si>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</si>
  <si>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</si>
  <si>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</si>
  <si>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</si>
  <si>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</si>
  <si>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</si>
  <si>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</si>
  <si>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</si>
  <si>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</si>
  <si>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</si>
  <si>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</si>
  <si>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</si>
  <si>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</si>
  <si>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</si>
  <si>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</si>
  <si>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</si>
  <si>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</si>
  <si>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</si>
  <si>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</si>
  <si>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</si>
  <si>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</si>
  <si>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</si>
  <si>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</si>
  <si>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</si>
  <si>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</si>
  <si>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</si>
  <si>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</si>
  <si>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</si>
  <si>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</si>
  <si>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</si>
  <si>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</si>
  <si>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</si>
  <si>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</si>
  <si>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</si>
  <si>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</si>
  <si>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</si>
  <si>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</si>
  <si>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</si>
  <si>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</si>
  <si>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</si>
  <si>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</si>
  <si>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</si>
  <si>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</si>
  <si>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</si>
  <si>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</si>
  <si>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</si>
  <si>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</si>
  <si>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</si>
  <si>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</si>
  <si>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</si>
  <si>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</si>
  <si>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</si>
  <si>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</si>
  <si>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</si>
  <si>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</si>
  <si>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</si>
  <si>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</si>
  <si>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</si>
  <si>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</si>
  <si>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</si>
  <si>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</si>
  <si>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</si>
  <si>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</si>
  <si>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</si>
  <si>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</si>
  <si>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</si>
  <si>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</si>
  <si>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</si>
  <si>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</si>
  <si>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</si>
  <si>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</si>
  <si>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</si>
  <si>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</si>
  <si>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</si>
  <si>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</si>
  <si>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</si>
  <si>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</si>
  <si>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</si>
  <si>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</si>
  <si>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</si>
  <si>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</si>
  <si>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</si>
  <si>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</si>
  <si>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</si>
  <si>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</si>
  <si>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</si>
  <si>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</si>
  <si>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</si>
  <si>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</si>
  <si>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</si>
  <si>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</si>
  <si>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</si>
  <si>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</si>
  <si>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</si>
  <si>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</si>
  <si>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</si>
  <si>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</si>
  <si>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</si>
  <si>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</si>
  <si>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</si>
  <si>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</si>
  <si>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</si>
  <si>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</si>
  <si>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</si>
  <si>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</si>
  <si>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</si>
  <si>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</si>
  <si>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</si>
  <si>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</si>
  <si>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</si>
  <si>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</si>
  <si>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</si>
  <si>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</si>
  <si>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</si>
  <si>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</si>
  <si>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</si>
  <si>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</si>
  <si>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</si>
  <si>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</si>
  <si>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</si>
  <si>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</si>
  <si>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</si>
  <si>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</si>
  <si>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</si>
  <si>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</si>
  <si>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</si>
  <si>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</si>
  <si>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</si>
  <si>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</si>
  <si>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</si>
  <si>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</si>
  <si>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</si>
  <si>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</si>
  <si>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</si>
  <si>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</si>
  <si>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</si>
  <si>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</si>
  <si>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</si>
  <si>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</si>
  <si>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</si>
  <si>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</si>
  <si>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</si>
  <si>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</si>
  <si>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</si>
  <si>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</si>
  <si>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</si>
  <si>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</si>
  <si>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</si>
  <si>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</si>
  <si>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</si>
  <si>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</si>
  <si>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</si>
  <si>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</si>
  <si>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</si>
  <si>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</si>
  <si>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</si>
  <si>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</si>
  <si>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</si>
  <si>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</si>
  <si>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</si>
  <si>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</si>
  <si>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</si>
  <si>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</si>
  <si>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</si>
  <si>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</si>
  <si>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</si>
  <si>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</si>
  <si>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</si>
  <si>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</si>
  <si>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</si>
  <si>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</si>
  <si>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</si>
  <si>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</si>
  <si>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</si>
  <si>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</si>
  <si>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</si>
  <si>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</si>
  <si>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</si>
  <si>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</si>
  <si>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</si>
  <si>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</si>
  <si>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</si>
  <si>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</si>
  <si>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</si>
  <si>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</si>
  <si>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</si>
  <si>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</si>
  <si>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</si>
  <si>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</si>
  <si>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</si>
  <si>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</si>
  <si>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</si>
  <si>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</si>
  <si>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</si>
  <si>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</si>
  <si>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</si>
  <si>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</si>
  <si>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</si>
  <si>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</si>
  <si>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</si>
  <si>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</si>
  <si>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</si>
  <si>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</si>
  <si>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</si>
  <si>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</si>
  <si>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</si>
  <si>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</si>
  <si>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</si>
  <si>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</si>
  <si>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</si>
  <si>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</si>
  <si>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</si>
  <si>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</si>
  <si>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</si>
  <si>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</si>
  <si>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</si>
  <si>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</si>
  <si>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</si>
  <si>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</si>
  <si>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</si>
  <si>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</si>
  <si>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</si>
  <si>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</si>
  <si>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</si>
  <si>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</si>
  <si>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</si>
  <si>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</si>
  <si>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</si>
  <si>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</si>
  <si>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</si>
  <si>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</si>
  <si>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</si>
  <si>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</si>
  <si>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</si>
  <si>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</si>
  <si>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</si>
  <si>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</si>
  <si>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</si>
  <si>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</si>
  <si>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</si>
  <si>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</si>
  <si>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</si>
  <si>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</si>
  <si>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</si>
  <si>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</si>
  <si>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</si>
  <si>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</si>
  <si>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</si>
  <si>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</si>
  <si>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</si>
  <si>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</si>
  <si>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</si>
  <si>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</si>
  <si>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</si>
  <si>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</si>
  <si>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</si>
  <si>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</si>
  <si>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</si>
  <si>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</si>
  <si>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</si>
  <si>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</si>
  <si>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</si>
  <si>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</si>
  <si>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</si>
  <si>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</si>
  <si>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</si>
  <si>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</si>
  <si>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</si>
  <si>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</si>
  <si>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</si>
  <si>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</si>
  <si>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</si>
  <si>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</si>
  <si>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</si>
  <si>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</si>
  <si>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</si>
  <si>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</si>
  <si>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</si>
  <si>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</si>
  <si>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</si>
  <si>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</si>
  <si>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</si>
  <si>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</si>
  <si>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</si>
  <si>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</si>
  <si>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</si>
  <si>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</si>
  <si>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</si>
  <si>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</si>
  <si>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</si>
  <si>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</si>
  <si>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</si>
  <si>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</si>
  <si>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</si>
  <si>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</si>
  <si>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</si>
  <si>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</si>
  <si>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</si>
  <si>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</si>
  <si>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</si>
  <si>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</si>
  <si>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</si>
  <si>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</si>
  <si>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</si>
  <si>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</si>
  <si>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</si>
  <si>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</si>
  <si>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</si>
  <si>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</si>
  <si>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</si>
  <si>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</si>
  <si>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</si>
  <si>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</si>
  <si>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</si>
  <si>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</si>
  <si>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</si>
  <si>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</si>
  <si>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</si>
  <si>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</si>
  <si>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</si>
  <si>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</si>
  <si>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</si>
  <si>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</si>
  <si>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</si>
  <si>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</si>
  <si>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</si>
  <si>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</si>
  <si>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</si>
  <si>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</si>
  <si>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</si>
  <si>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</si>
  <si>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</si>
  <si>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</si>
  <si>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</si>
  <si>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</si>
  <si>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</si>
  <si>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</si>
  <si>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</si>
  <si>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</si>
  <si>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</si>
  <si>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</si>
  <si>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</si>
  <si>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</si>
  <si>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</si>
  <si>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</si>
  <si>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</si>
  <si>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</si>
  <si>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</si>
  <si>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</si>
  <si>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</si>
  <si>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</si>
  <si>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</si>
  <si>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</si>
  <si>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</si>
  <si>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</si>
  <si>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</si>
  <si>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</si>
  <si>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</si>
  <si>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</si>
  <si>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</si>
  <si>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</si>
  <si>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</si>
  <si>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</si>
  <si>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</si>
  <si>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</si>
  <si>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</si>
  <si>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</si>
  <si>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</si>
  <si>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</si>
  <si>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</si>
  <si>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</si>
  <si>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</si>
  <si>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</si>
  <si>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</si>
  <si>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</si>
  <si>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</si>
  <si>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</si>
  <si>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</si>
  <si>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</si>
  <si>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</si>
  <si>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</si>
  <si>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</si>
  <si>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</si>
  <si>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</si>
  <si>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</si>
  <si>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</si>
  <si>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</si>
  <si>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</si>
  <si>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</si>
  <si>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</si>
  <si>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</si>
  <si>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</si>
  <si>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</si>
  <si>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</si>
  <si>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</si>
  <si>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</si>
  <si>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</si>
  <si>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</si>
  <si>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</si>
  <si>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</si>
  <si>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</si>
  <si>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</si>
  <si>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</si>
  <si>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</si>
  <si>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</si>
  <si>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</si>
  <si>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</si>
  <si>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</si>
  <si>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</si>
  <si>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</si>
  <si>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</si>
  <si>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</si>
  <si>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</si>
  <si>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</si>
  <si>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</si>
  <si>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</si>
  <si>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</si>
  <si>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</si>
  <si>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</si>
  <si>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</si>
  <si>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</si>
  <si>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</si>
  <si>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</si>
  <si>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</si>
  <si>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</si>
  <si>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</si>
  <si>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</si>
  <si>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</si>
  <si>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</si>
  <si>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</si>
  <si>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</si>
  <si>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</si>
  <si>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</si>
  <si>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</si>
  <si>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</si>
  <si>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</si>
  <si>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</si>
  <si>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</si>
  <si>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</si>
  <si>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</si>
  <si>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</si>
  <si>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</si>
  <si>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</si>
  <si>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</si>
  <si>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</si>
  <si>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</si>
  <si>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</si>
  <si>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</si>
  <si>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</si>
  <si>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</si>
  <si>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</si>
  <si>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</si>
  <si>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</si>
  <si>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</si>
  <si>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</si>
  <si>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</si>
  <si>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</si>
  <si>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</si>
  <si>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</si>
  <si>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</si>
  <si>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</si>
  <si>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</si>
  <si>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</si>
  <si>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</si>
  <si>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</si>
  <si>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</si>
  <si>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</si>
  <si>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</si>
  <si>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</si>
  <si>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</si>
  <si>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</si>
  <si>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</si>
  <si>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</si>
  <si>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</si>
  <si>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</si>
  <si>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</si>
  <si>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</si>
  <si>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</si>
  <si>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</si>
  <si>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</si>
  <si>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</si>
  <si>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</si>
  <si>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</si>
  <si>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</si>
  <si>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</si>
  <si>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</si>
  <si>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</si>
  <si>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</si>
  <si>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</si>
  <si>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</si>
  <si>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</si>
  <si>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</si>
  <si>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</si>
  <si>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</si>
  <si>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</si>
  <si>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</si>
  <si>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</si>
  <si>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</si>
  <si>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</si>
  <si>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</si>
  <si>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</si>
  <si>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</si>
  <si>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</si>
  <si>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</si>
  <si>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</si>
  <si>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</si>
  <si>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</si>
  <si>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</si>
  <si>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</si>
  <si>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</si>
  <si>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</si>
  <si>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</si>
  <si>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</si>
  <si>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</si>
  <si>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</si>
  <si>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</si>
  <si>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</si>
  <si>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</si>
  <si>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</si>
  <si>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</si>
  <si>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</si>
  <si>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</si>
  <si>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</si>
  <si>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</si>
  <si>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</si>
  <si>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</si>
  <si>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</si>
  <si>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</si>
  <si>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</si>
  <si>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</si>
  <si>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</si>
  <si>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</si>
  <si>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</si>
  <si>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</si>
  <si>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</si>
  <si>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</si>
  <si>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</si>
  <si>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</si>
  <si>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</si>
  <si>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</si>
  <si>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</si>
  <si>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</si>
  <si>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</si>
  <si>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</si>
  <si>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</si>
  <si>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</si>
  <si>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</si>
  <si>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</si>
  <si>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</si>
  <si>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</si>
  <si>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</si>
  <si>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</si>
  <si>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</si>
  <si>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</si>
  <si>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</si>
  <si>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</si>
  <si>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</si>
  <si>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</si>
  <si>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</si>
  <si>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</si>
  <si>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</si>
  <si>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</si>
  <si>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</si>
  <si>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</si>
  <si>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</si>
  <si>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</si>
  <si>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</si>
  <si>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</si>
  <si>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</si>
  <si>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</si>
  <si>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</si>
  <si>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</si>
  <si>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</si>
  <si>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</si>
  <si>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</si>
  <si>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</si>
  <si>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</si>
  <si>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</si>
  <si>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</si>
  <si>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</si>
  <si>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</si>
  <si>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</si>
  <si>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</si>
  <si>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</si>
  <si>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</si>
  <si>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</si>
  <si>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</si>
  <si>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</si>
  <si>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</si>
  <si>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</si>
  <si>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</si>
  <si>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</si>
  <si>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</si>
  <si>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</si>
  <si>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</si>
  <si>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</si>
  <si>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</si>
  <si>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</si>
  <si>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</si>
  <si>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</si>
  <si>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</si>
  <si>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</si>
  <si>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</si>
  <si>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</si>
  <si>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</si>
  <si>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</si>
  <si>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</si>
  <si>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</si>
  <si>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</si>
  <si>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</si>
  <si>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</si>
  <si>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</si>
  <si>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</si>
  <si>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</si>
  <si>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</si>
  <si>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</si>
  <si>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</si>
  <si>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</si>
  <si>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</si>
  <si>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</si>
  <si>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</si>
  <si>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</si>
  <si>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</si>
  <si>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</si>
  <si>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</si>
  <si>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</si>
  <si>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</si>
  <si>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</si>
  <si>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</si>
  <si>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</si>
  <si>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</si>
  <si>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</si>
  <si>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</si>
  <si>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</si>
  <si>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</si>
  <si>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</si>
  <si>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</si>
  <si>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</si>
  <si>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</si>
  <si>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</si>
  <si>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</si>
  <si>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</si>
  <si>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</si>
  <si>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</si>
  <si>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</si>
  <si>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</si>
  <si>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</si>
  <si>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</si>
  <si>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</si>
  <si>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</si>
  <si>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</si>
  <si>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</si>
  <si>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</si>
  <si>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</si>
  <si>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</si>
  <si>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</si>
  <si>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</si>
  <si>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</si>
  <si>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</si>
  <si>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</si>
  <si>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</si>
  <si>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</si>
  <si>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</si>
  <si>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</si>
  <si>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</si>
  <si>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</si>
  <si>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</si>
  <si>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</si>
  <si>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</si>
  <si>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</si>
  <si>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</si>
  <si>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</si>
  <si>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</si>
  <si>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</si>
  <si>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</si>
  <si>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</si>
  <si>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</si>
  <si>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</si>
  <si>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</si>
  <si>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</si>
  <si>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</si>
  <si>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</si>
  <si>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</si>
  <si>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</si>
  <si>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</si>
  <si>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</si>
  <si>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</si>
  <si>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</si>
  <si>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</si>
  <si>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</si>
  <si>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</si>
  <si>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</si>
  <si>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</si>
  <si>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</si>
  <si>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</si>
  <si>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</si>
  <si>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</si>
  <si>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</si>
  <si>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</si>
  <si>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</si>
  <si>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</si>
  <si>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</si>
  <si>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</si>
  <si>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</si>
  <si>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</si>
  <si>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</si>
  <si>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</si>
  <si>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</si>
  <si>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</si>
  <si>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</si>
  <si>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</si>
  <si>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</si>
  <si>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</si>
  <si>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</si>
  <si>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</si>
  <si>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</si>
  <si>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</si>
  <si>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</si>
  <si>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</si>
  <si>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</si>
  <si>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</si>
  <si>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</si>
  <si>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</si>
  <si>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</si>
  <si>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</si>
  <si>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</si>
  <si>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</si>
  <si>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</si>
  <si>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</si>
  <si>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</si>
  <si>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</si>
  <si>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</si>
  <si>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</si>
  <si>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</si>
  <si>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</si>
  <si>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</si>
  <si>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</si>
  <si>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</si>
  <si>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</si>
  <si>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</si>
  <si>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</si>
  <si>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</si>
  <si>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</si>
  <si>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</si>
  <si>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</si>
  <si>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</si>
  <si>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</si>
  <si>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</si>
  <si>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</si>
  <si>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</si>
  <si>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</si>
  <si>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</si>
  <si>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</si>
  <si>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</si>
  <si>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</si>
  <si>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</si>
  <si>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</si>
  <si>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</si>
  <si>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</si>
  <si>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</si>
  <si>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</si>
  <si>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</si>
  <si>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</si>
  <si>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</si>
  <si>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</si>
  <si>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</si>
  <si>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</si>
  <si>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</si>
  <si>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</si>
  <si>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</si>
  <si>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</si>
  <si>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</si>
  <si>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</si>
  <si>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</si>
  <si>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</si>
  <si>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</si>
  <si>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</si>
  <si>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</si>
  <si>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</si>
  <si>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</si>
  <si>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</si>
  <si>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</si>
  <si>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</si>
  <si>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</si>
  <si>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</si>
  <si>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</si>
  <si>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</si>
  <si>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</si>
  <si>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</si>
  <si>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</si>
  <si>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</si>
  <si>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</si>
  <si>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</si>
  <si>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</si>
  <si>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</si>
  <si>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</si>
  <si>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</si>
  <si>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</si>
  <si>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</si>
  <si>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</si>
  <si>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</si>
  <si>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</si>
  <si>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</si>
  <si>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</si>
  <si>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</si>
  <si>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</si>
  <si>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</si>
  <si>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</si>
  <si>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</si>
  <si>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</si>
  <si>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</si>
  <si>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</si>
  <si>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</si>
  <si>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</si>
  <si>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</si>
  <si>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</si>
  <si>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</si>
  <si>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</si>
  <si>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</si>
  <si>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</si>
  <si>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</si>
  <si>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</si>
  <si>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</si>
  <si>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</si>
  <si>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</si>
  <si>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</si>
  <si>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</si>
  <si>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</si>
  <si>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</si>
  <si>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</si>
  <si>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</si>
  <si>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</si>
  <si>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</si>
  <si>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</si>
  <si>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</si>
  <si>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</si>
  <si>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</si>
  <si>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</si>
  <si>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</si>
  <si>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</si>
  <si>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</si>
  <si>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</si>
  <si>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</si>
  <si>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</si>
  <si>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</si>
  <si>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</si>
  <si>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</si>
  <si>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</si>
  <si>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</si>
  <si>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</si>
  <si>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</si>
  <si>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</si>
  <si>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</si>
  <si>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</si>
  <si>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</si>
  <si>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</si>
  <si>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</si>
  <si>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</si>
  <si>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</si>
  <si>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</si>
  <si>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</si>
  <si>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</si>
  <si>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</si>
  <si>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</si>
  <si>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</si>
  <si>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</si>
  <si>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</si>
  <si>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</si>
  <si>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</si>
  <si>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</si>
  <si>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</si>
  <si>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</si>
  <si>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</si>
  <si>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</si>
  <si>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</si>
  <si>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</si>
  <si>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</si>
  <si>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</si>
  <si>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</si>
  <si>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</si>
  <si>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</si>
  <si>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</si>
  <si>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</si>
  <si>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</si>
  <si>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</si>
  <si>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</si>
  <si>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</si>
  <si>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</si>
  <si>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</si>
  <si>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</si>
  <si>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</si>
  <si>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</si>
  <si>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</si>
  <si>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</si>
  <si>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</si>
  <si>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</si>
  <si>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</si>
  <si>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</si>
  <si>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</si>
  <si>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</si>
  <si>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</si>
  <si>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</si>
  <si>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</si>
  <si>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</si>
  <si>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</si>
  <si>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</si>
  <si>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</si>
  <si>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</si>
  <si>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</si>
  <si>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</si>
  <si>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</si>
  <si>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</si>
  <si>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</si>
  <si>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</si>
  <si>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</si>
  <si>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</si>
  <si>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</si>
  <si>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</si>
  <si>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</si>
  <si>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</si>
  <si>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</si>
  <si>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</si>
  <si>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</si>
  <si>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</si>
  <si>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</si>
  <si>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</si>
  <si>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</si>
  <si>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</si>
  <si>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</si>
  <si>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</si>
  <si>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</si>
  <si>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</si>
  <si>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</si>
  <si>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</si>
  <si>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</si>
  <si>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</si>
  <si>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</si>
  <si>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</si>
  <si>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</si>
  <si>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</si>
  <si>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</si>
  <si>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</si>
  <si>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</si>
  <si>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</si>
  <si>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</si>
  <si>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</si>
  <si>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</si>
  <si>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</si>
  <si>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</si>
  <si>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</si>
  <si>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</si>
  <si>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</si>
  <si>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</si>
  <si>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</si>
  <si>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</si>
  <si>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</si>
  <si>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</si>
  <si>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</si>
  <si>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</si>
  <si>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</si>
  <si>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</si>
  <si>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</si>
  <si>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</si>
  <si>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</si>
  <si>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</si>
  <si>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</si>
  <si>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</si>
  <si>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</si>
  <si>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</si>
  <si>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</si>
  <si>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</si>
  <si>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</si>
  <si>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</si>
  <si>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</si>
  <si>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</si>
  <si>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</si>
  <si>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</si>
  <si>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</si>
  <si>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</si>
  <si>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</si>
  <si>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</si>
  <si>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</si>
  <si>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</si>
  <si>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</si>
  <si>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</si>
  <si>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</si>
  <si>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</si>
  <si>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</si>
  <si>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</si>
  <si>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</si>
  <si>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</si>
  <si>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</si>
  <si>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</si>
  <si>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</si>
  <si>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</si>
  <si>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</si>
  <si>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</si>
  <si>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</si>
  <si>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</si>
  <si>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</si>
  <si>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</si>
  <si>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</si>
  <si>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</si>
  <si>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</si>
  <si>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</si>
  <si>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</si>
  <si>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</si>
  <si>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</si>
  <si>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</si>
  <si>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</si>
  <si>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</si>
  <si>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</si>
  <si>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</si>
  <si>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</si>
  <si>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</si>
  <si>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</si>
  <si>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</si>
  <si>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</si>
  <si>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</si>
  <si>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</si>
  <si>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</si>
  <si>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</si>
  <si>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</si>
  <si>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</si>
  <si>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</si>
  <si>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</si>
  <si>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</si>
  <si>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</si>
  <si>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</si>
  <si>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</si>
  <si>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</si>
  <si>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</si>
  <si>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</si>
  <si>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</si>
  <si>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</si>
  <si>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</si>
  <si>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</si>
  <si>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</si>
  <si>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</si>
  <si>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</si>
  <si>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</si>
  <si>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</si>
  <si>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</si>
  <si>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</si>
  <si>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</si>
  <si>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</si>
  <si>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</si>
  <si>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</si>
  <si>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</si>
  <si>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</si>
  <si>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</si>
  <si>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</si>
  <si>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</si>
  <si>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</si>
  <si>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</si>
  <si>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</si>
  <si>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</si>
  <si>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</si>
  <si>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</si>
  <si>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</si>
  <si>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</si>
  <si>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</si>
  <si>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</si>
  <si>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</si>
  <si>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</si>
  <si>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</si>
  <si>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</si>
  <si>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</si>
  <si>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</si>
  <si>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</si>
  <si>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</si>
  <si>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</si>
  <si>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</si>
  <si>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</si>
  <si>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</si>
  <si>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</si>
  <si>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</si>
  <si>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</si>
  <si>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</si>
  <si>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</si>
  <si>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</si>
  <si>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</si>
  <si>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</si>
  <si>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</si>
  <si>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</si>
  <si>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</si>
  <si>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</si>
  <si>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</si>
  <si>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</si>
  <si>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</si>
  <si>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</si>
  <si>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</si>
  <si>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</si>
  <si>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</si>
  <si>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</si>
  <si>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</si>
  <si>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</si>
  <si>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</si>
  <si>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</si>
  <si>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</si>
  <si>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</si>
  <si>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</si>
  <si>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</si>
  <si>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</si>
  <si>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</si>
  <si>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</si>
  <si>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</si>
  <si>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</si>
  <si>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</si>
  <si>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</si>
  <si>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</si>
  <si>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</si>
  <si>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</si>
  <si>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</si>
  <si>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</si>
  <si>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</si>
  <si>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</si>
  <si>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</si>
  <si>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</si>
  <si>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</si>
  <si>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</si>
  <si>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</si>
  <si>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</si>
  <si>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</si>
  <si>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</si>
  <si>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</si>
  <si>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</si>
  <si>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</si>
  <si>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</si>
  <si>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</si>
  <si>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</si>
  <si>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</si>
  <si>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</si>
  <si>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</si>
  <si>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</si>
  <si>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</si>
  <si>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</si>
  <si>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</si>
  <si>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</si>
  <si>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</si>
  <si>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</si>
  <si>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</si>
  <si>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</si>
  <si>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</si>
  <si>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</si>
  <si>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</si>
  <si>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</si>
  <si>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</si>
  <si>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</si>
  <si>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</si>
  <si>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</si>
  <si>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</si>
  <si>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</si>
  <si>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</si>
  <si>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</si>
  <si>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</si>
  <si>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</si>
  <si>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</si>
  <si>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</si>
  <si>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</si>
  <si>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</si>
  <si>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</si>
  <si>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</si>
  <si>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</si>
  <si>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</si>
  <si>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</si>
  <si>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</si>
  <si>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</si>
  <si>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</si>
  <si>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</si>
  <si>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</si>
  <si>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</si>
  <si>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</si>
  <si>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</si>
  <si>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</si>
  <si>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</si>
  <si>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</si>
  <si>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</si>
  <si>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</si>
  <si>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</si>
  <si>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</si>
  <si>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</si>
  <si>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</si>
  <si>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</si>
  <si>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</si>
  <si>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</si>
  <si>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</si>
  <si>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</si>
  <si>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</si>
  <si>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</si>
  <si>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</si>
  <si>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</si>
  <si>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</si>
  <si>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</si>
  <si>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</si>
  <si>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</si>
  <si>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</si>
  <si>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</si>
  <si>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</si>
  <si>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</si>
  <si>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</si>
  <si>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</si>
  <si>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</si>
  <si>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</si>
  <si>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</si>
  <si>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</si>
  <si>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</si>
  <si>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</si>
  <si>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</si>
  <si>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</si>
  <si>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</si>
  <si>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</si>
  <si>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</si>
  <si>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</si>
  <si>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</si>
  <si>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</si>
  <si>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</si>
  <si>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</si>
  <si>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</si>
  <si>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</si>
  <si>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</si>
  <si>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</si>
  <si>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</si>
  <si>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</si>
  <si>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</si>
  <si>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</si>
  <si>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</si>
  <si>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</si>
  <si>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</si>
  <si>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</si>
  <si>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</si>
  <si>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</si>
  <si>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</si>
  <si>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</si>
  <si>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</si>
  <si>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</si>
  <si>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</si>
  <si>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</si>
  <si>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</si>
  <si>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</si>
  <si>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</si>
  <si>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</si>
  <si>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</si>
  <si>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</si>
  <si>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</si>
  <si>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</si>
  <si>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</si>
  <si>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</si>
  <si>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</si>
  <si>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</si>
  <si>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</si>
  <si>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</si>
  <si>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</si>
  <si>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</si>
  <si>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</si>
  <si>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</si>
  <si>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</si>
  <si>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</si>
  <si>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</si>
  <si>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</si>
  <si>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</si>
  <si>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</si>
  <si>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</si>
  <si>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</si>
  <si>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</si>
  <si>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</si>
  <si>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</si>
  <si>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</si>
  <si>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</si>
  <si>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</si>
  <si>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</si>
  <si>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</si>
  <si>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</si>
  <si>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</si>
  <si>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</si>
  <si>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</si>
  <si>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</si>
  <si>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</si>
  <si>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</si>
  <si>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</si>
  <si>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</si>
  <si>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</si>
  <si>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</si>
  <si>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</si>
  <si>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</si>
  <si>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</si>
  <si>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</si>
  <si>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</si>
  <si>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</si>
  <si>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</si>
  <si>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</si>
  <si>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</si>
  <si>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</si>
  <si>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</si>
  <si>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</si>
  <si>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</si>
  <si>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</si>
  <si>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</si>
  <si>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</si>
  <si>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</si>
  <si>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</si>
  <si>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</si>
  <si>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</si>
  <si>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</si>
  <si>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</si>
  <si>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</si>
  <si>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</si>
  <si>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</si>
  <si>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</si>
  <si>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</si>
  <si>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</si>
  <si>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</si>
  <si>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</si>
  <si>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</si>
  <si>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</si>
  <si>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</si>
  <si>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</si>
  <si>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</si>
  <si>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</si>
  <si>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</si>
  <si>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</si>
  <si>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</si>
  <si>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</si>
  <si>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</si>
  <si>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</si>
  <si>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</si>
  <si>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</si>
  <si>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</si>
  <si>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</si>
  <si>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</si>
  <si>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</si>
  <si>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</si>
  <si>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</si>
  <si>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</si>
  <si>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</si>
  <si>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</si>
  <si>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</si>
  <si>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</si>
  <si>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</si>
  <si>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</si>
  <si>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</si>
  <si>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</si>
  <si>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</si>
  <si>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</si>
  <si>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</si>
  <si>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</si>
  <si>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</si>
  <si>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</si>
  <si>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</si>
  <si>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</si>
  <si>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</si>
  <si>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</si>
  <si>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</si>
  <si>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</si>
  <si>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</si>
  <si>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</si>
  <si>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</si>
  <si>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</si>
  <si>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</si>
  <si>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</si>
  <si>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</si>
  <si>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</si>
  <si>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</si>
  <si>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</si>
  <si>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</si>
  <si>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</si>
  <si>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</si>
  <si>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</si>
  <si>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</si>
  <si>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</si>
  <si>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</si>
  <si>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</si>
  <si>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</si>
  <si>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</si>
  <si>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</si>
  <si>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</si>
  <si>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</si>
  <si>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</si>
  <si>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</si>
  <si>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</si>
  <si>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</si>
  <si>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</si>
  <si>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</si>
  <si>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</si>
  <si>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</si>
  <si>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</si>
  <si>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</si>
  <si>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</si>
  <si>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</si>
  <si>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</si>
  <si>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</si>
  <si>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</si>
  <si>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</si>
  <si>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</si>
  <si>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</si>
  <si>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</si>
  <si>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</si>
  <si>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</si>
  <si>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</si>
  <si>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</si>
  <si>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</si>
  <si>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</si>
  <si>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</si>
  <si>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</si>
  <si>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</si>
  <si>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</si>
  <si>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</si>
  <si>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</si>
  <si>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</si>
  <si>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</si>
  <si>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</si>
  <si>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</si>
  <si>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</si>
  <si>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</si>
  <si>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</si>
  <si>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</si>
  <si>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</si>
  <si>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</si>
  <si>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</si>
  <si>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</si>
  <si>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</si>
  <si>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</si>
  <si>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</si>
  <si>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</si>
  <si>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</si>
  <si>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</si>
  <si>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</si>
  <si>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</si>
  <si>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</si>
  <si>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</si>
  <si>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</si>
  <si>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</si>
  <si>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</si>
  <si>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</si>
  <si>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</si>
  <si>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</si>
  <si>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</si>
  <si>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</si>
  <si>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</si>
  <si>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</si>
  <si>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</si>
  <si>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</si>
  <si>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</si>
  <si>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</si>
  <si>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</si>
  <si>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</si>
  <si>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</si>
  <si>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</si>
  <si>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</si>
  <si>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</si>
  <si>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</si>
  <si>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</si>
  <si>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</si>
  <si>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</si>
  <si>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</si>
  <si>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</si>
  <si>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</si>
  <si>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</si>
  <si>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</si>
  <si>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</si>
  <si>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</si>
  <si>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</si>
  <si>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</si>
  <si>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</si>
  <si>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</si>
  <si>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</si>
  <si>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</si>
  <si>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</si>
  <si>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</si>
  <si>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</si>
  <si>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</si>
  <si>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</si>
  <si>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</si>
  <si>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</si>
  <si>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</si>
  <si>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</si>
  <si>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</si>
  <si>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</si>
  <si>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</si>
  <si>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</si>
  <si>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</si>
  <si>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</si>
  <si>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</si>
  <si>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</si>
  <si>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</si>
  <si>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</si>
  <si>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</si>
  <si>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</si>
  <si>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</si>
  <si>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</si>
  <si>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</si>
  <si>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</si>
  <si>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</si>
  <si>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</si>
  <si>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</si>
  <si>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</si>
  <si>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</si>
  <si>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</si>
  <si>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</si>
  <si>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</si>
  <si>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</si>
  <si>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</si>
  <si>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</si>
  <si>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</si>
  <si>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</si>
  <si>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</si>
  <si>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</si>
  <si>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</si>
  <si>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</si>
  <si>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</si>
  <si>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</si>
  <si>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</si>
  <si>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</si>
  <si>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</si>
  <si>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</si>
  <si>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</si>
  <si>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</si>
  <si>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</si>
  <si>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</si>
  <si>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</si>
  <si>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</si>
  <si>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</si>
  <si>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</si>
  <si>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</si>
  <si>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</si>
  <si>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</si>
  <si>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</si>
  <si>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</si>
  <si>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</si>
  <si>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</si>
  <si>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</si>
  <si>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</si>
  <si>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</si>
  <si>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</si>
  <si>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</si>
  <si>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</si>
  <si>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</si>
  <si>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</si>
  <si>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</si>
  <si>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</si>
  <si>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</si>
  <si>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</si>
  <si>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</si>
  <si>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</si>
  <si>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</si>
  <si>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</si>
  <si>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</si>
  <si>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</si>
  <si>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</si>
  <si>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</si>
  <si>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</si>
  <si>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</si>
  <si>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</si>
  <si>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</si>
  <si>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</si>
  <si>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</si>
  <si>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</si>
  <si>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</si>
  <si>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</si>
  <si>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</si>
  <si>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</si>
  <si>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</si>
  <si>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</si>
  <si>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</si>
  <si>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</si>
  <si>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</si>
  <si>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</si>
  <si>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</si>
  <si>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</si>
  <si>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</si>
  <si>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</si>
  <si>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</si>
  <si>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</si>
  <si>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</si>
  <si>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</si>
  <si>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</si>
  <si>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</si>
  <si>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</si>
  <si>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</si>
  <si>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</si>
  <si>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</si>
  <si>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</si>
  <si>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</si>
  <si>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</si>
  <si>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</si>
  <si>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</si>
  <si>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</si>
  <si>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</si>
  <si>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</si>
  <si>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</si>
  <si>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</si>
  <si>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</si>
  <si>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</si>
  <si>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</si>
  <si>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</si>
  <si>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</si>
  <si>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</si>
  <si>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</si>
  <si>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</si>
  <si>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</si>
  <si>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</si>
  <si>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</si>
  <si>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</si>
  <si>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</si>
  <si>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</si>
  <si>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</si>
  <si>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</si>
  <si>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</si>
  <si>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</si>
  <si>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</si>
  <si>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</si>
  <si>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</si>
  <si>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</si>
  <si>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</si>
  <si>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</si>
  <si>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</si>
  <si>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</si>
  <si>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</si>
  <si>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</si>
  <si>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</si>
  <si>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</si>
  <si>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</si>
  <si>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</si>
  <si>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</si>
  <si>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</si>
  <si>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</si>
  <si>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</si>
  <si>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</si>
  <si>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</si>
  <si>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</si>
  <si>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</si>
  <si>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</si>
  <si>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</si>
  <si>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</si>
  <si>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</si>
  <si>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</si>
  <si>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</si>
  <si>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</si>
  <si>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</si>
  <si>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</si>
  <si>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</si>
  <si>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</si>
  <si>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</si>
  <si>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</si>
  <si>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</si>
  <si>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</si>
  <si>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</si>
  <si>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</si>
  <si>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</si>
  <si>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</si>
  <si>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</si>
  <si>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</si>
  <si>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</si>
  <si>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</si>
  <si>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</si>
  <si>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</si>
  <si>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</si>
  <si>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</si>
  <si>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</si>
  <si>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</si>
  <si>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</si>
  <si>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</si>
  <si>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</si>
  <si>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</si>
  <si>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</si>
  <si>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</si>
  <si>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</si>
  <si>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</si>
  <si>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</si>
  <si>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</si>
  <si>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</si>
  <si>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</si>
  <si>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</si>
  <si>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</si>
  <si>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</si>
  <si>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</si>
  <si>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</si>
  <si>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</si>
  <si>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</si>
  <si>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</si>
  <si>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</si>
  <si>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</si>
  <si>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</si>
  <si>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</si>
  <si>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</si>
  <si>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</si>
  <si>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</si>
  <si>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</si>
  <si>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</si>
  <si>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</si>
  <si>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</si>
  <si>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</si>
  <si>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</si>
  <si>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</si>
  <si>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</si>
  <si>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</si>
  <si>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</si>
  <si>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</si>
  <si>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</si>
  <si>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</si>
  <si>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</si>
  <si>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</si>
  <si>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</si>
  <si>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</si>
  <si>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</si>
  <si>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</si>
  <si>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</si>
  <si>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</si>
  <si>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</si>
  <si>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</si>
  <si>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</si>
  <si>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</si>
  <si>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</si>
  <si>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</si>
  <si>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</si>
  <si>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</si>
  <si>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</si>
  <si>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</si>
  <si>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</si>
  <si>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</si>
  <si>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</si>
  <si>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</si>
  <si>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</si>
  <si>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</si>
  <si>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</si>
  <si>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</si>
  <si>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</si>
  <si>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</si>
  <si>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</si>
  <si>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</si>
  <si>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</si>
  <si>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</si>
  <si>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</si>
  <si>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</si>
  <si>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</si>
  <si>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</si>
  <si>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</si>
  <si>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</si>
  <si>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</si>
  <si>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</si>
  <si>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</si>
  <si>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</si>
  <si>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</si>
  <si>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</si>
  <si>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</si>
  <si>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</si>
  <si>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</si>
  <si>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</si>
  <si>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</si>
  <si>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</si>
  <si>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</si>
  <si>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</si>
  <si>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</si>
  <si>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</si>
  <si>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</si>
  <si>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</si>
  <si>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</si>
  <si>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</si>
  <si>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</si>
  <si>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</si>
  <si>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</si>
  <si>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</si>
  <si>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</si>
  <si>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</si>
  <si>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</si>
  <si>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</si>
  <si>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</si>
  <si>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</si>
  <si>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</si>
  <si>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</si>
  <si>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</si>
  <si>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</si>
  <si>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</si>
  <si>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</si>
  <si>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</si>
  <si>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</si>
  <si>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</si>
  <si>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</si>
  <si>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</si>
  <si>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</si>
  <si>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</si>
  <si>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</si>
  <si>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</si>
  <si>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</si>
  <si>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</si>
  <si>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</si>
  <si>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</si>
  <si>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</si>
  <si>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</si>
  <si>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</si>
  <si>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</si>
  <si>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</si>
  <si>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</si>
  <si>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</si>
  <si>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</si>
  <si>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</si>
  <si>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</si>
  <si>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</si>
  <si>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</si>
  <si>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</si>
  <si>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</si>
  <si>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</si>
  <si>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</si>
  <si>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</si>
  <si>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</si>
  <si>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</si>
  <si>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</si>
  <si>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</si>
  <si>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</si>
  <si>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</si>
  <si>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</si>
  <si>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</si>
  <si>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</si>
  <si>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</si>
  <si>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</si>
  <si>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</si>
  <si>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</si>
  <si>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</si>
  <si>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</si>
  <si>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</si>
  <si>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</si>
  <si>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</si>
  <si>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</si>
  <si>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</si>
  <si>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</si>
  <si>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</si>
  <si>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</si>
  <si>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</si>
  <si>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</si>
  <si>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</si>
  <si>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</si>
  <si>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</si>
  <si>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</si>
  <si>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</si>
  <si>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</si>
  <si>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</si>
  <si>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</si>
  <si>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</si>
  <si>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</si>
  <si>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</si>
  <si>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</si>
  <si>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</si>
  <si>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</si>
  <si>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</si>
  <si>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</si>
  <si>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</si>
  <si>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</si>
  <si>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</si>
  <si>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</si>
  <si>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</si>
  <si>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</si>
  <si>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</si>
  <si>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</si>
  <si>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</si>
  <si>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</si>
  <si>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</si>
  <si>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</si>
  <si>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</si>
  <si>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</si>
  <si>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</si>
  <si>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</si>
  <si>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</si>
  <si>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</si>
  <si>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</si>
  <si>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</si>
  <si>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</si>
  <si>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</si>
  <si>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</si>
  <si>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</si>
  <si>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</si>
  <si>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</si>
  <si>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</si>
  <si>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</si>
  <si>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</si>
  <si>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</si>
  <si>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</si>
  <si>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</si>
  <si>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</si>
  <si>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</si>
  <si>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</si>
  <si>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</si>
  <si>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</si>
  <si>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</si>
  <si>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</si>
  <si>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</si>
  <si>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</si>
  <si>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</si>
  <si>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</si>
  <si>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</si>
  <si>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</si>
  <si>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</si>
  <si>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</si>
  <si>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</si>
  <si>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</si>
  <si>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</si>
  <si>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</si>
  <si>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</si>
  <si>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</si>
  <si>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</si>
  <si>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</si>
  <si>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</si>
  <si>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</si>
  <si>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</si>
  <si>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</si>
  <si>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</si>
  <si>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</si>
  <si>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</si>
  <si>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</si>
  <si>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</si>
  <si>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</si>
  <si>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</si>
  <si>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</si>
  <si>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</si>
  <si>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</si>
  <si>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</si>
  <si>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</si>
  <si>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</si>
  <si>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</si>
  <si>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</si>
  <si>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</si>
  <si>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</si>
  <si>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</si>
  <si>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</si>
  <si>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</si>
  <si>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</si>
  <si>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</si>
  <si>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</si>
  <si>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</si>
  <si>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</si>
  <si>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</si>
  <si>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</si>
  <si>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</si>
  <si>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</si>
  <si>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</si>
  <si>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</si>
  <si>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</si>
  <si>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</si>
  <si>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</si>
  <si>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</si>
  <si>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</si>
  <si>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</si>
  <si>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</si>
  <si>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</si>
  <si>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</si>
  <si>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</si>
  <si>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</si>
  <si>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</si>
  <si>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</si>
  <si>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</si>
  <si>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</si>
  <si>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</si>
  <si>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</si>
  <si>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</si>
  <si>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</si>
  <si>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</si>
  <si>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</si>
  <si>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</si>
  <si>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</si>
  <si>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</si>
  <si>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</si>
  <si>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</si>
  <si>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</si>
  <si>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</si>
  <si>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</si>
  <si>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</si>
  <si>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</si>
  <si>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</si>
  <si>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</si>
  <si>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</si>
  <si>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</si>
  <si>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</si>
  <si>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</si>
  <si>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</si>
  <si>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</si>
  <si>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</si>
  <si>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</si>
  <si>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</si>
  <si>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</si>
  <si>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</si>
  <si>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</si>
  <si>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</si>
  <si>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</si>
  <si>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</si>
  <si>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</si>
  <si>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</si>
  <si>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</si>
  <si>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</si>
  <si>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</si>
  <si>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</si>
  <si>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</si>
  <si>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</si>
  <si>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</si>
  <si>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</si>
  <si>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</si>
  <si>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</si>
  <si>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</si>
  <si>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</si>
  <si>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</si>
  <si>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</si>
  <si>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</si>
  <si>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</si>
  <si>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</si>
  <si>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</si>
  <si>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</si>
  <si>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</si>
  <si>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</si>
  <si>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</si>
  <si>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</si>
  <si>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</si>
  <si>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</si>
  <si>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</si>
  <si>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</si>
  <si>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</si>
  <si>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</si>
  <si>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</si>
  <si>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</si>
  <si>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</si>
  <si>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</si>
  <si>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</si>
  <si>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</si>
  <si>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</si>
  <si>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</si>
  <si>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</si>
  <si>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</si>
  <si>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</si>
  <si>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</si>
  <si>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</si>
  <si>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</si>
  <si>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</si>
  <si>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</si>
  <si>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</si>
  <si>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</si>
  <si>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</si>
  <si>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</si>
  <si>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</si>
  <si>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</si>
  <si>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</si>
  <si>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</si>
  <si>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</si>
  <si>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</si>
  <si>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</si>
  <si>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</si>
  <si>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</si>
  <si>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</si>
  <si>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</si>
  <si>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</si>
  <si>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</si>
  <si>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</si>
  <si>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</si>
  <si>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</si>
  <si>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</si>
  <si>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</si>
  <si>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</si>
  <si>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</si>
  <si>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</si>
  <si>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</si>
  <si>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</si>
  <si>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</si>
  <si>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</si>
  <si>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</si>
  <si>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</si>
  <si>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</si>
  <si>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</si>
  <si>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</si>
  <si>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</si>
  <si>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</si>
  <si>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</si>
  <si>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</si>
  <si>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</si>
  <si>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</si>
  <si>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</si>
  <si>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</si>
  <si>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</si>
  <si>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</si>
  <si>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</si>
  <si>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</si>
  <si>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</si>
  <si>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</si>
  <si>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</si>
  <si>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</si>
  <si>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</si>
  <si>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</si>
  <si>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</si>
  <si>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</si>
  <si>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</si>
  <si>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</si>
  <si>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</si>
  <si>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</si>
  <si>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</si>
  <si>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</si>
  <si>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</si>
  <si>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</si>
  <si>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</si>
  <si>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</si>
  <si>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</si>
  <si>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</si>
  <si>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</si>
  <si>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</si>
  <si>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</si>
  <si>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</si>
  <si>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</si>
  <si>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</si>
  <si>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</si>
  <si>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</si>
  <si>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</si>
  <si>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</si>
  <si>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</si>
  <si>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</si>
  <si>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</si>
  <si>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</si>
  <si>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</si>
  <si>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</si>
  <si>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</si>
  <si>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</si>
  <si>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</si>
  <si>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</si>
  <si>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</si>
  <si>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</si>
  <si>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</si>
  <si>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</si>
  <si>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</si>
  <si>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</si>
  <si>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</si>
  <si>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</si>
  <si>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</si>
  <si>
    <t>地价指数</t>
  </si>
  <si>
    <t>成新度</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</si>
</sst>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10" fontId="300" fillId="12" borderId="2" xfId="16" applyNumberFormat="1" applyFont="1" applyFill="1" applyBorder="1" applyAlignment="1" applyProtection="1">
      <alignment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129</v>
      </c>
    </row>
    <row r="47" spans="1:2">
      <c r="A47" s="2354" t="s">
        <v>2006</v>
      </c>
      <c r="B47" s="2355">
        <f ca="1">'预评函-2'!Q5</f>
        <v>218</v>
      </c>
    </row>
    <row r="48" spans="1:2">
      <c r="A48" s="2354" t="s">
        <v>2007</v>
      </c>
      <c r="B48" s="2355">
        <f ca="1">'预评函-2'!R5</f>
        <v>1026</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2672</v>
      </c>
      <c r="B1" s="3278"/>
      <c r="C1" s="3278"/>
      <c r="D1" s="3278"/>
      <c r="E1" s="3278"/>
      <c r="F1" s="3279"/>
    </row>
    <row r="2" spans="1:6">
      <c r="A2" s="3281"/>
      <c r="B2" s="3282"/>
      <c r="C2" s="3282"/>
      <c r="D2" s="3282"/>
      <c r="E2" s="3282"/>
      <c r="F2" s="3283"/>
    </row>
    <row r="3" spans="1:6">
      <c r="A3" s="3284" t="s">
        <v>2673</v>
      </c>
      <c r="B3" s="3285">
        <f>项目基本情况!D3</f>
        <v>44933</v>
      </c>
      <c r="C3" s="3286"/>
      <c r="D3" s="3286"/>
      <c r="E3" s="3286"/>
      <c r="F3" s="3283"/>
    </row>
    <row r="4" spans="1:6">
      <c r="A4" s="3284" t="s">
        <v>2674</v>
      </c>
      <c r="B4" s="3287" t="s">
        <v>2675</v>
      </c>
      <c r="C4" s="3287" t="s">
        <v>2676</v>
      </c>
      <c r="D4" s="3287" t="s">
        <v>2677</v>
      </c>
      <c r="E4" s="3287" t="s">
        <v>2678</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2679</v>
      </c>
      <c r="B9" s="3287"/>
      <c r="C9" s="3287"/>
      <c r="D9" s="3287"/>
      <c r="E9" s="3287"/>
      <c r="F9" s="3291"/>
    </row>
    <row r="10" spans="1:6">
      <c r="A10" s="3284" t="s">
        <v>2680</v>
      </c>
      <c r="B10" s="3287"/>
      <c r="C10" s="3287"/>
      <c r="D10" s="3287" t="s">
        <v>2678</v>
      </c>
      <c r="E10" s="3287"/>
      <c r="F10" s="3291" t="s">
        <v>2677</v>
      </c>
    </row>
    <row r="11" spans="1:6">
      <c r="A11" s="3284" t="s">
        <v>2681</v>
      </c>
      <c r="B11" s="3292"/>
      <c r="C11" s="3287" t="s">
        <v>2682</v>
      </c>
      <c r="D11" s="3293"/>
      <c r="E11" s="3287" t="s">
        <v>2683</v>
      </c>
      <c r="F11" s="3294">
        <f>ROUND(1-(1/(POWER(1+D11,B11))),4)</f>
        <v>0</v>
      </c>
    </row>
    <row r="12" spans="1:6">
      <c r="A12" s="3284" t="s">
        <v>2684</v>
      </c>
      <c r="B12" s="3292"/>
      <c r="C12" s="3287" t="s">
        <v>2685</v>
      </c>
      <c r="D12" s="3293"/>
      <c r="E12" s="3287" t="s">
        <v>2686</v>
      </c>
      <c r="F12" s="3294">
        <f>ROUND(1-(1/(POWER(1+D12,B12))),4)</f>
        <v>0</v>
      </c>
    </row>
    <row r="13" spans="1:6">
      <c r="A13" s="3284" t="s">
        <v>2687</v>
      </c>
      <c r="B13" s="3287"/>
      <c r="C13" s="3286"/>
      <c r="D13" s="3282"/>
      <c r="E13" s="3282"/>
      <c r="F13" s="3283"/>
    </row>
    <row r="14" spans="1:6">
      <c r="A14" s="3284" t="s">
        <v>2688</v>
      </c>
      <c r="B14" s="3292"/>
      <c r="C14" s="3286"/>
      <c r="D14" s="3282"/>
      <c r="E14" s="3282"/>
      <c r="F14" s="3283"/>
    </row>
    <row r="15" spans="1:6">
      <c r="A15" s="3284" t="s">
        <v>2689</v>
      </c>
      <c r="B15" s="3287" t="e">
        <f>ROUND(B14*F12/F11,2)</f>
        <v>#DIV/0!</v>
      </c>
      <c r="C15" s="3287" t="e">
        <f>ROUND(F12/F11,4)</f>
        <v>#DIV/0!</v>
      </c>
      <c r="D15" s="3282"/>
      <c r="E15" s="3282"/>
      <c r="F15" s="3283"/>
    </row>
    <row r="16" spans="1:6">
      <c r="A16" s="3284" t="s">
        <v>2690</v>
      </c>
      <c r="B16" s="3287"/>
      <c r="C16" s="3286"/>
      <c r="D16" s="3282"/>
      <c r="E16" s="3282"/>
      <c r="F16" s="3283"/>
    </row>
    <row r="17" spans="1:7">
      <c r="A17" s="3284" t="s">
        <v>2689</v>
      </c>
      <c r="B17" s="3293"/>
      <c r="C17" s="3286"/>
      <c r="D17" s="3282"/>
      <c r="E17" s="3282"/>
      <c r="F17" s="3283"/>
    </row>
    <row r="18" spans="1:7" ht="14.25" thickBot="1">
      <c r="A18" s="3295" t="s">
        <v>2688</v>
      </c>
      <c r="B18" s="3296" t="e">
        <f>ROUND(B17*F11/F12,2)</f>
        <v>#DIV/0!</v>
      </c>
      <c r="C18" s="3296" t="e">
        <f>ROUND(F11/F12,4)</f>
        <v>#DIV/0!</v>
      </c>
      <c r="D18" s="3297"/>
      <c r="E18" s="3297"/>
      <c r="F18" s="3298"/>
    </row>
    <row r="19" spans="1:7" ht="14.25" thickBot="1"/>
    <row r="20" spans="1:7">
      <c r="A20" s="3299" t="s">
        <v>2691</v>
      </c>
      <c r="B20" s="3300"/>
      <c r="C20" s="3300"/>
      <c r="D20" s="3300"/>
      <c r="E20" s="3300"/>
      <c r="F20" s="3300"/>
      <c r="G20" s="3301"/>
    </row>
    <row r="21" spans="1:7">
      <c r="A21" s="3302"/>
      <c r="B21" s="3303" t="s">
        <v>2692</v>
      </c>
      <c r="C21" s="3303" t="s">
        <v>2693</v>
      </c>
      <c r="D21" s="3303" t="s">
        <v>2694</v>
      </c>
      <c r="E21" s="3303" t="s">
        <v>2695</v>
      </c>
      <c r="F21" s="3303" t="s">
        <v>2696</v>
      </c>
      <c r="G21" s="3304" t="s">
        <v>2697</v>
      </c>
    </row>
    <row r="22" spans="1:7">
      <c r="A22" s="3302" t="s">
        <v>2698</v>
      </c>
      <c r="B22" s="3305">
        <v>50</v>
      </c>
      <c r="C22" s="3305">
        <v>32</v>
      </c>
      <c r="D22" s="3306">
        <v>0.05</v>
      </c>
      <c r="E22" s="3303">
        <f>ROUND(POWER(1+D22,B22-C22)*(POWER(1+D22,C22)-1)/(POWER(1+D22,B22)-1),3)</f>
        <v>0.86599999999999999</v>
      </c>
      <c r="F22" s="3306">
        <v>0.6</v>
      </c>
      <c r="G22" s="3304">
        <f>ROUND(100*(1-(1-E22)*F22),1)</f>
        <v>92</v>
      </c>
    </row>
    <row r="23" spans="1:7">
      <c r="A23" s="3307" t="s">
        <v>2699</v>
      </c>
      <c r="B23" s="3305">
        <v>50</v>
      </c>
      <c r="C23" s="3305">
        <v>35</v>
      </c>
      <c r="D23" s="3306">
        <v>0.05</v>
      </c>
      <c r="E23" s="3303">
        <f>ROUND(POWER(1+D23,B23-C23)*(POWER(1+D23,C23)-1)/(POWER(1+D23,B23)-1),3)</f>
        <v>0.89700000000000002</v>
      </c>
      <c r="F23" s="3306">
        <f>F22</f>
        <v>0.6</v>
      </c>
      <c r="G23" s="3304">
        <f>ROUND(100*(1-(1-E23)*F23),1)</f>
        <v>93.8</v>
      </c>
    </row>
    <row r="24" spans="1:7">
      <c r="A24" s="3307" t="s">
        <v>2700</v>
      </c>
      <c r="B24" s="3305">
        <v>50</v>
      </c>
      <c r="C24" s="3305">
        <v>25</v>
      </c>
      <c r="D24" s="3306">
        <v>0.05</v>
      </c>
      <c r="E24" s="3303">
        <f>ROUND(POWER(1+D24,B24-C24)*(POWER(1+D24,C24)-1)/(POWER(1+D24,B24)-1),3)</f>
        <v>0.77200000000000002</v>
      </c>
      <c r="F24" s="3306">
        <f>F23</f>
        <v>0.6</v>
      </c>
      <c r="G24" s="3304">
        <f>ROUND(100*(1-(1-E24)*F24),1)</f>
        <v>86.3</v>
      </c>
    </row>
    <row r="25" spans="1:7">
      <c r="A25" s="3307" t="s">
        <v>2701</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2702</v>
      </c>
      <c r="B27" s="3312"/>
      <c r="C27" s="3312"/>
      <c r="D27" s="3312"/>
      <c r="E27" s="3312"/>
      <c r="F27" s="3312"/>
      <c r="G27" s="3313"/>
    </row>
    <row r="28" spans="1:7">
      <c r="A28" s="3311" t="s">
        <v>2703</v>
      </c>
      <c r="B28" s="3312"/>
      <c r="C28" s="3312"/>
      <c r="D28" s="3312"/>
      <c r="E28" s="3312"/>
      <c r="F28" s="3312"/>
      <c r="G28" s="3313"/>
    </row>
    <row r="29" spans="1:7">
      <c r="A29" s="3311" t="s">
        <v>2704</v>
      </c>
      <c r="B29" s="3312"/>
      <c r="C29" s="3312"/>
      <c r="D29" s="3312"/>
      <c r="E29" s="3312"/>
      <c r="F29" s="3312"/>
      <c r="G29" s="3313"/>
    </row>
    <row r="30" spans="1:7">
      <c r="A30" s="3311" t="s">
        <v>2705</v>
      </c>
      <c r="B30" s="3312"/>
      <c r="C30" s="3312"/>
      <c r="D30" s="3312"/>
      <c r="E30" s="3312"/>
      <c r="F30" s="3312"/>
      <c r="G30" s="3313"/>
    </row>
    <row r="31" spans="1:7">
      <c r="A31" s="3311" t="s">
        <v>2706</v>
      </c>
      <c r="B31" s="3312"/>
      <c r="C31" s="3312"/>
      <c r="D31" s="3312"/>
      <c r="E31" s="3312"/>
      <c r="F31" s="3312"/>
      <c r="G31" s="3313"/>
    </row>
    <row r="32" spans="1:7">
      <c r="A32" s="3311" t="s">
        <v>2707</v>
      </c>
      <c r="B32" s="3312"/>
      <c r="C32" s="3312"/>
      <c r="D32" s="3312"/>
      <c r="E32" s="3312"/>
      <c r="F32" s="3312"/>
      <c r="G32" s="3313"/>
    </row>
    <row r="33" spans="1:7">
      <c r="A33" s="3311" t="s">
        <v>2708</v>
      </c>
      <c r="B33" s="3312"/>
      <c r="C33" s="3312"/>
      <c r="D33" s="3312"/>
      <c r="E33" s="3312"/>
      <c r="F33" s="3312"/>
      <c r="G33" s="3313"/>
    </row>
    <row r="34" spans="1:7">
      <c r="A34" s="3311" t="s">
        <v>2709</v>
      </c>
      <c r="B34" s="3312"/>
      <c r="C34" s="3312"/>
      <c r="D34" s="3312"/>
      <c r="E34" s="3312"/>
      <c r="F34" s="3312"/>
      <c r="G34" s="3313"/>
    </row>
    <row r="35" spans="1:7">
      <c r="A35" s="3311" t="s">
        <v>2710</v>
      </c>
      <c r="B35" s="3312"/>
      <c r="C35" s="3312"/>
      <c r="D35" s="3312"/>
      <c r="E35" s="3312"/>
      <c r="F35" s="3312"/>
      <c r="G35" s="3313"/>
    </row>
    <row r="36" spans="1:7">
      <c r="A36" s="3311" t="s">
        <v>2711</v>
      </c>
      <c r="B36" s="3312"/>
      <c r="C36" s="3312"/>
      <c r="D36" s="3312"/>
      <c r="E36" s="3312"/>
      <c r="F36" s="3312"/>
      <c r="G36" s="3313"/>
    </row>
    <row r="37" spans="1:7">
      <c r="A37" s="3311" t="s">
        <v>2712</v>
      </c>
      <c r="B37" s="3312"/>
      <c r="C37" s="3312"/>
      <c r="D37" s="3312"/>
      <c r="E37" s="3312"/>
      <c r="F37" s="3312"/>
      <c r="G37" s="3313"/>
    </row>
    <row r="38" spans="1:7">
      <c r="A38" s="3311" t="s">
        <v>2713</v>
      </c>
      <c r="B38" s="3312"/>
      <c r="C38" s="3312"/>
      <c r="D38" s="3312"/>
      <c r="E38" s="3312"/>
      <c r="F38" s="3312"/>
      <c r="G38" s="3313"/>
    </row>
    <row r="39" spans="1:7">
      <c r="A39" s="3311"/>
      <c r="B39" s="3312"/>
      <c r="C39" s="3312"/>
      <c r="D39" s="3312"/>
      <c r="E39" s="3312"/>
      <c r="F39" s="3312"/>
      <c r="G39" s="3313"/>
    </row>
    <row r="40" spans="1:7">
      <c r="A40" s="3314" t="s">
        <v>2714</v>
      </c>
      <c r="B40" s="3315"/>
      <c r="C40" s="3315"/>
      <c r="D40" s="3315"/>
      <c r="E40" s="3315"/>
      <c r="F40" s="3315"/>
      <c r="G40" s="3316"/>
    </row>
    <row r="41" spans="1:7">
      <c r="A41" s="3317" t="s">
        <v>2715</v>
      </c>
      <c r="B41" s="3318" t="s">
        <v>2716</v>
      </c>
      <c r="C41" s="3319" t="s">
        <v>2717</v>
      </c>
      <c r="D41" s="3319" t="s">
        <v>2718</v>
      </c>
      <c r="E41" s="3320"/>
      <c r="F41" s="3321"/>
      <c r="G41" s="3322"/>
    </row>
    <row r="42" spans="1:7">
      <c r="A42" s="3317" t="s">
        <v>2719</v>
      </c>
      <c r="B42" s="3318" t="s">
        <v>2720</v>
      </c>
      <c r="C42" s="3319" t="s">
        <v>2720</v>
      </c>
      <c r="D42" s="3323" t="s">
        <v>2721</v>
      </c>
      <c r="E42" s="3315" t="s">
        <v>2722</v>
      </c>
      <c r="F42" s="3315"/>
      <c r="G42" s="3316"/>
    </row>
    <row r="43" spans="1:7">
      <c r="A43" s="3317" t="s">
        <v>2723</v>
      </c>
      <c r="B43" s="3318" t="s">
        <v>2724</v>
      </c>
      <c r="C43" s="3319" t="s">
        <v>2725</v>
      </c>
      <c r="D43" s="3319" t="s">
        <v>2726</v>
      </c>
      <c r="E43" s="3320" t="s">
        <v>2727</v>
      </c>
      <c r="F43" s="3321"/>
      <c r="G43" s="3322"/>
    </row>
    <row r="44" spans="1:7">
      <c r="A44" s="3317" t="s">
        <v>2728</v>
      </c>
      <c r="B44" s="3318" t="s">
        <v>2729</v>
      </c>
      <c r="C44" s="3319" t="s">
        <v>2730</v>
      </c>
      <c r="D44" s="3323">
        <v>0.5</v>
      </c>
      <c r="E44" s="3320" t="s">
        <v>2731</v>
      </c>
      <c r="F44" s="3321"/>
      <c r="G44" s="3322"/>
    </row>
    <row r="45" spans="1:7" ht="14.25" thickBot="1">
      <c r="A45" s="3324" t="s">
        <v>2732</v>
      </c>
      <c r="B45" s="3325" t="s">
        <v>2720</v>
      </c>
      <c r="C45" s="3326" t="s">
        <v>2720</v>
      </c>
      <c r="D45" s="3326" t="s">
        <v>2733</v>
      </c>
      <c r="E45" s="3327" t="s">
        <v>2734</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B37" sqref="B37:B39"/>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33" t="str">
        <f>IF(B10="北京市","北京市",C10)&amp;F10&amp;A17&amp;"国有建设用地使用权"&amp;B9&amp;"预评估"</f>
        <v>黑龙江省佳木斯富锦市建三江管局创业农业工业园区出让国有建设用地使用权市场价格预评估</v>
      </c>
      <c r="C1" s="3734"/>
      <c r="D1" s="3734"/>
      <c r="E1" s="3734"/>
      <c r="F1" s="3734"/>
      <c r="G1" s="3734"/>
      <c r="H1" s="3734"/>
      <c r="I1" s="3735"/>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3427</v>
      </c>
      <c r="C4" s="1627">
        <f ca="1">SUMIF(土地估价师,B4,估价师及机构信息!E3:E17)</f>
        <v>2002110125</v>
      </c>
      <c r="D4" s="1624" t="s">
        <v>3428</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3328</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3331</v>
      </c>
      <c r="C8" s="1473"/>
      <c r="D8" s="3739"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3332</v>
      </c>
      <c r="C9" s="1476"/>
      <c r="D9" s="3740"/>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3330</v>
      </c>
      <c r="C10" s="3661" t="s">
        <v>3328</v>
      </c>
      <c r="D10" s="1469"/>
      <c r="E10" s="1477" t="s">
        <v>1466</v>
      </c>
      <c r="F10" s="3662" t="s">
        <v>3329</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36"/>
      <c r="C12" s="3737"/>
      <c r="D12" s="3738"/>
      <c r="E12" s="1491" t="s">
        <v>1579</v>
      </c>
      <c r="F12" s="3754" t="s">
        <v>2162</v>
      </c>
      <c r="G12" s="3755"/>
      <c r="H12" s="3755"/>
      <c r="I12" s="3756"/>
      <c r="J12" s="2812"/>
      <c r="K12" s="2795"/>
      <c r="L12" s="2791"/>
      <c r="M12" s="2791"/>
      <c r="N12" s="2792"/>
      <c r="O12" s="2793"/>
      <c r="P12" s="2792"/>
      <c r="Q12" s="2792"/>
      <c r="R12" s="2792"/>
      <c r="S12" s="2792"/>
      <c r="T12" s="2792"/>
      <c r="U12" s="2792"/>
    </row>
    <row r="13" spans="1:21">
      <c r="A13" s="1482" t="s">
        <v>1577</v>
      </c>
      <c r="B13" s="3736"/>
      <c r="C13" s="3737"/>
      <c r="D13" s="3738"/>
      <c r="E13" s="1491" t="s">
        <v>1579</v>
      </c>
      <c r="F13" s="3754" t="s">
        <v>2163</v>
      </c>
      <c r="G13" s="3755"/>
      <c r="H13" s="3755"/>
      <c r="I13" s="3756"/>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2736</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2737</v>
      </c>
      <c r="E16" s="1513" t="s">
        <v>1212</v>
      </c>
      <c r="F16" s="1513" t="s">
        <v>2738</v>
      </c>
      <c r="G16" s="1513" t="s">
        <v>2739</v>
      </c>
      <c r="H16" s="1481" t="s">
        <v>776</v>
      </c>
      <c r="I16" s="1481" t="s">
        <v>2736</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2740</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51"/>
      <c r="E20" s="3752"/>
      <c r="F20" s="3752"/>
      <c r="G20" s="3752"/>
      <c r="H20" s="3752"/>
      <c r="I20" s="3753"/>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41" t="s">
        <v>1516</v>
      </c>
      <c r="F21" s="3742"/>
      <c r="G21" s="3742"/>
      <c r="H21" s="3742"/>
      <c r="I21" s="3743"/>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41" t="s">
        <v>2164</v>
      </c>
      <c r="F22" s="3742"/>
      <c r="G22" s="3742"/>
      <c r="H22" s="3742"/>
      <c r="I22" s="3743"/>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44" t="s">
        <v>1484</v>
      </c>
      <c r="C24" s="3745"/>
      <c r="D24" s="3746" t="s">
        <v>1485</v>
      </c>
      <c r="E24" s="3747"/>
      <c r="F24" s="1499" t="s">
        <v>1486</v>
      </c>
      <c r="G24" s="2812"/>
      <c r="H24" s="2812"/>
      <c r="I24" s="2816"/>
      <c r="J24" s="2812"/>
      <c r="K24" s="3732"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32"/>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32"/>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18" t="s">
        <v>1519</v>
      </c>
      <c r="B31" s="1550" t="s">
        <v>1520</v>
      </c>
      <c r="C31" s="3757"/>
      <c r="D31" s="3758"/>
      <c r="E31" s="2812"/>
      <c r="F31" s="2812"/>
      <c r="G31" s="2812"/>
      <c r="H31" s="2812"/>
      <c r="I31" s="2816"/>
      <c r="J31" s="2812"/>
      <c r="K31" s="2798"/>
      <c r="L31" s="2792"/>
      <c r="M31" s="2792"/>
      <c r="N31" s="2792"/>
      <c r="O31" s="2792"/>
      <c r="P31" s="2792"/>
      <c r="Q31" s="2792"/>
      <c r="R31" s="2792"/>
      <c r="S31" s="2792"/>
      <c r="T31" s="2792"/>
      <c r="U31" s="2792"/>
    </row>
    <row r="32" spans="1:21">
      <c r="A32" s="3718"/>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18"/>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19"/>
      <c r="B34" s="1464" t="s">
        <v>1523</v>
      </c>
      <c r="C34" s="3720"/>
      <c r="D34" s="3721"/>
      <c r="E34" s="2812"/>
      <c r="F34" s="2812"/>
      <c r="G34" s="2812"/>
      <c r="H34" s="2812"/>
      <c r="I34" s="2816"/>
      <c r="J34" s="2812"/>
      <c r="K34" s="2798"/>
      <c r="L34" s="2792"/>
      <c r="M34" s="2792"/>
      <c r="N34" s="2792"/>
      <c r="O34" s="2792"/>
      <c r="P34" s="2792"/>
      <c r="Q34" s="2792"/>
      <c r="R34" s="2792"/>
      <c r="S34" s="2792"/>
      <c r="T34" s="2792"/>
      <c r="U34" s="2792"/>
    </row>
    <row r="35" spans="1:28">
      <c r="A35" s="3722" t="s">
        <v>785</v>
      </c>
      <c r="B35" s="1513"/>
      <c r="C35" s="1559" t="str">
        <f>IF(B35="场地平整","——","具体情况：")</f>
        <v>具体情况：</v>
      </c>
      <c r="D35" s="3724"/>
      <c r="E35" s="3725"/>
      <c r="F35" s="3725"/>
      <c r="G35" s="3725"/>
      <c r="H35" s="3725"/>
      <c r="I35" s="3726"/>
      <c r="J35" s="2812"/>
      <c r="K35" s="2799"/>
      <c r="L35" s="2791"/>
      <c r="M35" s="2791"/>
      <c r="N35" s="2792"/>
      <c r="O35" s="2793"/>
      <c r="P35" s="2792"/>
      <c r="Q35" s="2792"/>
      <c r="R35" s="2792"/>
      <c r="S35" s="2792"/>
      <c r="T35" s="2792"/>
      <c r="U35" s="2792"/>
    </row>
    <row r="36" spans="1:28">
      <c r="A36" s="3718"/>
      <c r="B36" s="3727" t="s">
        <v>1572</v>
      </c>
      <c r="C36" s="3728"/>
      <c r="D36" s="1575"/>
      <c r="E36" s="3729"/>
      <c r="F36" s="3729"/>
      <c r="G36" s="1482" t="str">
        <f>IF(B35="场地未平整","估价结果处理","")</f>
        <v/>
      </c>
      <c r="H36" s="3730"/>
      <c r="I36" s="3730"/>
      <c r="J36" s="2812"/>
      <c r="K36" s="2799"/>
      <c r="L36" s="2791"/>
      <c r="M36" s="2791"/>
      <c r="N36" s="2792"/>
      <c r="O36" s="2793"/>
      <c r="P36" s="2792"/>
      <c r="Q36" s="2792"/>
      <c r="R36" s="2792"/>
      <c r="S36" s="2792"/>
      <c r="T36" s="2792"/>
      <c r="U36" s="2792"/>
    </row>
    <row r="37" spans="1:28" ht="28.5">
      <c r="A37" s="3718"/>
      <c r="B37" s="3748"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18"/>
      <c r="B38" s="3749"/>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19"/>
      <c r="B39" s="3750"/>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2764</v>
      </c>
      <c r="C40" s="1483" t="s">
        <v>2765</v>
      </c>
      <c r="D40" s="1483" t="s">
        <v>2766</v>
      </c>
      <c r="E40" s="1483" t="s">
        <v>2767</v>
      </c>
      <c r="F40" s="1483" t="s">
        <v>2768</v>
      </c>
      <c r="G40" s="1483" t="s">
        <v>877</v>
      </c>
      <c r="H40" s="1483" t="s">
        <v>2771</v>
      </c>
      <c r="I40" s="2816"/>
      <c r="J40" s="2812"/>
      <c r="K40" s="2760">
        <f>COUNTIF(B40:H40,"——")</f>
        <v>1</v>
      </c>
      <c r="L40" s="1491" t="s">
        <v>1496</v>
      </c>
      <c r="M40" s="1488" t="s">
        <v>1497</v>
      </c>
      <c r="N40" s="1488" t="s">
        <v>1498</v>
      </c>
      <c r="O40" s="1488" t="s">
        <v>1499</v>
      </c>
      <c r="P40" s="1488" t="s">
        <v>1500</v>
      </c>
      <c r="Q40" s="1488" t="s">
        <v>1501</v>
      </c>
      <c r="R40" s="1488" t="s">
        <v>1502</v>
      </c>
      <c r="S40" s="3731" t="s">
        <v>1503</v>
      </c>
      <c r="T40" s="1522" t="str">
        <f>NUMBERSTRING(7-K40,1)&amp;"通"</f>
        <v>六通</v>
      </c>
      <c r="U40" s="2792"/>
    </row>
    <row r="41" spans="1:28" ht="28.5">
      <c r="A41" s="1465"/>
      <c r="B41" s="3723" t="s">
        <v>1250</v>
      </c>
      <c r="C41" s="3723"/>
      <c r="D41" s="3723"/>
      <c r="E41" s="3723"/>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31"/>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2741</v>
      </c>
      <c r="F42" s="3276" t="s">
        <v>2742</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topLeftCell="A10" workbookViewId="0">
      <selection activeCell="B25" sqref="B25:I39"/>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3333</v>
      </c>
      <c r="B2" s="3674" t="s">
        <v>3334</v>
      </c>
      <c r="C2" s="3674" t="s">
        <v>3335</v>
      </c>
      <c r="D2" s="3674" t="s">
        <v>3336</v>
      </c>
      <c r="E2" s="3674" t="s">
        <v>3337</v>
      </c>
      <c r="F2" s="3674" t="s">
        <v>3338</v>
      </c>
    </row>
    <row r="3" spans="1:8">
      <c r="B3" s="3674">
        <v>66944.05</v>
      </c>
      <c r="E3" s="3674">
        <v>1.04</v>
      </c>
      <c r="F3" s="3674">
        <f>B3*E3</f>
        <v>69621.812000000005</v>
      </c>
    </row>
    <row r="4" spans="1:8">
      <c r="A4" s="3674" t="s">
        <v>3339</v>
      </c>
      <c r="B4" s="3674">
        <v>2000</v>
      </c>
      <c r="C4" s="3674" t="s">
        <v>3340</v>
      </c>
      <c r="D4" s="3675">
        <v>58221</v>
      </c>
    </row>
    <row r="5" spans="1:8">
      <c r="A5" s="3674" t="s">
        <v>3341</v>
      </c>
      <c r="B5" s="3674">
        <v>8000</v>
      </c>
      <c r="C5" s="3674" t="s">
        <v>3340</v>
      </c>
      <c r="D5" s="3675">
        <v>58818</v>
      </c>
    </row>
    <row r="6" spans="1:8">
      <c r="A6" s="3674" t="s">
        <v>3342</v>
      </c>
      <c r="B6" s="3674">
        <v>56944.05</v>
      </c>
      <c r="C6" s="3674" t="s">
        <v>3340</v>
      </c>
      <c r="D6" s="3676" t="s">
        <v>3343</v>
      </c>
    </row>
    <row r="7" spans="1:8">
      <c r="A7" s="3677" t="s">
        <v>3344</v>
      </c>
    </row>
    <row r="9" spans="1:8">
      <c r="B9" s="3674" t="s">
        <v>3334</v>
      </c>
      <c r="C9" s="3674" t="s">
        <v>3345</v>
      </c>
      <c r="D9" s="3674" t="s">
        <v>3336</v>
      </c>
      <c r="E9" s="3674" t="s">
        <v>3346</v>
      </c>
      <c r="F9" s="3674" t="s">
        <v>3338</v>
      </c>
      <c r="G9" s="3676" t="s">
        <v>3347</v>
      </c>
    </row>
    <row r="10" spans="1:8">
      <c r="A10" s="3674" t="s">
        <v>3348</v>
      </c>
      <c r="B10" s="3674">
        <v>79551.3</v>
      </c>
      <c r="C10" s="3674">
        <v>92959.71</v>
      </c>
      <c r="E10" s="3674">
        <v>1.17</v>
      </c>
      <c r="F10" s="3674">
        <f>B10*E10</f>
        <v>93075.020999999993</v>
      </c>
      <c r="G10" s="3676">
        <v>147.99650800000001</v>
      </c>
    </row>
    <row r="11" spans="1:8">
      <c r="A11" s="3674" t="s">
        <v>3333</v>
      </c>
      <c r="B11" s="3674">
        <f>B3</f>
        <v>66944.05</v>
      </c>
    </row>
    <row r="12" spans="1:8">
      <c r="A12" s="3677" t="s">
        <v>3349</v>
      </c>
      <c r="B12" s="3677">
        <f>B10-B11</f>
        <v>12607.25</v>
      </c>
      <c r="D12" s="3678">
        <v>59717</v>
      </c>
      <c r="G12" s="3674">
        <f>ROUND(G10/B12*666.67,2)</f>
        <v>7.83</v>
      </c>
      <c r="H12" s="3674" t="s">
        <v>3350</v>
      </c>
    </row>
    <row r="13" spans="1:8">
      <c r="G13" s="3674">
        <f>ROUND(G10/B12*10000,0)</f>
        <v>117</v>
      </c>
      <c r="H13" s="3674" t="s">
        <v>3351</v>
      </c>
    </row>
    <row r="15" spans="1:8">
      <c r="A15" s="3674" t="s">
        <v>3352</v>
      </c>
      <c r="B15" s="3674" t="s">
        <v>3353</v>
      </c>
      <c r="C15" s="3674" t="s">
        <v>3354</v>
      </c>
    </row>
    <row r="16" spans="1:8">
      <c r="A16" s="3674" t="s">
        <v>3355</v>
      </c>
      <c r="B16" s="3674">
        <v>567.25</v>
      </c>
      <c r="C16" s="3674" t="s">
        <v>3356</v>
      </c>
    </row>
    <row r="17" spans="1:10">
      <c r="A17" s="3674" t="s">
        <v>3357</v>
      </c>
      <c r="B17" s="3674">
        <v>87.56</v>
      </c>
      <c r="C17" s="3674" t="s">
        <v>3358</v>
      </c>
    </row>
    <row r="20" spans="1:10">
      <c r="A20" s="3674" t="s">
        <v>3359</v>
      </c>
      <c r="B20" s="3674" t="s">
        <v>3353</v>
      </c>
    </row>
    <row r="21" spans="1:10">
      <c r="A21" s="3674" t="s">
        <v>3360</v>
      </c>
      <c r="B21" s="3674">
        <v>92959.71</v>
      </c>
    </row>
    <row r="24" spans="1:10">
      <c r="A24" s="3674" t="s">
        <v>3361</v>
      </c>
      <c r="B24" s="3679" t="s">
        <v>3362</v>
      </c>
      <c r="C24" s="3679">
        <v>79551.3</v>
      </c>
      <c r="D24" s="3679"/>
      <c r="E24" s="3679"/>
      <c r="F24" s="3679"/>
      <c r="G24" s="3679"/>
      <c r="H24" s="3679"/>
      <c r="I24" s="3679"/>
    </row>
    <row r="25" spans="1:10">
      <c r="B25" s="3680" t="s">
        <v>3363</v>
      </c>
      <c r="C25" s="3680" t="s">
        <v>3364</v>
      </c>
      <c r="D25" s="3680" t="s">
        <v>3365</v>
      </c>
      <c r="E25" s="3680" t="s">
        <v>3366</v>
      </c>
      <c r="F25" s="3680" t="s">
        <v>3369</v>
      </c>
      <c r="G25" s="3679" t="s">
        <v>3431</v>
      </c>
      <c r="H25" s="3679" t="s">
        <v>3393</v>
      </c>
      <c r="I25" s="3679" t="s">
        <v>3433</v>
      </c>
    </row>
    <row r="26" spans="1:10">
      <c r="B26" s="3681" t="s">
        <v>3380</v>
      </c>
      <c r="C26" s="3680">
        <v>2</v>
      </c>
      <c r="D26" s="3680">
        <v>2</v>
      </c>
      <c r="E26" s="3680" t="s">
        <v>3378</v>
      </c>
      <c r="F26" s="3680">
        <v>574.98</v>
      </c>
      <c r="G26" s="3679" t="s">
        <v>3381</v>
      </c>
      <c r="H26" s="3679">
        <v>2200</v>
      </c>
      <c r="I26" s="3686">
        <f>ROUND((1-2%)-(2022-2014)/50,2)</f>
        <v>0.82</v>
      </c>
      <c r="J26" s="3682"/>
    </row>
    <row r="27" spans="1:10">
      <c r="B27" s="3681" t="s">
        <v>3382</v>
      </c>
      <c r="C27" s="3680">
        <v>1</v>
      </c>
      <c r="D27" s="3680">
        <v>1</v>
      </c>
      <c r="E27" s="3680" t="s">
        <v>3368</v>
      </c>
      <c r="F27" s="3680">
        <v>7605.91</v>
      </c>
      <c r="G27" s="3679" t="s">
        <v>3375</v>
      </c>
      <c r="H27" s="3679">
        <v>1500</v>
      </c>
      <c r="I27" s="3686">
        <f>ROUND((1-2%)-(2022-2014)/80,2)</f>
        <v>0.88</v>
      </c>
      <c r="J27" s="3674">
        <f>F27*2</f>
        <v>15211.82</v>
      </c>
    </row>
    <row r="28" spans="1:10">
      <c r="B28" s="3681" t="s">
        <v>3383</v>
      </c>
      <c r="C28" s="3680">
        <v>1</v>
      </c>
      <c r="D28" s="3680">
        <v>1</v>
      </c>
      <c r="E28" s="3680" t="s">
        <v>3368</v>
      </c>
      <c r="F28" s="3680">
        <v>8050.72</v>
      </c>
      <c r="G28" s="3679" t="s">
        <v>3375</v>
      </c>
      <c r="H28" s="3679">
        <v>1500</v>
      </c>
      <c r="I28" s="3686">
        <f t="shared" ref="I28:I35" si="0">ROUND((1-2%)-(2022-2014)/80,2)</f>
        <v>0.88</v>
      </c>
      <c r="J28" s="3674">
        <f t="shared" ref="J28:J33" si="1">F28*2</f>
        <v>16101.44</v>
      </c>
    </row>
    <row r="29" spans="1:10">
      <c r="B29" s="3681" t="s">
        <v>3384</v>
      </c>
      <c r="C29" s="3680">
        <v>1</v>
      </c>
      <c r="D29" s="3680">
        <v>1</v>
      </c>
      <c r="E29" s="3680" t="s">
        <v>3368</v>
      </c>
      <c r="F29" s="3680">
        <v>4668.68</v>
      </c>
      <c r="G29" s="3679" t="s">
        <v>3375</v>
      </c>
      <c r="H29" s="3679">
        <v>1500</v>
      </c>
      <c r="I29" s="3686">
        <f t="shared" si="0"/>
        <v>0.88</v>
      </c>
      <c r="J29" s="3674">
        <f t="shared" si="1"/>
        <v>9337.36</v>
      </c>
    </row>
    <row r="30" spans="1:10">
      <c r="B30" s="3681" t="s">
        <v>3385</v>
      </c>
      <c r="C30" s="3680">
        <v>1</v>
      </c>
      <c r="D30" s="3680">
        <v>1</v>
      </c>
      <c r="E30" s="3680" t="s">
        <v>3368</v>
      </c>
      <c r="F30" s="3680">
        <v>4671.1499999999996</v>
      </c>
      <c r="G30" s="3679" t="s">
        <v>3375</v>
      </c>
      <c r="H30" s="3679">
        <v>1500</v>
      </c>
      <c r="I30" s="3686">
        <f t="shared" si="0"/>
        <v>0.88</v>
      </c>
      <c r="J30" s="3674">
        <f t="shared" si="1"/>
        <v>9342.2999999999993</v>
      </c>
    </row>
    <row r="31" spans="1:10">
      <c r="B31" s="3681" t="s">
        <v>3386</v>
      </c>
      <c r="C31" s="3680">
        <v>1</v>
      </c>
      <c r="D31" s="3680">
        <v>1</v>
      </c>
      <c r="E31" s="3680" t="s">
        <v>3368</v>
      </c>
      <c r="F31" s="3680">
        <v>4604.51</v>
      </c>
      <c r="G31" s="3679" t="s">
        <v>3375</v>
      </c>
      <c r="H31" s="3679">
        <v>1500</v>
      </c>
      <c r="I31" s="3686">
        <f t="shared" si="0"/>
        <v>0.88</v>
      </c>
      <c r="J31" s="3674">
        <f t="shared" si="1"/>
        <v>9209.02</v>
      </c>
    </row>
    <row r="32" spans="1:10">
      <c r="B32" s="3681" t="s">
        <v>3387</v>
      </c>
      <c r="C32" s="3680">
        <v>1</v>
      </c>
      <c r="D32" s="3680">
        <v>1</v>
      </c>
      <c r="E32" s="3680" t="s">
        <v>3368</v>
      </c>
      <c r="F32" s="3680">
        <v>6639.36</v>
      </c>
      <c r="G32" s="3679" t="s">
        <v>3375</v>
      </c>
      <c r="H32" s="3679">
        <v>1500</v>
      </c>
      <c r="I32" s="3686">
        <f t="shared" si="0"/>
        <v>0.88</v>
      </c>
      <c r="J32" s="3674">
        <f t="shared" si="1"/>
        <v>13278.72</v>
      </c>
    </row>
    <row r="33" spans="2:10">
      <c r="B33" s="3681" t="s">
        <v>3367</v>
      </c>
      <c r="C33" s="3680">
        <v>1</v>
      </c>
      <c r="D33" s="3680">
        <v>1</v>
      </c>
      <c r="E33" s="3680" t="s">
        <v>3368</v>
      </c>
      <c r="F33" s="3680">
        <v>4646.87</v>
      </c>
      <c r="G33" s="3679" t="s">
        <v>3375</v>
      </c>
      <c r="H33" s="3679">
        <v>1500</v>
      </c>
      <c r="I33" s="3686">
        <f t="shared" si="0"/>
        <v>0.88</v>
      </c>
      <c r="J33" s="3674">
        <f t="shared" si="1"/>
        <v>9293.74</v>
      </c>
    </row>
    <row r="34" spans="2:10">
      <c r="B34" s="3683" t="s">
        <v>3370</v>
      </c>
      <c r="C34" s="3680">
        <v>1</v>
      </c>
      <c r="D34" s="3680">
        <v>1</v>
      </c>
      <c r="E34" s="3680" t="s">
        <v>3368</v>
      </c>
      <c r="F34" s="3680">
        <v>4065.93</v>
      </c>
      <c r="G34" s="3679" t="s">
        <v>3376</v>
      </c>
      <c r="H34" s="3679">
        <v>1500</v>
      </c>
      <c r="I34" s="3686">
        <f t="shared" si="0"/>
        <v>0.88</v>
      </c>
    </row>
    <row r="35" spans="2:10">
      <c r="B35" s="3681" t="s">
        <v>3371</v>
      </c>
      <c r="C35" s="3680">
        <v>1</v>
      </c>
      <c r="D35" s="3680">
        <v>1</v>
      </c>
      <c r="E35" s="3680" t="s">
        <v>3368</v>
      </c>
      <c r="F35" s="3680">
        <v>318.79000000000002</v>
      </c>
      <c r="G35" s="3679" t="s">
        <v>3377</v>
      </c>
      <c r="H35" s="3679">
        <v>1500</v>
      </c>
      <c r="I35" s="3686">
        <f t="shared" si="0"/>
        <v>0.88</v>
      </c>
    </row>
    <row r="36" spans="2:10">
      <c r="B36" s="3683" t="s">
        <v>3372</v>
      </c>
      <c r="C36" s="3680">
        <v>1</v>
      </c>
      <c r="D36" s="3680">
        <v>1</v>
      </c>
      <c r="E36" s="3680" t="s">
        <v>3378</v>
      </c>
      <c r="F36" s="3680">
        <v>418.95</v>
      </c>
      <c r="G36" s="3679" t="s">
        <v>3377</v>
      </c>
      <c r="H36" s="3679">
        <v>1500</v>
      </c>
      <c r="I36" s="3686">
        <f t="shared" ref="I36:I38" si="2">ROUND((1-2%)-(2022-2014)/50,2)</f>
        <v>0.82</v>
      </c>
    </row>
    <row r="37" spans="2:10">
      <c r="B37" s="3681" t="s">
        <v>3373</v>
      </c>
      <c r="C37" s="3680">
        <v>1</v>
      </c>
      <c r="D37" s="3680">
        <v>1</v>
      </c>
      <c r="E37" s="3680" t="s">
        <v>3378</v>
      </c>
      <c r="F37" s="3680">
        <v>546.5</v>
      </c>
      <c r="G37" s="3679" t="s">
        <v>3379</v>
      </c>
      <c r="H37" s="3679">
        <v>1500</v>
      </c>
      <c r="I37" s="3686">
        <f t="shared" si="2"/>
        <v>0.82</v>
      </c>
    </row>
    <row r="38" spans="2:10">
      <c r="B38" s="3683" t="s">
        <v>3374</v>
      </c>
      <c r="C38" s="3680">
        <v>1</v>
      </c>
      <c r="D38" s="3680">
        <v>1</v>
      </c>
      <c r="E38" s="3680" t="s">
        <v>3378</v>
      </c>
      <c r="F38" s="3680">
        <v>271.64</v>
      </c>
      <c r="G38" s="3679" t="s">
        <v>3376</v>
      </c>
      <c r="H38" s="3679">
        <v>1500</v>
      </c>
      <c r="I38" s="3686">
        <f t="shared" si="2"/>
        <v>0.82</v>
      </c>
    </row>
    <row r="39" spans="2:10">
      <c r="B39" s="3679" t="s">
        <v>3429</v>
      </c>
      <c r="C39" s="3679" t="s">
        <v>3430</v>
      </c>
      <c r="D39" s="3679" t="s">
        <v>3430</v>
      </c>
      <c r="E39" s="3679" t="s">
        <v>3430</v>
      </c>
      <c r="F39" s="3679">
        <f>SUM(F26:F38)</f>
        <v>47083.990000000005</v>
      </c>
      <c r="G39" s="3679" t="s">
        <v>3430</v>
      </c>
      <c r="H39" s="3684">
        <f>SUMPRODUCT(H26:H38,F26:F38)/F39</f>
        <v>1508.5482559995444</v>
      </c>
      <c r="I39" s="3685">
        <f>ROUND(SUMPRODUCT(I26:I38,F26:F38)/F39,3)</f>
        <v>0.878</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3388</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3389</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3390</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3390</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3390</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3390</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3390</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3390</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3390</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3390</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3390</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3390</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3390</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3390</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3390</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1"/>
      <c r="G2" s="1096"/>
      <c r="H2" s="1097"/>
      <c r="I2" s="1098" t="s">
        <v>795</v>
      </c>
      <c r="J2" s="2821"/>
      <c r="K2" s="2821"/>
      <c r="L2" s="2821"/>
      <c r="M2" s="2821"/>
      <c r="N2" s="2821"/>
      <c r="O2" s="2821"/>
      <c r="P2" s="2821"/>
    </row>
    <row r="3" spans="1:16" ht="15.75" thickBot="1">
      <c r="A3" s="3769" t="s">
        <v>172</v>
      </c>
      <c r="B3" s="3769"/>
      <c r="C3" s="376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0"/>
      <c r="B4" s="3771"/>
      <c r="C4" s="377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3" t="s">
        <v>196</v>
      </c>
      <c r="C5" s="377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3" t="s">
        <v>174</v>
      </c>
      <c r="C6" s="3773"/>
      <c r="D6" s="107">
        <f>ROUND($D$3*E6/$E$3,2)</f>
        <v>79551.3</v>
      </c>
      <c r="E6" s="108">
        <f>E3-E5</f>
        <v>47083.990000000005</v>
      </c>
      <c r="F6" s="2821"/>
      <c r="G6" s="1099"/>
      <c r="H6" s="266" t="s">
        <v>798</v>
      </c>
      <c r="I6" s="1727">
        <f>ROUND(F31/D31,2)</f>
        <v>0.59</v>
      </c>
      <c r="J6" s="2821"/>
      <c r="K6" s="2821"/>
      <c r="L6" s="2821"/>
      <c r="M6" s="2821"/>
      <c r="N6" s="2821"/>
      <c r="O6" s="2821"/>
      <c r="P6" s="2821"/>
    </row>
    <row r="7" spans="1:16" ht="15">
      <c r="A7" s="3765"/>
      <c r="B7" s="3766"/>
      <c r="C7" s="376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59" t="s">
        <v>1849</v>
      </c>
      <c r="L16" s="3760"/>
      <c r="M16" s="3760"/>
      <c r="N16" s="3760"/>
      <c r="O16" s="3760"/>
      <c r="P16" s="3761"/>
    </row>
    <row r="17" spans="1:19" ht="15">
      <c r="A17" s="117" t="s">
        <v>182</v>
      </c>
      <c r="B17" s="118" t="s">
        <v>183</v>
      </c>
      <c r="C17" s="2013" t="s">
        <v>1670</v>
      </c>
      <c r="D17" s="104" t="s">
        <v>170</v>
      </c>
      <c r="E17" s="120" t="s">
        <v>171</v>
      </c>
      <c r="F17" s="121"/>
      <c r="G17" s="1225"/>
      <c r="H17" s="932" t="s">
        <v>184</v>
      </c>
      <c r="I17" s="933"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3391</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3392</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2260</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0.878</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0.878</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3421</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0.878</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2272</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2273</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2261</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2262</v>
      </c>
      <c r="D34" s="2847" t="s">
        <v>2269</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2263</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2264</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2265</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2265</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3394</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2270</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2266</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2267</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2274</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2266</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2268</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2271</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4" t="s">
        <v>1198</v>
      </c>
      <c r="B1" s="3775"/>
      <c r="C1" s="3775"/>
      <c r="D1" s="3775"/>
      <c r="E1" s="3775"/>
      <c r="F1" s="3775"/>
      <c r="G1" s="377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3395</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3396</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3397</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3398</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3399</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163</v>
      </c>
      <c r="C5" s="2922" t="e">
        <f ca="1">ROUND(B5*10000/$B$1,0)</f>
        <v>#DIV/0!</v>
      </c>
      <c r="D5" s="2922">
        <f ca="1">ROUND(B5*10000/$B$2,0)</f>
        <v>129</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ROUND(C14*E14/10000,0)</f>
        <v>163</v>
      </c>
      <c r="E14" s="2928">
        <f ca="1">结果表!G21</f>
        <v>129</v>
      </c>
      <c r="F14" s="2928">
        <f ca="1">ROUND(D14*10000/C14,0)</f>
        <v>129</v>
      </c>
      <c r="G14" s="2928"/>
      <c r="H14" s="2928"/>
      <c r="I14" s="2928"/>
      <c r="J14" s="2932"/>
    </row>
    <row r="15" spans="1:10" ht="16.5">
      <c r="A15" s="2927" t="s">
        <v>2135</v>
      </c>
      <c r="B15" s="2929"/>
      <c r="C15" s="2929"/>
      <c r="D15" s="2929"/>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L18" sqref="L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3419</v>
      </c>
      <c r="E1" s="1589" t="s">
        <v>1575</v>
      </c>
      <c r="F1" s="1591" t="s">
        <v>3420</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黑龙江省佳木斯富锦市建三江管局创业农业工业园区出让国有建设用地使用权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13" t="s">
        <v>264</v>
      </c>
      <c r="B3" s="3814"/>
      <c r="C3" s="3814"/>
      <c r="D3" s="3814"/>
      <c r="E3" s="3814"/>
      <c r="F3" s="3814"/>
      <c r="G3" s="3814"/>
      <c r="H3" s="3814"/>
      <c r="I3" s="3814"/>
      <c r="J3" s="1750"/>
      <c r="K3" s="1749"/>
      <c r="L3" s="1749"/>
      <c r="M3" s="1749"/>
      <c r="N3" s="1749"/>
      <c r="O3" s="1749"/>
      <c r="P3" s="1749"/>
      <c r="Q3" s="1749"/>
      <c r="R3" s="1749"/>
      <c r="S3" s="1749"/>
      <c r="T3" s="1749"/>
      <c r="U3" s="1749"/>
      <c r="V3" s="1749"/>
    </row>
    <row r="4" spans="1:22" ht="14.25">
      <c r="A4" s="249" t="s">
        <v>265</v>
      </c>
      <c r="B4" s="250" t="s">
        <v>266</v>
      </c>
      <c r="C4" s="251" t="s">
        <v>3425</v>
      </c>
      <c r="D4" s="251" t="s">
        <v>3426</v>
      </c>
      <c r="E4" s="3779" t="s">
        <v>267</v>
      </c>
      <c r="F4" s="3780"/>
      <c r="G4" s="3780"/>
      <c r="H4" s="3780"/>
      <c r="I4" s="3815"/>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778" t="s">
        <v>268</v>
      </c>
      <c r="B5" s="3807">
        <v>25</v>
      </c>
      <c r="C5" s="3805"/>
      <c r="D5" s="3809"/>
      <c r="E5" s="252" t="s">
        <v>269</v>
      </c>
      <c r="F5" s="253"/>
      <c r="G5" s="253"/>
      <c r="H5" s="253"/>
      <c r="I5" s="254"/>
      <c r="J5" s="1750"/>
      <c r="K5" s="1749"/>
      <c r="L5" s="1749"/>
      <c r="M5" s="1749"/>
      <c r="N5" s="1749"/>
      <c r="O5" s="1749"/>
      <c r="P5" s="1749"/>
      <c r="Q5" s="1749"/>
      <c r="R5" s="1749"/>
      <c r="S5" s="1749"/>
      <c r="T5" s="1749"/>
      <c r="U5" s="1749"/>
      <c r="V5" s="1749"/>
    </row>
    <row r="6" spans="1:22" ht="14.25">
      <c r="A6" s="3778"/>
      <c r="B6" s="3807"/>
      <c r="C6" s="3808"/>
      <c r="D6" s="3809"/>
      <c r="E6" s="252" t="s">
        <v>270</v>
      </c>
      <c r="F6" s="253"/>
      <c r="G6" s="253"/>
      <c r="H6" s="253"/>
      <c r="I6" s="254"/>
      <c r="J6" s="1750"/>
      <c r="K6" s="1749"/>
      <c r="L6" s="1749"/>
      <c r="M6" s="1749"/>
      <c r="N6" s="1749"/>
      <c r="O6" s="1749"/>
      <c r="P6" s="1749"/>
      <c r="Q6" s="1749"/>
      <c r="R6" s="1749"/>
      <c r="S6" s="1749"/>
      <c r="T6" s="1749"/>
      <c r="U6" s="1749"/>
      <c r="V6" s="1749"/>
    </row>
    <row r="7" spans="1:22" ht="14.25">
      <c r="A7" s="3778"/>
      <c r="B7" s="3807"/>
      <c r="C7" s="3806"/>
      <c r="D7" s="3809"/>
      <c r="E7" s="252" t="s">
        <v>271</v>
      </c>
      <c r="F7" s="253"/>
      <c r="G7" s="253"/>
      <c r="H7" s="253"/>
      <c r="I7" s="254"/>
      <c r="J7" s="1750"/>
      <c r="K7" s="1749"/>
      <c r="L7" s="1749"/>
      <c r="M7" s="1749"/>
      <c r="N7" s="1749"/>
      <c r="O7" s="1749"/>
      <c r="P7" s="1749"/>
      <c r="Q7" s="1749"/>
      <c r="R7" s="1749"/>
      <c r="S7" s="1749"/>
      <c r="T7" s="1749"/>
      <c r="U7" s="1749"/>
      <c r="V7" s="1749"/>
    </row>
    <row r="8" spans="1:22" ht="14.25">
      <c r="A8" s="3778" t="s">
        <v>272</v>
      </c>
      <c r="B8" s="3807">
        <v>15</v>
      </c>
      <c r="C8" s="3805"/>
      <c r="D8" s="3809"/>
      <c r="E8" s="252" t="s">
        <v>273</v>
      </c>
      <c r="F8" s="253"/>
      <c r="G8" s="253"/>
      <c r="H8" s="253"/>
      <c r="I8" s="254"/>
      <c r="J8" s="1750"/>
      <c r="K8" s="1749"/>
      <c r="L8" s="1749"/>
      <c r="M8" s="1749"/>
      <c r="N8" s="1749"/>
      <c r="O8" s="1749"/>
      <c r="P8" s="1749"/>
      <c r="Q8" s="1749"/>
      <c r="R8" s="1749"/>
      <c r="S8" s="1749"/>
      <c r="T8" s="1749"/>
      <c r="U8" s="1749"/>
      <c r="V8" s="1749"/>
    </row>
    <row r="9" spans="1:22" ht="14.25">
      <c r="A9" s="3778"/>
      <c r="B9" s="3807"/>
      <c r="C9" s="3806"/>
      <c r="D9" s="3809"/>
      <c r="E9" s="252" t="s">
        <v>274</v>
      </c>
      <c r="F9" s="253"/>
      <c r="G9" s="253"/>
      <c r="H9" s="253"/>
      <c r="I9" s="254"/>
      <c r="J9" s="1750"/>
      <c r="K9" s="1749"/>
      <c r="L9" s="1749"/>
      <c r="M9" s="1749"/>
      <c r="N9" s="1749"/>
      <c r="O9" s="1749"/>
      <c r="P9" s="1749"/>
      <c r="Q9" s="1749"/>
      <c r="R9" s="1749"/>
      <c r="S9" s="1749"/>
      <c r="T9" s="1749"/>
      <c r="U9" s="1749"/>
      <c r="V9" s="1749"/>
    </row>
    <row r="10" spans="1:22" ht="14.25">
      <c r="A10" s="3778" t="s">
        <v>275</v>
      </c>
      <c r="B10" s="3807">
        <v>15</v>
      </c>
      <c r="C10" s="3805"/>
      <c r="D10" s="3809"/>
      <c r="E10" s="252" t="s">
        <v>276</v>
      </c>
      <c r="F10" s="253"/>
      <c r="G10" s="253"/>
      <c r="H10" s="253"/>
      <c r="I10" s="254"/>
      <c r="J10" s="1750"/>
      <c r="K10" s="1749"/>
      <c r="L10" s="1749"/>
      <c r="M10" s="1749"/>
      <c r="N10" s="1749"/>
      <c r="O10" s="1749"/>
      <c r="P10" s="1749"/>
      <c r="Q10" s="1749"/>
      <c r="R10" s="1749"/>
      <c r="S10" s="1749"/>
      <c r="T10" s="1749"/>
      <c r="U10" s="1749"/>
      <c r="V10" s="1749"/>
    </row>
    <row r="11" spans="1:22" ht="14.25">
      <c r="A11" s="3778"/>
      <c r="B11" s="3807"/>
      <c r="C11" s="3806"/>
      <c r="D11" s="3809"/>
      <c r="E11" s="252" t="s">
        <v>277</v>
      </c>
      <c r="F11" s="253"/>
      <c r="G11" s="253"/>
      <c r="H11" s="253"/>
      <c r="I11" s="254"/>
      <c r="J11" s="1750"/>
      <c r="K11" s="1749"/>
      <c r="L11" s="1749"/>
      <c r="M11" s="1749"/>
      <c r="N11" s="1749"/>
      <c r="O11" s="1749"/>
      <c r="P11" s="1749"/>
      <c r="Q11" s="1749"/>
      <c r="R11" s="1749"/>
      <c r="S11" s="1749"/>
      <c r="T11" s="1749"/>
      <c r="U11" s="1749"/>
      <c r="V11" s="1749"/>
    </row>
    <row r="12" spans="1:22" ht="14.25">
      <c r="A12" s="3778" t="s">
        <v>278</v>
      </c>
      <c r="B12" s="3807">
        <v>15</v>
      </c>
      <c r="C12" s="3805"/>
      <c r="D12" s="3809"/>
      <c r="E12" s="252" t="s">
        <v>279</v>
      </c>
      <c r="F12" s="253"/>
      <c r="G12" s="253"/>
      <c r="H12" s="253"/>
      <c r="I12" s="254"/>
      <c r="J12" s="1750"/>
      <c r="K12" s="1749"/>
      <c r="L12" s="1749"/>
      <c r="M12" s="1749"/>
      <c r="N12" s="1749"/>
      <c r="O12" s="1749"/>
      <c r="P12" s="1749"/>
      <c r="Q12" s="1749"/>
      <c r="R12" s="1749"/>
      <c r="S12" s="1749"/>
      <c r="T12" s="1749"/>
      <c r="U12" s="1749"/>
      <c r="V12" s="1749"/>
    </row>
    <row r="13" spans="1:22" ht="14.25">
      <c r="A13" s="3778"/>
      <c r="B13" s="3807"/>
      <c r="C13" s="3806"/>
      <c r="D13" s="3809"/>
      <c r="E13" s="252" t="s">
        <v>280</v>
      </c>
      <c r="F13" s="253"/>
      <c r="G13" s="253"/>
      <c r="H13" s="253"/>
      <c r="I13" s="254"/>
      <c r="J13" s="1750"/>
      <c r="K13" s="1749"/>
      <c r="L13" s="1749"/>
      <c r="M13" s="1749"/>
      <c r="N13" s="1749"/>
      <c r="O13" s="1749"/>
      <c r="P13" s="1749"/>
      <c r="Q13" s="1749"/>
      <c r="R13" s="1749"/>
      <c r="S13" s="1749"/>
      <c r="T13" s="1749"/>
      <c r="U13" s="1749"/>
      <c r="V13" s="1749"/>
    </row>
    <row r="14" spans="1:22" ht="14.25">
      <c r="A14" s="3778" t="s">
        <v>281</v>
      </c>
      <c r="B14" s="3807">
        <v>30</v>
      </c>
      <c r="C14" s="3805">
        <v>10</v>
      </c>
      <c r="D14" s="3809">
        <v>0</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778"/>
      <c r="B15" s="3807"/>
      <c r="C15" s="3808"/>
      <c r="D15" s="3809"/>
      <c r="E15" s="252" t="s">
        <v>283</v>
      </c>
      <c r="F15" s="253"/>
      <c r="G15" s="253"/>
      <c r="H15" s="253"/>
      <c r="I15" s="254"/>
      <c r="J15" s="1750"/>
      <c r="K15" s="1749"/>
      <c r="L15" s="1749"/>
      <c r="M15" s="1749"/>
      <c r="N15" s="1749"/>
      <c r="O15" s="1749"/>
      <c r="P15" s="1749"/>
      <c r="Q15" s="1749"/>
      <c r="R15" s="1749"/>
      <c r="S15" s="1749"/>
      <c r="T15" s="1749"/>
      <c r="U15" s="1749"/>
      <c r="V15" s="1749"/>
    </row>
    <row r="16" spans="1:22" ht="14.25">
      <c r="A16" s="3778"/>
      <c r="B16" s="3807"/>
      <c r="C16" s="3806"/>
      <c r="D16" s="3809"/>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10</v>
      </c>
      <c r="D17" s="256">
        <f>SUM(D5:D16)</f>
        <v>0</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1</v>
      </c>
      <c r="D18" s="258">
        <f>1-C18</f>
        <v>0</v>
      </c>
      <c r="E18" s="3810" t="s">
        <v>2250</v>
      </c>
      <c r="F18" s="3811"/>
      <c r="G18" s="3811"/>
      <c r="H18" s="3811"/>
      <c r="I18" s="3811"/>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404</v>
      </c>
      <c r="E19" s="259" t="s">
        <v>289</v>
      </c>
      <c r="F19" s="260" t="s">
        <v>288</v>
      </c>
      <c r="G19" s="263">
        <f ca="1">ROUND(C19*$C$18+D19*$D$18,0)</f>
        <v>1026</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86</v>
      </c>
      <c r="E20" s="265"/>
      <c r="F20" s="266" t="s">
        <v>291</v>
      </c>
      <c r="G20" s="269">
        <f ca="1">ROUND(C20*$C$18+D20*$D$18,0)</f>
        <v>218</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51</v>
      </c>
      <c r="E21" s="265"/>
      <c r="F21" s="271" t="s">
        <v>293</v>
      </c>
      <c r="G21" s="273">
        <f ca="1">ROUND(C21*$C$18+D21*$D$18,0)</f>
        <v>129</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1.5396039603960396</v>
      </c>
      <c r="E22" s="275"/>
      <c r="F22" s="276"/>
      <c r="G22" s="277">
        <f ca="1">ROUND(G19/('数据-汇总表'!D3/666.67),0)</f>
        <v>9</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4"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785"/>
      <c r="B25" s="1190" t="s">
        <v>297</v>
      </c>
      <c r="C25" s="281">
        <f>IF(B30=0,0,C30)</f>
        <v>0</v>
      </c>
      <c r="D25" s="282"/>
      <c r="E25" s="302"/>
      <c r="F25" s="302"/>
      <c r="G25" s="302"/>
      <c r="H25" s="302"/>
      <c r="I25" s="302"/>
      <c r="J25" s="1749"/>
      <c r="K25" s="1124" t="str">
        <f ca="1">项目基本情况!A17&amp;"国有建设用地使用权价格："&amp;O38&amp;"万元"</f>
        <v>出让国有建设用地使用权价格：1026万元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大写金额：人民币壹仟零贰拾陆万元整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单位面积地价：129元/平方米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楼面地价：218元/平方米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2251</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12" t="s">
        <v>2252</v>
      </c>
      <c r="B31" s="3812"/>
      <c r="C31" s="3812"/>
      <c r="D31" s="3812"/>
      <c r="E31" s="3812"/>
      <c r="F31" s="3812"/>
      <c r="G31" s="3812"/>
      <c r="H31" s="3812"/>
      <c r="I31" s="3812"/>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1026</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218</v>
      </c>
      <c r="D33" s="1240" t="s">
        <v>1224</v>
      </c>
      <c r="E33" s="3784"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129</v>
      </c>
      <c r="D34" s="1242" t="s">
        <v>1224</v>
      </c>
      <c r="E34" s="382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9</v>
      </c>
      <c r="D35" s="1245" t="s">
        <v>1226</v>
      </c>
      <c r="E35" s="3829"/>
      <c r="F35" s="292" t="s">
        <v>308</v>
      </c>
      <c r="G35" s="944"/>
      <c r="H35" s="943" t="s">
        <v>309</v>
      </c>
      <c r="I35" s="302"/>
      <c r="J35" s="1749"/>
      <c r="K35" s="3802" t="s">
        <v>316</v>
      </c>
      <c r="L35" s="3802" t="s">
        <v>317</v>
      </c>
      <c r="M35" s="1133" t="s">
        <v>318</v>
      </c>
      <c r="N35" s="3802" t="s">
        <v>319</v>
      </c>
      <c r="O35" s="3802" t="s">
        <v>320</v>
      </c>
      <c r="P35" s="1749"/>
      <c r="V35" s="1749"/>
    </row>
    <row r="36" spans="1:26" ht="16.5" customHeight="1">
      <c r="A36" s="294" t="s">
        <v>310</v>
      </c>
      <c r="B36" s="295" t="s">
        <v>299</v>
      </c>
      <c r="C36" s="296" t="s">
        <v>311</v>
      </c>
      <c r="D36" s="296" t="s">
        <v>312</v>
      </c>
      <c r="E36" s="297" t="s">
        <v>313</v>
      </c>
      <c r="F36" s="302"/>
      <c r="G36" s="302"/>
      <c r="H36" s="302"/>
      <c r="I36" s="302"/>
      <c r="J36" s="1751"/>
      <c r="K36" s="3803"/>
      <c r="L36" s="3803"/>
      <c r="M36" s="1135" t="s">
        <v>321</v>
      </c>
      <c r="N36" s="3803"/>
      <c r="O36" s="3803"/>
      <c r="P36" s="1749"/>
      <c r="V36" s="1749"/>
    </row>
    <row r="37" spans="1:26" ht="16.5" customHeight="1" thickBot="1">
      <c r="A37" s="1129" t="s">
        <v>314</v>
      </c>
      <c r="B37" s="298"/>
      <c r="C37" s="285"/>
      <c r="D37" s="285"/>
      <c r="E37" s="286"/>
      <c r="F37" s="302"/>
      <c r="G37" s="302"/>
      <c r="H37" s="302"/>
      <c r="I37" s="302"/>
      <c r="J37" s="1751"/>
      <c r="K37" s="3804"/>
      <c r="L37" s="3804"/>
      <c r="M37" s="1136"/>
      <c r="N37" s="3804"/>
      <c r="O37" s="3804"/>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129</v>
      </c>
      <c r="N38" s="1138">
        <f ca="1">C33</f>
        <v>218</v>
      </c>
      <c r="O38" s="1139">
        <f ca="1">C32</f>
        <v>1026</v>
      </c>
      <c r="P38" s="1749"/>
      <c r="V38" s="1749"/>
    </row>
    <row r="39" spans="1:26" ht="16.5" customHeight="1" thickBot="1">
      <c r="A39" s="1134"/>
      <c r="B39" s="299"/>
      <c r="C39" s="300"/>
      <c r="D39" s="300"/>
      <c r="E39" s="301"/>
      <c r="F39" s="302"/>
      <c r="G39" s="302"/>
      <c r="H39" s="302"/>
      <c r="I39" s="302"/>
      <c r="J39" s="1751"/>
      <c r="K39" s="3842" t="str">
        <f>MID(A44,3,LEN(A44)-2)</f>
        <v/>
      </c>
      <c r="L39" s="3843"/>
      <c r="M39" s="3843"/>
      <c r="N39" s="3844"/>
      <c r="O39" s="1247" t="str">
        <f>C44</f>
        <v>——</v>
      </c>
      <c r="P39" s="1749"/>
      <c r="V39" s="1749"/>
    </row>
    <row r="40" spans="1:26" ht="19.5" thickBot="1">
      <c r="A40" s="100" t="s">
        <v>810</v>
      </c>
      <c r="B40" s="302"/>
      <c r="C40" s="302"/>
      <c r="D40" s="302"/>
      <c r="E40" s="302"/>
      <c r="F40" s="302"/>
      <c r="G40" s="302"/>
      <c r="H40" s="302"/>
      <c r="I40" s="302"/>
      <c r="J40" s="1751"/>
      <c r="K40" s="3842" t="str">
        <f>MID(A45,3,LEN(A45)-2)</f>
        <v/>
      </c>
      <c r="L40" s="3843"/>
      <c r="M40" s="3843"/>
      <c r="N40" s="3844"/>
      <c r="O40" s="1247" t="str">
        <f>C45</f>
        <v>——</v>
      </c>
      <c r="P40" s="1749"/>
      <c r="V40" s="1749"/>
    </row>
    <row r="41" spans="1:26" ht="16.5" thickBot="1">
      <c r="A41" s="303" t="s">
        <v>322</v>
      </c>
      <c r="B41" s="304"/>
      <c r="C41" s="305" t="s">
        <v>323</v>
      </c>
      <c r="D41" s="306" t="s">
        <v>324</v>
      </c>
      <c r="E41" s="306" t="s">
        <v>325</v>
      </c>
      <c r="F41" s="307" t="s">
        <v>326</v>
      </c>
      <c r="G41" s="302"/>
      <c r="H41" s="302"/>
      <c r="I41" s="302"/>
      <c r="J41" s="1751"/>
      <c r="K41" s="3842" t="str">
        <f>MID(A46,3,LEN(A46)-2)</f>
        <v/>
      </c>
      <c r="L41" s="3843"/>
      <c r="M41" s="3843"/>
      <c r="N41" s="3844"/>
      <c r="O41" s="1247" t="str">
        <f>C46</f>
        <v>——</v>
      </c>
      <c r="P41" s="1749"/>
      <c r="V41" s="1749"/>
    </row>
    <row r="42" spans="1:26" ht="29.25">
      <c r="A42" s="3786" t="s">
        <v>1585</v>
      </c>
      <c r="B42" s="3787"/>
      <c r="C42" s="255">
        <f ca="1">C32</f>
        <v>1026</v>
      </c>
      <c r="D42" s="308">
        <f ca="1">C33</f>
        <v>218</v>
      </c>
      <c r="E42" s="308">
        <f ca="1">C34</f>
        <v>129</v>
      </c>
      <c r="F42" s="309">
        <f ca="1">C35</f>
        <v>9</v>
      </c>
      <c r="G42" s="302"/>
      <c r="H42" s="302"/>
      <c r="I42" s="310"/>
      <c r="J42" s="1751"/>
      <c r="K42" s="1140" t="s">
        <v>327</v>
      </c>
      <c r="L42" s="1768" t="s">
        <v>328</v>
      </c>
      <c r="M42" s="1141" t="s">
        <v>329</v>
      </c>
      <c r="N42" s="1769" t="s">
        <v>330</v>
      </c>
      <c r="O42" s="1770" t="s">
        <v>331</v>
      </c>
      <c r="P42" s="1749"/>
      <c r="V42" s="1749"/>
    </row>
    <row r="43" spans="1:26" ht="18">
      <c r="A43" s="3797" t="s">
        <v>2012</v>
      </c>
      <c r="B43" s="3798"/>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1</v>
      </c>
      <c r="N43" s="1145">
        <f ca="1">IF(N42="测算结果/万元",G19,G20)</f>
        <v>1026</v>
      </c>
      <c r="O43" s="1146">
        <f ca="1">IF(O42="最终结果/万元",C32,C33)</f>
        <v>1026</v>
      </c>
      <c r="P43" s="1749"/>
      <c r="V43" s="1749"/>
    </row>
    <row r="44" spans="1:26" ht="18.75" thickBot="1">
      <c r="A44" s="3786" t="str">
        <f>IF(OR(项目基本情况!E8="抵押价格",项目基本情况!E8="已注销及未注销"),"3.抵押价格","——")</f>
        <v>——</v>
      </c>
      <c r="B44" s="3787"/>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404</v>
      </c>
      <c r="M44" s="1149">
        <f>D18</f>
        <v>0</v>
      </c>
      <c r="N44" s="1150"/>
      <c r="O44" s="1151"/>
      <c r="P44" s="1749"/>
      <c r="V44" s="1749"/>
    </row>
    <row r="45" spans="1:26" ht="15">
      <c r="A45" s="3792" t="str">
        <f>IF(项目基本情况!E8="已注销及未注销","4.抵押担保权已注销时的抵押价格",IF(项目基本情况!E8="已注销","3.抵押担保权已注销时的抵押价格","——"))</f>
        <v>——</v>
      </c>
      <c r="B45" s="3793"/>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788" t="str">
        <f>IF(项目基本情况!E9="抵押净值",IF(A45="——","4.抵押净值","5.抵押净值"),"——")</f>
        <v>——</v>
      </c>
      <c r="B46" s="3789"/>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36" t="s">
        <v>340</v>
      </c>
      <c r="B63" s="3837"/>
      <c r="C63" s="3838"/>
      <c r="D63" s="332">
        <f ca="1">ROUND(C42*F63,0)</f>
        <v>1026</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794" t="s">
        <v>344</v>
      </c>
      <c r="B64" s="3795"/>
      <c r="C64" s="3795"/>
      <c r="D64" s="3795"/>
      <c r="E64" s="3795"/>
      <c r="F64" s="3795"/>
      <c r="G64" s="3796"/>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790" t="s">
        <v>352</v>
      </c>
      <c r="B66" s="3791"/>
      <c r="C66" s="379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851" t="s">
        <v>351</v>
      </c>
      <c r="M66" s="3852"/>
      <c r="N66" s="2107"/>
      <c r="O66" s="2108"/>
      <c r="P66" s="2109"/>
      <c r="Q66" s="1749"/>
      <c r="R66" s="1749"/>
      <c r="S66" s="1749"/>
      <c r="T66" s="1749"/>
      <c r="U66" s="1749"/>
      <c r="V66" s="1749"/>
    </row>
    <row r="67" spans="1:22" ht="25.5" customHeight="1">
      <c r="A67" s="343" t="s">
        <v>355</v>
      </c>
      <c r="B67" s="3781" t="s">
        <v>356</v>
      </c>
      <c r="C67" s="3781"/>
      <c r="D67" s="344">
        <v>0</v>
      </c>
      <c r="E67" s="39" t="s">
        <v>357</v>
      </c>
      <c r="F67" s="60" t="s">
        <v>15</v>
      </c>
      <c r="G67" s="3839"/>
      <c r="H67" s="2745" t="s">
        <v>2253</v>
      </c>
      <c r="I67" s="2747"/>
      <c r="J67" s="1756"/>
      <c r="K67" s="1728">
        <v>2</v>
      </c>
      <c r="L67" s="3845" t="s">
        <v>354</v>
      </c>
      <c r="M67" s="3845"/>
      <c r="N67" s="1194">
        <f>'数据-取费表'!B2</f>
        <v>44933</v>
      </c>
      <c r="O67" s="1194"/>
      <c r="P67" s="1194"/>
      <c r="Q67" s="1749"/>
      <c r="R67" s="1749"/>
      <c r="S67" s="1749"/>
      <c r="T67" s="1749"/>
      <c r="U67" s="1749"/>
      <c r="V67" s="1749"/>
    </row>
    <row r="68" spans="1:22" ht="25.5" customHeight="1">
      <c r="A68" s="345"/>
      <c r="B68" s="3781" t="s">
        <v>359</v>
      </c>
      <c r="C68" s="3781"/>
      <c r="D68" s="346"/>
      <c r="E68" s="75"/>
      <c r="F68" s="347"/>
      <c r="G68" s="3840"/>
      <c r="H68" s="2746" t="s">
        <v>2254</v>
      </c>
      <c r="I68" s="2747"/>
      <c r="J68" s="1756"/>
      <c r="K68" s="1728">
        <v>3</v>
      </c>
      <c r="L68" s="3845" t="s">
        <v>358</v>
      </c>
      <c r="M68" s="3845"/>
      <c r="N68" s="1162">
        <f ca="1">C42</f>
        <v>1026</v>
      </c>
      <c r="O68" s="1162"/>
      <c r="P68" s="1162"/>
      <c r="Q68" s="1749"/>
      <c r="R68" s="1749"/>
      <c r="S68" s="1749"/>
      <c r="T68" s="1749"/>
      <c r="U68" s="1749"/>
      <c r="V68" s="1749"/>
    </row>
    <row r="69" spans="1:22" ht="23.45" customHeight="1">
      <c r="A69" s="348"/>
      <c r="B69" s="3781" t="s">
        <v>360</v>
      </c>
      <c r="C69" s="3781"/>
      <c r="D69" s="349"/>
      <c r="E69" s="71"/>
      <c r="F69" s="347"/>
      <c r="G69" s="3841"/>
      <c r="H69" s="2746" t="s">
        <v>2255</v>
      </c>
      <c r="I69" s="2747"/>
      <c r="J69" s="1756"/>
      <c r="K69" s="1163">
        <v>4</v>
      </c>
      <c r="L69" s="3855" t="s">
        <v>2157</v>
      </c>
      <c r="M69" s="3856"/>
      <c r="N69" s="1164" t="str">
        <f>C44</f>
        <v>——</v>
      </c>
      <c r="O69" s="1164"/>
      <c r="P69" s="1164"/>
      <c r="Q69" s="1749"/>
      <c r="R69" s="1749"/>
      <c r="S69" s="1749"/>
      <c r="T69" s="1749"/>
      <c r="U69" s="1749"/>
      <c r="V69" s="1749"/>
    </row>
    <row r="70" spans="1:22" ht="24" customHeight="1">
      <c r="A70" s="350" t="s">
        <v>361</v>
      </c>
      <c r="B70" s="3781" t="s">
        <v>362</v>
      </c>
      <c r="C70" s="3781"/>
      <c r="D70" s="349">
        <f ca="1">ROUND(D63*'数据-取费表'!B41/(1+'数据-取费表'!C42),0)</f>
        <v>54</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782" t="s">
        <v>2282</v>
      </c>
      <c r="C71" s="3783"/>
      <c r="D71" s="349">
        <f ca="1">ROUND(D63*'数据-取费表'!B41/(1+'数据-取费表'!C42),0)</f>
        <v>54</v>
      </c>
      <c r="E71" s="15" t="s">
        <v>363</v>
      </c>
      <c r="F71" s="351">
        <f>'数据-取费表'!B41</f>
        <v>5.5000000000000007E-2</v>
      </c>
      <c r="G71" s="352"/>
      <c r="H71" s="302"/>
      <c r="I71" s="1161"/>
      <c r="J71" s="1756"/>
      <c r="K71" s="2517" t="s">
        <v>364</v>
      </c>
      <c r="L71" s="3857" t="s">
        <v>365</v>
      </c>
      <c r="M71" s="3857"/>
      <c r="N71" s="2517" t="s">
        <v>366</v>
      </c>
      <c r="O71" s="2517" t="s">
        <v>367</v>
      </c>
      <c r="P71" s="2517" t="s">
        <v>368</v>
      </c>
      <c r="Q71" s="1749"/>
      <c r="R71" s="1749"/>
      <c r="S71" s="1749"/>
      <c r="T71" s="1749"/>
      <c r="U71" s="1749"/>
      <c r="V71" s="1749"/>
    </row>
    <row r="72" spans="1:22" ht="12" customHeight="1">
      <c r="A72" s="350" t="s">
        <v>371</v>
      </c>
      <c r="B72" s="3782" t="s">
        <v>2283</v>
      </c>
      <c r="C72" s="3783"/>
      <c r="D72" s="349">
        <f ca="1">C86</f>
        <v>54</v>
      </c>
      <c r="E72" s="71" t="s">
        <v>372</v>
      </c>
      <c r="F72" s="351">
        <f>'数据-取费表'!B41</f>
        <v>5.5000000000000007E-2</v>
      </c>
      <c r="G72" s="352"/>
      <c r="H72" s="1167"/>
      <c r="I72" s="1161"/>
      <c r="J72" s="1756"/>
      <c r="K72" s="1728">
        <v>1</v>
      </c>
      <c r="L72" s="3832" t="s">
        <v>370</v>
      </c>
      <c r="M72" s="3832"/>
      <c r="N72" s="1165" t="b">
        <f>D66</f>
        <v>0</v>
      </c>
      <c r="O72" s="1633" t="str">
        <f>E66</f>
        <v>销售额×税（费）率</v>
      </c>
      <c r="P72" s="1166">
        <f>F66</f>
        <v>5.5000000000000007E-2</v>
      </c>
      <c r="Q72" s="1749"/>
      <c r="R72" s="1749"/>
      <c r="S72" s="1749"/>
      <c r="T72" s="1749"/>
      <c r="U72" s="1749"/>
      <c r="V72" s="1749"/>
    </row>
    <row r="73" spans="1:22" ht="24" customHeight="1">
      <c r="A73" s="3827" t="s">
        <v>374</v>
      </c>
      <c r="B73" s="3791"/>
      <c r="C73" s="3791"/>
      <c r="D73" s="353">
        <f ca="1">IF(H73="个人住宅",0,ROUND(D63*I73,0))</f>
        <v>1</v>
      </c>
      <c r="E73" s="15" t="s">
        <v>375</v>
      </c>
      <c r="F73" s="351" t="str">
        <f>IF(H73="正常",I73,"免征")</f>
        <v>免征</v>
      </c>
      <c r="G73" s="352"/>
      <c r="H73" s="184"/>
      <c r="I73" s="351">
        <f>'数据-取费表'!B49</f>
        <v>5.0000000000000001E-4</v>
      </c>
      <c r="J73" s="1756"/>
      <c r="K73" s="1728">
        <v>2</v>
      </c>
      <c r="L73" s="3832" t="s">
        <v>373</v>
      </c>
      <c r="M73" s="3832"/>
      <c r="N73" s="1165">
        <f t="shared" ref="N73:P74" ca="1" si="0">D73</f>
        <v>1</v>
      </c>
      <c r="O73" s="1633" t="str">
        <f t="shared" si="0"/>
        <v>销售额×税（费）率</v>
      </c>
      <c r="P73" s="1166" t="str">
        <f t="shared" si="0"/>
        <v>免征</v>
      </c>
      <c r="Q73" s="1749"/>
      <c r="R73" s="1749"/>
      <c r="S73" s="1749"/>
      <c r="T73" s="1749"/>
      <c r="U73" s="1749"/>
      <c r="V73" s="1749"/>
    </row>
    <row r="74" spans="1:22" ht="24.75">
      <c r="A74" s="3827" t="s">
        <v>377</v>
      </c>
      <c r="B74" s="3791"/>
      <c r="C74" s="3791"/>
      <c r="D74" s="353">
        <f ca="1">IF(H74="个人住宅",D75,D76)</f>
        <v>581</v>
      </c>
      <c r="E74" s="15" t="s">
        <v>378</v>
      </c>
      <c r="F74" s="351" t="str">
        <f>IF(H74="正常",F76,"免征")</f>
        <v>免征</v>
      </c>
      <c r="G74" s="945" t="s">
        <v>379</v>
      </c>
      <c r="H74" s="354"/>
      <c r="I74" s="40"/>
      <c r="J74" s="1756"/>
      <c r="K74" s="1728">
        <v>3</v>
      </c>
      <c r="L74" s="3832" t="s">
        <v>376</v>
      </c>
      <c r="M74" s="3832"/>
      <c r="N74" s="1165">
        <f t="shared" ca="1" si="0"/>
        <v>581</v>
      </c>
      <c r="O74" s="1633" t="str">
        <f t="shared" si="0"/>
        <v>增值额×税（费）率</v>
      </c>
      <c r="P74" s="1168" t="str">
        <f t="shared" si="0"/>
        <v>免征</v>
      </c>
      <c r="Q74" s="1749"/>
      <c r="R74" s="1749"/>
      <c r="S74" s="1749"/>
      <c r="T74" s="1749"/>
      <c r="U74" s="1749"/>
      <c r="V74" s="1749"/>
    </row>
    <row r="75" spans="1:22" ht="12.75">
      <c r="A75" s="350" t="s">
        <v>380</v>
      </c>
      <c r="B75" s="3779" t="s">
        <v>381</v>
      </c>
      <c r="C75" s="3815"/>
      <c r="D75" s="355">
        <v>0</v>
      </c>
      <c r="E75" s="39" t="s">
        <v>382</v>
      </c>
      <c r="F75" s="356"/>
      <c r="G75" s="352"/>
      <c r="H75" s="40"/>
      <c r="I75" s="40"/>
      <c r="J75" s="1756"/>
      <c r="K75" s="2511">
        <f>IF(H77="非个人房产","",4)</f>
        <v>4</v>
      </c>
      <c r="L75" s="3832" t="str">
        <f>IF(H77="非个人房产","——","个人所得税")</f>
        <v>个人所得税</v>
      </c>
      <c r="M75" s="3832"/>
      <c r="N75" s="1169">
        <f>D77</f>
        <v>0</v>
      </c>
      <c r="O75" s="1634" t="str">
        <f>E77</f>
        <v>差额计税</v>
      </c>
      <c r="P75" s="1170">
        <f>F77</f>
        <v>0.01</v>
      </c>
      <c r="Q75" s="1749"/>
      <c r="R75" s="1749"/>
      <c r="S75" s="1749"/>
      <c r="T75" s="1749"/>
      <c r="U75" s="1749"/>
      <c r="V75" s="1749"/>
    </row>
    <row r="76" spans="1:22" ht="24.75">
      <c r="A76" s="350" t="s">
        <v>361</v>
      </c>
      <c r="B76" s="3779" t="s">
        <v>384</v>
      </c>
      <c r="C76" s="3780"/>
      <c r="D76" s="353">
        <f ca="1">IF(H76="转让取得",C99,C115)</f>
        <v>581</v>
      </c>
      <c r="E76" s="15" t="s">
        <v>385</v>
      </c>
      <c r="F76" s="51" t="s">
        <v>15</v>
      </c>
      <c r="G76" s="352"/>
      <c r="H76" s="354"/>
      <c r="I76" s="40"/>
      <c r="J76" s="1756"/>
      <c r="K76" s="2511" t="str">
        <f>IF(项目基本情况!K6="上海银行",IF(K75="",4,K75+1),"")</f>
        <v/>
      </c>
      <c r="L76" s="3847" t="str">
        <f>IF(项目基本情况!K6="上海银行","其他处置费用","")</f>
        <v/>
      </c>
      <c r="M76" s="3848"/>
      <c r="N76" s="1165" t="str">
        <f>IF(项目基本情况!K6="上海银行",N89,"")</f>
        <v/>
      </c>
      <c r="O76" s="3849" t="str">
        <f>IF(项目基本情况!K6="上海银行","包含处置中涉及的律师、诉讼、拍卖、评估等费用","")</f>
        <v/>
      </c>
      <c r="P76" s="3850"/>
      <c r="Q76" s="1749"/>
      <c r="R76" s="1749"/>
      <c r="S76" s="1749"/>
      <c r="T76" s="1749"/>
      <c r="U76" s="1749"/>
      <c r="V76" s="1749"/>
    </row>
    <row r="77" spans="1:22" ht="24.75" thickBot="1">
      <c r="A77" s="3834" t="s">
        <v>387</v>
      </c>
      <c r="B77" s="3835"/>
      <c r="C77" s="3835"/>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2256</v>
      </c>
      <c r="J77" s="1756"/>
      <c r="K77" s="3833">
        <f>IF(AND(K75="",K76=""),4,IF(项目基本情况!K6="上海银行",K76+1,K75+1))</f>
        <v>5</v>
      </c>
      <c r="L77" s="3832" t="s">
        <v>2158</v>
      </c>
      <c r="M77" s="2516" t="s">
        <v>383</v>
      </c>
      <c r="N77" s="1171"/>
      <c r="O77" s="1172">
        <f ca="1">SUMIF(N72:N76,"&lt;9e307")</f>
        <v>582</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33"/>
      <c r="L78" s="3832"/>
      <c r="M78" s="2516" t="s">
        <v>386</v>
      </c>
      <c r="N78" s="1171"/>
      <c r="O78" s="1172" t="str">
        <f ca="1">NUMBERSTRING(INT(O77*10000),2)&amp;"元整"</f>
        <v>伍佰捌拾贰万元整</v>
      </c>
      <c r="P78" s="1173"/>
      <c r="Q78" s="1749"/>
      <c r="R78" s="1749"/>
      <c r="S78" s="1749"/>
      <c r="T78" s="1749"/>
      <c r="U78" s="1749"/>
      <c r="V78" s="1749"/>
    </row>
    <row r="79" spans="1:22" ht="13.5" thickBot="1">
      <c r="A79" s="3799" t="s">
        <v>388</v>
      </c>
      <c r="B79" s="3799"/>
      <c r="C79" s="3799"/>
      <c r="D79" s="3799"/>
      <c r="E79" s="3799"/>
      <c r="F79" s="40"/>
      <c r="G79" s="40"/>
      <c r="H79" s="965"/>
      <c r="I79" s="302"/>
      <c r="J79" s="1756"/>
      <c r="K79" s="3853">
        <f>K77+1</f>
        <v>6</v>
      </c>
      <c r="L79" s="3832" t="s">
        <v>2159</v>
      </c>
      <c r="M79" s="2516" t="s">
        <v>383</v>
      </c>
      <c r="N79" s="1171"/>
      <c r="O79" s="1172" t="e">
        <f ca="1">N69-O77</f>
        <v>#VALUE!</v>
      </c>
      <c r="P79" s="1173"/>
      <c r="Q79" s="1749"/>
      <c r="R79" s="1749"/>
      <c r="S79" s="1749"/>
      <c r="T79" s="1749"/>
      <c r="U79" s="1749"/>
      <c r="V79" s="1749"/>
    </row>
    <row r="80" spans="1:22" ht="12.75">
      <c r="A80" s="3800" t="s">
        <v>389</v>
      </c>
      <c r="B80" s="3801"/>
      <c r="C80" s="956"/>
      <c r="D80" s="956" t="s">
        <v>390</v>
      </c>
      <c r="E80" s="357" t="s">
        <v>391</v>
      </c>
      <c r="F80" s="40"/>
      <c r="G80" s="40"/>
      <c r="H80" s="965"/>
      <c r="I80" s="302"/>
      <c r="J80" s="1749"/>
      <c r="K80" s="3854"/>
      <c r="L80" s="3832"/>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977</v>
      </c>
      <c r="D81" s="360"/>
      <c r="E81" s="361"/>
      <c r="F81" s="40"/>
      <c r="G81" s="40"/>
      <c r="H81" s="965"/>
      <c r="I81" s="302"/>
      <c r="J81" s="1749"/>
      <c r="K81" s="2511">
        <f>K79+1</f>
        <v>7</v>
      </c>
      <c r="L81" s="3830" t="s">
        <v>2160</v>
      </c>
      <c r="M81" s="3831"/>
      <c r="N81" s="1175"/>
      <c r="O81" s="1176" t="e">
        <f ca="1">ROUND(O79*10000/'数据-汇总表'!E3,0)</f>
        <v>#VALUE!</v>
      </c>
      <c r="P81" s="1177"/>
      <c r="Q81" s="1749"/>
      <c r="R81" s="1749"/>
      <c r="S81" s="1749"/>
      <c r="T81" s="1749"/>
      <c r="U81" s="1749"/>
      <c r="V81" s="1749"/>
    </row>
    <row r="82" spans="1:26" ht="13.5" thickTop="1">
      <c r="A82" s="362" t="s">
        <v>1353</v>
      </c>
      <c r="B82" s="363" t="s">
        <v>393</v>
      </c>
      <c r="C82" s="364">
        <f ca="1">D63</f>
        <v>1026</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846"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846"/>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977</v>
      </c>
      <c r="D85" s="365" t="s">
        <v>13</v>
      </c>
      <c r="E85" s="366"/>
      <c r="F85" s="40"/>
      <c r="G85" s="40"/>
      <c r="H85" s="965"/>
      <c r="I85" s="302"/>
      <c r="J85" s="1749"/>
      <c r="K85" s="3846"/>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54</v>
      </c>
      <c r="D86" s="376">
        <f>'数据-取费表'!B41</f>
        <v>5.5000000000000007E-2</v>
      </c>
      <c r="E86" s="377"/>
      <c r="F86" s="40"/>
      <c r="G86" s="40"/>
      <c r="H86" s="965"/>
      <c r="I86" s="302"/>
      <c r="J86" s="1749"/>
      <c r="K86" s="3846"/>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846"/>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25" t="s">
        <v>398</v>
      </c>
      <c r="B88" s="3826"/>
      <c r="C88" s="3826"/>
      <c r="D88" s="3826"/>
      <c r="E88" s="3826"/>
      <c r="F88" s="3826"/>
      <c r="G88" s="3826"/>
      <c r="H88" s="3826"/>
      <c r="I88" s="1184"/>
      <c r="J88" s="1757"/>
      <c r="K88" s="3846"/>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800" t="s">
        <v>389</v>
      </c>
      <c r="B89" s="3801"/>
      <c r="C89" s="956"/>
      <c r="D89" s="956" t="s">
        <v>390</v>
      </c>
      <c r="E89" s="378" t="s">
        <v>399</v>
      </c>
      <c r="F89" s="379"/>
      <c r="G89" s="379"/>
      <c r="H89" s="380"/>
      <c r="I89" s="1185"/>
      <c r="J89" s="1759"/>
      <c r="K89" s="3846"/>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977</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782" t="s">
        <v>407</v>
      </c>
      <c r="F94" s="3781"/>
      <c r="G94" s="3781"/>
      <c r="H94" s="3824"/>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816" t="s">
        <v>1780</v>
      </c>
      <c r="F96" s="3817"/>
      <c r="G96" s="3817"/>
      <c r="H96" s="3818"/>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972</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25" t="s">
        <v>414</v>
      </c>
      <c r="B101" s="3826"/>
      <c r="C101" s="3826"/>
      <c r="D101" s="3826"/>
      <c r="E101" s="3826"/>
      <c r="F101" s="3826"/>
      <c r="G101" s="3826"/>
      <c r="H101" s="3826"/>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800" t="s">
        <v>389</v>
      </c>
      <c r="B102" s="3801"/>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977</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2276</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776" t="s">
        <v>2248</v>
      </c>
      <c r="H108" s="3777"/>
      <c r="I108" s="2608"/>
      <c r="J108" s="1754"/>
      <c r="K108" s="2980" t="s">
        <v>2277</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19" t="s">
        <v>422</v>
      </c>
      <c r="F109" s="3817"/>
      <c r="G109" s="3817"/>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19" t="s">
        <v>424</v>
      </c>
      <c r="F110" s="3817"/>
      <c r="G110" s="3817"/>
      <c r="H110" s="3818"/>
      <c r="I110" s="9"/>
      <c r="J110" s="1754"/>
      <c r="K110" s="2981" t="s">
        <v>2278</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816" t="s">
        <v>1780</v>
      </c>
      <c r="F111" s="3817"/>
      <c r="G111" s="3817"/>
      <c r="H111" s="3818"/>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19" t="s">
        <v>1799</v>
      </c>
      <c r="F112" s="3817"/>
      <c r="G112" s="3817"/>
      <c r="H112" s="3818"/>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972</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1" zoomScale="85" zoomScaleNormal="50" zoomScaleSheetLayoutView="85" workbookViewId="0">
      <selection activeCell="B43" sqref="B4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74" t="s">
        <v>471</v>
      </c>
      <c r="D6" s="3875"/>
      <c r="E6" s="3876" t="s">
        <v>472</v>
      </c>
      <c r="F6" s="3877"/>
      <c r="G6" s="3874" t="s">
        <v>473</v>
      </c>
      <c r="H6" s="3875"/>
      <c r="I6" s="3874" t="s">
        <v>474</v>
      </c>
      <c r="J6" s="3875"/>
      <c r="K6" s="484" t="s">
        <v>475</v>
      </c>
      <c r="L6" s="1853"/>
      <c r="M6" s="1854"/>
      <c r="N6" s="1854"/>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29" ht="15">
      <c r="A7" s="485"/>
      <c r="B7" s="486"/>
      <c r="C7" s="3864" t="s">
        <v>2189</v>
      </c>
      <c r="D7" s="3865"/>
      <c r="E7" s="3887" t="str">
        <f>土地案例!A3</f>
        <v>富锦市工业园区内,疏港大道西侧,兴业街南侧</v>
      </c>
      <c r="F7" s="3888"/>
      <c r="G7" s="3864" t="str">
        <f>土地案例!A4</f>
        <v>工业园区内锦园路东侧、华粮仓储北侧</v>
      </c>
      <c r="H7" s="3865"/>
      <c r="I7" s="3864" t="str">
        <f>土地案例!A5</f>
        <v>富七路北侧,园区变电所西侧</v>
      </c>
      <c r="J7" s="3865"/>
      <c r="K7" s="484"/>
      <c r="L7" s="1853"/>
      <c r="M7" s="1854"/>
      <c r="N7" s="1854"/>
      <c r="O7" s="1854"/>
      <c r="P7" s="3880"/>
      <c r="Q7" s="3881"/>
      <c r="R7" s="3862"/>
      <c r="S7" s="3863"/>
      <c r="T7" s="3862"/>
      <c r="U7" s="3863"/>
      <c r="V7" s="3886"/>
      <c r="W7" s="3886"/>
      <c r="X7" s="1380"/>
      <c r="Y7" s="3862"/>
      <c r="Z7" s="3863"/>
      <c r="AA7" s="3872"/>
      <c r="AB7" s="3872"/>
      <c r="AC7" s="3872"/>
    </row>
    <row r="8" spans="1:29" ht="15.75" thickBot="1">
      <c r="A8" s="487"/>
      <c r="B8" s="488"/>
      <c r="C8" s="3866" t="s">
        <v>2193</v>
      </c>
      <c r="D8" s="3867"/>
      <c r="E8" s="3869" t="s">
        <v>2193</v>
      </c>
      <c r="F8" s="3870"/>
      <c r="G8" s="3866" t="s">
        <v>2193</v>
      </c>
      <c r="H8" s="3867"/>
      <c r="I8" s="3866" t="s">
        <v>2193</v>
      </c>
      <c r="J8" s="3867"/>
      <c r="K8" s="484" t="s">
        <v>477</v>
      </c>
      <c r="L8" s="1853"/>
      <c r="M8" s="1854"/>
      <c r="N8" s="1854"/>
      <c r="O8" s="1854"/>
      <c r="P8" s="3882"/>
      <c r="Q8" s="3883"/>
      <c r="R8" s="3862"/>
      <c r="S8" s="3863"/>
      <c r="T8" s="3884"/>
      <c r="U8" s="3885"/>
      <c r="V8" s="3886"/>
      <c r="W8" s="3886"/>
      <c r="X8" s="1380"/>
      <c r="Y8" s="3884"/>
      <c r="Z8" s="3885"/>
      <c r="AA8" s="3873"/>
      <c r="AB8" s="3873"/>
      <c r="AC8" s="3873"/>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58" t="s">
        <v>479</v>
      </c>
      <c r="Q9" s="3868"/>
      <c r="R9" s="1381" t="s">
        <v>5</v>
      </c>
      <c r="S9" s="1382">
        <f t="shared" ref="S9:S17" si="0">F9</f>
        <v>100</v>
      </c>
      <c r="T9" s="1381" t="s">
        <v>5</v>
      </c>
      <c r="U9" s="1382">
        <f t="shared" ref="U9:U17" si="1">H9</f>
        <v>100</v>
      </c>
      <c r="V9" s="1381" t="s">
        <v>5</v>
      </c>
      <c r="W9" s="1382">
        <f t="shared" ref="W9:W17" si="2">J9</f>
        <v>100</v>
      </c>
      <c r="X9" s="1383"/>
      <c r="Y9" s="3858" t="s">
        <v>479</v>
      </c>
      <c r="Z9" s="3859"/>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58" t="s">
        <v>482</v>
      </c>
      <c r="Q10" s="3859"/>
      <c r="R10" s="1381" t="s">
        <v>5</v>
      </c>
      <c r="S10" s="1382">
        <f t="shared" si="0"/>
        <v>100</v>
      </c>
      <c r="T10" s="1381" t="s">
        <v>5</v>
      </c>
      <c r="U10" s="1382">
        <f t="shared" si="1"/>
        <v>100</v>
      </c>
      <c r="V10" s="1381" t="s">
        <v>5</v>
      </c>
      <c r="W10" s="1382">
        <f t="shared" si="2"/>
        <v>100</v>
      </c>
      <c r="X10" s="1383"/>
      <c r="Y10" s="3858" t="s">
        <v>482</v>
      </c>
      <c r="Z10" s="3859"/>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93"/>
      <c r="Q13" s="1050" t="str">
        <f t="shared" si="6"/>
        <v>容积率</v>
      </c>
      <c r="R13" s="1381" t="s">
        <v>5</v>
      </c>
      <c r="S13" s="1382">
        <f t="shared" si="0"/>
        <v>100</v>
      </c>
      <c r="T13" s="1381" t="s">
        <v>5</v>
      </c>
      <c r="U13" s="1382">
        <f t="shared" si="1"/>
        <v>100</v>
      </c>
      <c r="V13" s="1381" t="s">
        <v>5</v>
      </c>
      <c r="W13" s="1382">
        <f t="shared" si="2"/>
        <v>100</v>
      </c>
      <c r="X13" s="1383"/>
      <c r="Y13" s="3807"/>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89" t="s">
        <v>489</v>
      </c>
      <c r="Q17" s="1385" t="str">
        <f t="shared" si="6"/>
        <v>产业集聚程度</v>
      </c>
      <c r="R17" s="1386" t="s">
        <v>5</v>
      </c>
      <c r="S17" s="1387">
        <f t="shared" si="0"/>
        <v>107</v>
      </c>
      <c r="T17" s="1386" t="s">
        <v>5</v>
      </c>
      <c r="U17" s="1387">
        <f t="shared" si="1"/>
        <v>107</v>
      </c>
      <c r="V17" s="1386" t="s">
        <v>5</v>
      </c>
      <c r="W17" s="1387">
        <f t="shared" si="2"/>
        <v>107</v>
      </c>
      <c r="X17" s="1380"/>
      <c r="Y17" s="3889"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3401</v>
      </c>
      <c r="D18" s="525"/>
      <c r="E18" s="524" t="s">
        <v>3403</v>
      </c>
      <c r="F18" s="525"/>
      <c r="G18" s="524" t="s">
        <v>3403</v>
      </c>
      <c r="H18" s="529"/>
      <c r="I18" s="524" t="s">
        <v>3403</v>
      </c>
      <c r="J18" s="525"/>
      <c r="K18" s="501"/>
      <c r="L18" s="1862"/>
      <c r="M18" s="1854"/>
      <c r="N18" s="1854"/>
      <c r="O18" s="1861"/>
      <c r="P18" s="3890"/>
      <c r="Q18" s="1385"/>
      <c r="R18" s="1386"/>
      <c r="S18" s="1387"/>
      <c r="T18" s="1386"/>
      <c r="U18" s="1387"/>
      <c r="V18" s="1386"/>
      <c r="W18" s="1387"/>
      <c r="X18" s="1380"/>
      <c r="Y18" s="389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90"/>
      <c r="Q19" s="1385" t="str">
        <f>B19</f>
        <v>交通便捷度</v>
      </c>
      <c r="R19" s="1386" t="s">
        <v>5</v>
      </c>
      <c r="S19" s="1387">
        <f>F19</f>
        <v>105</v>
      </c>
      <c r="T19" s="1386" t="s">
        <v>5</v>
      </c>
      <c r="U19" s="1387">
        <f>H19</f>
        <v>105</v>
      </c>
      <c r="V19" s="1386" t="s">
        <v>5</v>
      </c>
      <c r="W19" s="1387">
        <f>J19</f>
        <v>105</v>
      </c>
      <c r="X19" s="1380"/>
      <c r="Y19" s="3890"/>
      <c r="Z19" s="1388" t="str">
        <f>Q19</f>
        <v>交通便捷度</v>
      </c>
      <c r="AA19" s="1389">
        <f t="shared" si="3"/>
        <v>0.95238095238095233</v>
      </c>
      <c r="AB19" s="1389">
        <f t="shared" si="4"/>
        <v>0.95238095238095233</v>
      </c>
      <c r="AC19" s="1389">
        <f t="shared" si="5"/>
        <v>0.95238095238095233</v>
      </c>
    </row>
    <row r="20" spans="1:29" ht="15">
      <c r="A20" s="502"/>
      <c r="B20" s="885"/>
      <c r="C20" s="546" t="s">
        <v>3402</v>
      </c>
      <c r="D20" s="525"/>
      <c r="E20" s="526" t="s">
        <v>3401</v>
      </c>
      <c r="F20" s="525"/>
      <c r="G20" s="526" t="s">
        <v>3401</v>
      </c>
      <c r="H20" s="525"/>
      <c r="I20" s="526" t="s">
        <v>3401</v>
      </c>
      <c r="J20" s="525"/>
      <c r="K20" s="501"/>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90"/>
      <c r="Q21" s="1385" t="str">
        <f t="shared" ref="Q21:Q35" si="8">B21</f>
        <v>区域土地利用方向</v>
      </c>
      <c r="R21" s="1386" t="s">
        <v>5</v>
      </c>
      <c r="S21" s="1387">
        <f>F21</f>
        <v>100</v>
      </c>
      <c r="T21" s="1386" t="s">
        <v>5</v>
      </c>
      <c r="U21" s="1387">
        <f>H21</f>
        <v>100</v>
      </c>
      <c r="V21" s="1386" t="s">
        <v>5</v>
      </c>
      <c r="W21" s="1387">
        <f>J21</f>
        <v>100</v>
      </c>
      <c r="X21" s="1380"/>
      <c r="Y21" s="3890"/>
      <c r="Z21" s="1388" t="str">
        <f>Q21</f>
        <v>区域土地利用方向</v>
      </c>
      <c r="AA21" s="1389">
        <f t="shared" si="3"/>
        <v>1</v>
      </c>
      <c r="AB21" s="1389">
        <f t="shared" si="4"/>
        <v>1</v>
      </c>
      <c r="AC21" s="1389">
        <f t="shared" si="5"/>
        <v>1</v>
      </c>
    </row>
    <row r="22" spans="1:29" ht="15">
      <c r="A22" s="485"/>
      <c r="B22" s="565"/>
      <c r="C22" s="546" t="s">
        <v>3403</v>
      </c>
      <c r="D22" s="525"/>
      <c r="E22" s="546" t="s">
        <v>3403</v>
      </c>
      <c r="F22" s="527"/>
      <c r="G22" s="546" t="s">
        <v>3403</v>
      </c>
      <c r="H22" s="527"/>
      <c r="I22" s="546" t="s">
        <v>3403</v>
      </c>
      <c r="J22" s="527"/>
      <c r="K22" s="1208"/>
      <c r="L22" s="1862"/>
      <c r="M22" s="1854"/>
      <c r="N22" s="1854"/>
      <c r="O22" s="1861"/>
      <c r="P22" s="3890"/>
      <c r="Q22" s="1385"/>
      <c r="R22" s="1386"/>
      <c r="S22" s="1387"/>
      <c r="T22" s="1386"/>
      <c r="U22" s="1387"/>
      <c r="V22" s="1386"/>
      <c r="W22" s="1387"/>
      <c r="X22" s="1380"/>
      <c r="Y22" s="3890"/>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90"/>
      <c r="Q23" s="1385" t="str">
        <f t="shared" si="8"/>
        <v>环境状况</v>
      </c>
      <c r="R23" s="1386" t="s">
        <v>5</v>
      </c>
      <c r="S23" s="1387">
        <f>F23</f>
        <v>100</v>
      </c>
      <c r="T23" s="1386" t="s">
        <v>5</v>
      </c>
      <c r="U23" s="1387">
        <f>H23</f>
        <v>100</v>
      </c>
      <c r="V23" s="1386" t="s">
        <v>5</v>
      </c>
      <c r="W23" s="1387">
        <f>J23</f>
        <v>100</v>
      </c>
      <c r="X23" s="1380"/>
      <c r="Y23" s="3890"/>
      <c r="Z23" s="1388" t="str">
        <f>Q23</f>
        <v>环境状况</v>
      </c>
      <c r="AA23" s="1389">
        <f t="shared" si="3"/>
        <v>1</v>
      </c>
      <c r="AB23" s="1389">
        <f t="shared" si="4"/>
        <v>1</v>
      </c>
      <c r="AC23" s="1389">
        <f t="shared" si="5"/>
        <v>1</v>
      </c>
    </row>
    <row r="24" spans="1:29" ht="15">
      <c r="A24" s="485"/>
      <c r="B24" s="565"/>
      <c r="C24" s="546" t="s">
        <v>3401</v>
      </c>
      <c r="D24" s="525"/>
      <c r="E24" s="546" t="s">
        <v>3401</v>
      </c>
      <c r="F24" s="525"/>
      <c r="G24" s="546" t="s">
        <v>3401</v>
      </c>
      <c r="H24" s="525"/>
      <c r="I24" s="546" t="s">
        <v>3401</v>
      </c>
      <c r="J24" s="525"/>
      <c r="K24" s="501"/>
      <c r="L24" s="1862"/>
      <c r="M24" s="1854"/>
      <c r="N24" s="1854"/>
      <c r="O24" s="1861"/>
      <c r="P24" s="3890"/>
      <c r="Q24" s="1385"/>
      <c r="R24" s="1386"/>
      <c r="S24" s="1387"/>
      <c r="T24" s="1386"/>
      <c r="U24" s="1387"/>
      <c r="V24" s="1386"/>
      <c r="W24" s="1387"/>
      <c r="X24" s="1380"/>
      <c r="Y24" s="3890"/>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90"/>
      <c r="Q25" s="1050" t="str">
        <f t="shared" si="8"/>
        <v>公共配套设施</v>
      </c>
      <c r="R25" s="1381" t="s">
        <v>5</v>
      </c>
      <c r="S25" s="1382">
        <f>F25</f>
        <v>105</v>
      </c>
      <c r="T25" s="1381" t="s">
        <v>5</v>
      </c>
      <c r="U25" s="1382">
        <f>H25</f>
        <v>105</v>
      </c>
      <c r="V25" s="1381" t="s">
        <v>5</v>
      </c>
      <c r="W25" s="1382">
        <f>J25</f>
        <v>105</v>
      </c>
      <c r="X25" s="1383"/>
      <c r="Y25" s="3890"/>
      <c r="Z25" s="1049" t="str">
        <f>Q25</f>
        <v>公共配套设施</v>
      </c>
      <c r="AA25" s="1389">
        <f>D25/F25</f>
        <v>0.95238095238095233</v>
      </c>
      <c r="AB25" s="1389">
        <f>D25/H25</f>
        <v>0.95238095238095233</v>
      </c>
      <c r="AC25" s="1389">
        <f>D25/J25</f>
        <v>0.95238095238095233</v>
      </c>
    </row>
    <row r="26" spans="1:29" s="1118" customFormat="1" ht="15">
      <c r="A26" s="547"/>
      <c r="B26" s="565"/>
      <c r="C26" s="2197" t="s">
        <v>3402</v>
      </c>
      <c r="D26" s="525"/>
      <c r="E26" s="546" t="s">
        <v>3401</v>
      </c>
      <c r="F26" s="525"/>
      <c r="G26" s="546" t="s">
        <v>3401</v>
      </c>
      <c r="H26" s="525"/>
      <c r="I26" s="546" t="s">
        <v>3401</v>
      </c>
      <c r="J26" s="525"/>
      <c r="K26" s="501"/>
      <c r="L26" s="1855"/>
      <c r="M26" s="1856"/>
      <c r="N26" s="1856"/>
      <c r="O26" s="1857"/>
      <c r="P26" s="3890"/>
      <c r="Q26" s="1050"/>
      <c r="R26" s="1381"/>
      <c r="S26" s="1382"/>
      <c r="T26" s="1381"/>
      <c r="U26" s="1382"/>
      <c r="V26" s="1381"/>
      <c r="W26" s="1382"/>
      <c r="X26" s="1383"/>
      <c r="Y26" s="3890"/>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90"/>
      <c r="Q27" s="2189" t="str">
        <f>B27</f>
        <v>基础设施水平</v>
      </c>
      <c r="R27" s="1381" t="s">
        <v>5</v>
      </c>
      <c r="S27" s="1382">
        <f>F27</f>
        <v>100</v>
      </c>
      <c r="T27" s="1381" t="s">
        <v>5</v>
      </c>
      <c r="U27" s="1382">
        <f>H27</f>
        <v>100</v>
      </c>
      <c r="V27" s="1381" t="s">
        <v>5</v>
      </c>
      <c r="W27" s="1382">
        <f>J27</f>
        <v>100</v>
      </c>
      <c r="X27" s="1383"/>
      <c r="Y27" s="3890"/>
      <c r="Z27" s="2188" t="str">
        <f>Q27</f>
        <v>基础设施水平</v>
      </c>
      <c r="AA27" s="1389">
        <f>D27/F27</f>
        <v>1</v>
      </c>
      <c r="AB27" s="1389">
        <f>D27/H27</f>
        <v>1</v>
      </c>
      <c r="AC27" s="1389">
        <f>D27/J27</f>
        <v>1</v>
      </c>
    </row>
    <row r="28" spans="1:29" s="1118" customFormat="1" ht="15">
      <c r="A28" s="547"/>
      <c r="B28" s="565"/>
      <c r="C28" s="2197" t="s">
        <v>3404</v>
      </c>
      <c r="D28" s="525"/>
      <c r="E28" s="2197" t="s">
        <v>3404</v>
      </c>
      <c r="F28" s="525"/>
      <c r="G28" s="2197" t="s">
        <v>3404</v>
      </c>
      <c r="H28" s="525"/>
      <c r="I28" s="2197" t="s">
        <v>3404</v>
      </c>
      <c r="J28" s="525"/>
      <c r="K28" s="501"/>
      <c r="L28" s="1855"/>
      <c r="M28" s="1856"/>
      <c r="N28" s="1856"/>
      <c r="O28" s="1857"/>
      <c r="P28" s="3890"/>
      <c r="Q28" s="2189"/>
      <c r="R28" s="1381"/>
      <c r="S28" s="1382"/>
      <c r="T28" s="1381"/>
      <c r="U28" s="1382"/>
      <c r="V28" s="1381"/>
      <c r="W28" s="1382"/>
      <c r="X28" s="1383"/>
      <c r="Y28" s="3890"/>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9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0"/>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90"/>
      <c r="Q30" s="1385" t="str">
        <f t="shared" si="8"/>
        <v>毗邻道路的类型与等级</v>
      </c>
      <c r="R30" s="1386" t="s">
        <v>5</v>
      </c>
      <c r="S30" s="1387">
        <f t="shared" si="9"/>
        <v>100</v>
      </c>
      <c r="T30" s="1386" t="s">
        <v>5</v>
      </c>
      <c r="U30" s="1387">
        <f t="shared" si="10"/>
        <v>100</v>
      </c>
      <c r="V30" s="1386" t="s">
        <v>5</v>
      </c>
      <c r="W30" s="1387">
        <f t="shared" si="11"/>
        <v>100</v>
      </c>
      <c r="X30" s="1380"/>
      <c r="Y30" s="389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90"/>
      <c r="Q31" s="1385"/>
      <c r="R31" s="1386"/>
      <c r="S31" s="1387"/>
      <c r="T31" s="1386"/>
      <c r="U31" s="1387"/>
      <c r="V31" s="1386"/>
      <c r="W31" s="1387"/>
      <c r="X31" s="1380"/>
      <c r="Y31" s="3890"/>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90"/>
      <c r="Q32" s="1385" t="str">
        <f t="shared" si="8"/>
        <v>土地级别</v>
      </c>
      <c r="R32" s="1386" t="s">
        <v>5</v>
      </c>
      <c r="S32" s="1387">
        <f t="shared" si="9"/>
        <v>100</v>
      </c>
      <c r="T32" s="1386" t="s">
        <v>5</v>
      </c>
      <c r="U32" s="1387">
        <f t="shared" si="10"/>
        <v>100</v>
      </c>
      <c r="V32" s="1386" t="s">
        <v>5</v>
      </c>
      <c r="W32" s="1387">
        <f t="shared" si="11"/>
        <v>100</v>
      </c>
      <c r="X32" s="1380"/>
      <c r="Y32" s="389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90"/>
      <c r="Q33" s="1385">
        <f t="shared" si="8"/>
        <v>111</v>
      </c>
      <c r="R33" s="1386" t="s">
        <v>5</v>
      </c>
      <c r="S33" s="1387">
        <f t="shared" si="9"/>
        <v>100</v>
      </c>
      <c r="T33" s="1386" t="s">
        <v>5</v>
      </c>
      <c r="U33" s="1387">
        <f t="shared" si="10"/>
        <v>100</v>
      </c>
      <c r="V33" s="1386" t="s">
        <v>5</v>
      </c>
      <c r="W33" s="1387">
        <f t="shared" si="11"/>
        <v>100</v>
      </c>
      <c r="X33" s="1380"/>
      <c r="Y33" s="389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91" t="s">
        <v>499</v>
      </c>
      <c r="Q34" s="1385">
        <f t="shared" si="8"/>
        <v>111</v>
      </c>
      <c r="R34" s="1386" t="s">
        <v>5</v>
      </c>
      <c r="S34" s="1387">
        <f t="shared" si="9"/>
        <v>100</v>
      </c>
      <c r="T34" s="1386" t="s">
        <v>5</v>
      </c>
      <c r="U34" s="1387">
        <f t="shared" si="10"/>
        <v>100</v>
      </c>
      <c r="V34" s="1386" t="s">
        <v>5</v>
      </c>
      <c r="W34" s="1387">
        <f t="shared" si="11"/>
        <v>100</v>
      </c>
      <c r="X34" s="1380"/>
      <c r="Y34" s="3892"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92"/>
      <c r="Q35" s="1385">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92"/>
      <c r="Q36" s="1385" t="str">
        <f>B36</f>
        <v>宗地面积</v>
      </c>
      <c r="R36" s="1386" t="s">
        <v>5</v>
      </c>
      <c r="S36" s="1387">
        <f t="shared" si="9"/>
        <v>99</v>
      </c>
      <c r="T36" s="1386" t="s">
        <v>5</v>
      </c>
      <c r="U36" s="1387">
        <f t="shared" si="10"/>
        <v>99</v>
      </c>
      <c r="V36" s="1386" t="s">
        <v>5</v>
      </c>
      <c r="W36" s="1387">
        <f t="shared" si="11"/>
        <v>100</v>
      </c>
      <c r="X36" s="1380"/>
      <c r="Y36" s="3892"/>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92"/>
      <c r="Q37" s="1385" t="str">
        <f t="shared" ref="Q37:Q42" si="13">B37</f>
        <v>宗地形状</v>
      </c>
      <c r="R37" s="1386" t="s">
        <v>5</v>
      </c>
      <c r="S37" s="1387">
        <f t="shared" si="9"/>
        <v>100</v>
      </c>
      <c r="T37" s="1386" t="s">
        <v>5</v>
      </c>
      <c r="U37" s="1387">
        <f t="shared" si="10"/>
        <v>100</v>
      </c>
      <c r="V37" s="1386" t="s">
        <v>5</v>
      </c>
      <c r="W37" s="1387">
        <f t="shared" si="11"/>
        <v>100</v>
      </c>
      <c r="X37" s="1380"/>
      <c r="Y37" s="3892"/>
      <c r="Z37" s="1388" t="str">
        <f t="shared" si="12"/>
        <v>宗地形状</v>
      </c>
      <c r="AA37" s="1389">
        <f t="shared" si="3"/>
        <v>1</v>
      </c>
      <c r="AB37" s="1389">
        <f t="shared" si="4"/>
        <v>1</v>
      </c>
      <c r="AC37" s="1389">
        <f t="shared" si="5"/>
        <v>1</v>
      </c>
    </row>
    <row r="38" spans="1:29" s="1118" customFormat="1" ht="15">
      <c r="A38" s="570"/>
      <c r="B38" s="1648" t="s">
        <v>1776</v>
      </c>
      <c r="C38" s="571" t="s">
        <v>3404</v>
      </c>
      <c r="D38" s="246">
        <v>100</v>
      </c>
      <c r="E38" s="571" t="s">
        <v>3412</v>
      </c>
      <c r="F38" s="510">
        <f>SUMIF(113:113,E38,114:114)-SUMIF(113:113,C38,114:114)+100</f>
        <v>99</v>
      </c>
      <c r="G38" s="571" t="s">
        <v>3412</v>
      </c>
      <c r="H38" s="510">
        <f>SUMIF(113:113,G38,114:114)-SUMIF(113:113,C38,114:114)+100</f>
        <v>99</v>
      </c>
      <c r="I38" s="571" t="s">
        <v>3412</v>
      </c>
      <c r="J38" s="510">
        <f>SUMIF(113:113,I38,114:114)-SUMIF(113:113,C38,114:114)+100</f>
        <v>99</v>
      </c>
      <c r="K38" s="554">
        <v>0.5</v>
      </c>
      <c r="L38" s="1855"/>
      <c r="M38" s="1856"/>
      <c r="N38" s="1856"/>
      <c r="O38" s="1857"/>
      <c r="P38" s="3892"/>
      <c r="Q38" s="1385" t="str">
        <f t="shared" si="13"/>
        <v>宗地开发程度</v>
      </c>
      <c r="R38" s="1381" t="s">
        <v>5</v>
      </c>
      <c r="S38" s="1382">
        <f t="shared" si="9"/>
        <v>99</v>
      </c>
      <c r="T38" s="1381" t="s">
        <v>5</v>
      </c>
      <c r="U38" s="1382">
        <f t="shared" si="10"/>
        <v>99</v>
      </c>
      <c r="V38" s="1381" t="s">
        <v>5</v>
      </c>
      <c r="W38" s="1382">
        <f t="shared" si="11"/>
        <v>99</v>
      </c>
      <c r="X38" s="1383"/>
      <c r="Y38" s="3892"/>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3403</v>
      </c>
      <c r="D39" s="510">
        <v>100</v>
      </c>
      <c r="E39" s="569" t="s">
        <v>3403</v>
      </c>
      <c r="F39" s="510">
        <f>SUMIF(115:115,E39,116:116)-SUMIF(115:115,C39,116:116)+100</f>
        <v>100</v>
      </c>
      <c r="G39" s="569" t="s">
        <v>3403</v>
      </c>
      <c r="H39" s="510">
        <f>SUMIF(115:115,G39,116:116)-SUMIF(115:115,C39,116:116)+100</f>
        <v>100</v>
      </c>
      <c r="I39" s="569" t="s">
        <v>3403</v>
      </c>
      <c r="J39" s="510">
        <f>SUMIF(115:115,I39,116:116)-SUMIF(115:115,C39,116:116)+100</f>
        <v>100</v>
      </c>
      <c r="K39" s="554">
        <v>2</v>
      </c>
      <c r="L39" s="1862"/>
      <c r="M39" s="1854"/>
      <c r="N39" s="1854"/>
      <c r="O39" s="1861"/>
      <c r="P39" s="3892" t="s">
        <v>549</v>
      </c>
      <c r="Q39" s="1385" t="str">
        <f t="shared" si="13"/>
        <v>工程地质条件</v>
      </c>
      <c r="R39" s="1386" t="s">
        <v>5</v>
      </c>
      <c r="S39" s="1387">
        <f t="shared" si="9"/>
        <v>100</v>
      </c>
      <c r="T39" s="1386" t="s">
        <v>5</v>
      </c>
      <c r="U39" s="1387">
        <f t="shared" si="10"/>
        <v>100</v>
      </c>
      <c r="V39" s="1386" t="s">
        <v>5</v>
      </c>
      <c r="W39" s="1387">
        <f t="shared" si="11"/>
        <v>100</v>
      </c>
      <c r="X39" s="1380"/>
      <c r="Y39" s="389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92"/>
      <c r="Q40" s="1385">
        <f t="shared" si="13"/>
        <v>111</v>
      </c>
      <c r="R40" s="1386" t="s">
        <v>5</v>
      </c>
      <c r="S40" s="1387">
        <f t="shared" si="9"/>
        <v>100</v>
      </c>
      <c r="T40" s="1386" t="s">
        <v>5</v>
      </c>
      <c r="U40" s="1387">
        <f t="shared" si="10"/>
        <v>100</v>
      </c>
      <c r="V40" s="1386" t="s">
        <v>5</v>
      </c>
      <c r="W40" s="1387">
        <f t="shared" si="11"/>
        <v>100</v>
      </c>
      <c r="X40" s="1380"/>
      <c r="Y40" s="389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92"/>
      <c r="Q41" s="1385">
        <f t="shared" si="13"/>
        <v>111</v>
      </c>
      <c r="R41" s="1386" t="s">
        <v>5</v>
      </c>
      <c r="S41" s="1387">
        <f t="shared" si="9"/>
        <v>100</v>
      </c>
      <c r="T41" s="1386" t="s">
        <v>5</v>
      </c>
      <c r="U41" s="1387">
        <f t="shared" si="10"/>
        <v>100</v>
      </c>
      <c r="V41" s="1386" t="s">
        <v>5</v>
      </c>
      <c r="W41" s="1387">
        <f t="shared" si="11"/>
        <v>100</v>
      </c>
      <c r="X41" s="1380"/>
      <c r="Y41" s="389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92"/>
      <c r="Q42" s="1385">
        <f t="shared" si="13"/>
        <v>111</v>
      </c>
      <c r="R42" s="1390" t="s">
        <v>5</v>
      </c>
      <c r="S42" s="1391">
        <f t="shared" si="9"/>
        <v>100</v>
      </c>
      <c r="T42" s="1390" t="s">
        <v>5</v>
      </c>
      <c r="U42" s="1391">
        <f t="shared" si="10"/>
        <v>100</v>
      </c>
      <c r="V42" s="1390" t="s">
        <v>5</v>
      </c>
      <c r="W42" s="1391">
        <f t="shared" si="11"/>
        <v>100</v>
      </c>
      <c r="X42" s="1392"/>
      <c r="Y42" s="3892"/>
      <c r="Z42" s="1393">
        <f t="shared" si="12"/>
        <v>111</v>
      </c>
      <c r="AA42" s="1389">
        <f t="shared" si="3"/>
        <v>1</v>
      </c>
      <c r="AB42" s="1389">
        <f t="shared" si="4"/>
        <v>1</v>
      </c>
      <c r="AC42" s="1389">
        <f t="shared" si="5"/>
        <v>1</v>
      </c>
    </row>
    <row r="43" spans="1:29" ht="15">
      <c r="A43" s="577" t="s">
        <v>505</v>
      </c>
      <c r="B43" s="578" t="s">
        <v>3418</v>
      </c>
      <c r="C43" s="579" t="s">
        <v>0</v>
      </c>
      <c r="D43" s="580"/>
      <c r="E43" s="581">
        <f>土地案例!M3</f>
        <v>166</v>
      </c>
      <c r="F43" s="582"/>
      <c r="G43" s="583">
        <f>土地案例!M4</f>
        <v>166</v>
      </c>
      <c r="H43" s="584"/>
      <c r="I43" s="581">
        <f>土地案例!M5</f>
        <v>166</v>
      </c>
      <c r="J43" s="584"/>
      <c r="K43" s="1201"/>
      <c r="L43" s="1864"/>
      <c r="M43" s="1854"/>
      <c r="N43" s="1854"/>
      <c r="O43" s="1865"/>
      <c r="P43" s="3893" t="str">
        <f>A43</f>
        <v>成交单价</v>
      </c>
      <c r="Q43" s="3893"/>
      <c r="R43" s="3886">
        <f>E43</f>
        <v>166</v>
      </c>
      <c r="S43" s="3886"/>
      <c r="T43" s="3886">
        <f>G43</f>
        <v>166</v>
      </c>
      <c r="U43" s="3886"/>
      <c r="V43" s="3886">
        <f>I43</f>
        <v>166</v>
      </c>
      <c r="W43" s="3886"/>
      <c r="X43" s="1375"/>
      <c r="Y43" s="1394"/>
      <c r="Z43" s="1375"/>
      <c r="AA43" s="1375"/>
      <c r="AB43" s="1375"/>
      <c r="AC43" s="1375"/>
    </row>
    <row r="44" spans="1:29" ht="15.75" thickBot="1">
      <c r="A44" s="585" t="s">
        <v>1975</v>
      </c>
      <c r="B44" s="586"/>
      <c r="C44" s="587">
        <f>R45</f>
        <v>129</v>
      </c>
      <c r="D44" s="2753" t="s">
        <v>2257</v>
      </c>
      <c r="E44" s="587">
        <f>R44</f>
        <v>129</v>
      </c>
      <c r="F44" s="2754"/>
      <c r="G44" s="588">
        <f>T44</f>
        <v>129</v>
      </c>
      <c r="H44" s="2754"/>
      <c r="I44" s="587">
        <f>V44</f>
        <v>128</v>
      </c>
      <c r="J44" s="2754"/>
      <c r="K44" s="2755">
        <f>F44+H44+J44</f>
        <v>0</v>
      </c>
      <c r="L44" s="1864"/>
      <c r="M44" s="1854"/>
      <c r="N44" s="1854"/>
      <c r="O44" s="1865"/>
      <c r="P44" s="3893" t="str">
        <f>A44</f>
        <v>比较价格（元/平方米）</v>
      </c>
      <c r="Q44" s="3893"/>
      <c r="R44" s="3901">
        <f>ROUND(PRODUCT(R43,AA9:AA42),0)</f>
        <v>129</v>
      </c>
      <c r="S44" s="3901"/>
      <c r="T44" s="3901">
        <f>ROUND(PRODUCT(T43,AB9:AB42),0)</f>
        <v>129</v>
      </c>
      <c r="U44" s="3901"/>
      <c r="V44" s="3901">
        <f>ROUND(PRODUCT(V43,AC9:AC42),0)</f>
        <v>128</v>
      </c>
      <c r="W44" s="3901"/>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98" t="str">
        <f>A45</f>
        <v>估价对象XX用房的比较价格（楼面单价，元/平方米）</v>
      </c>
      <c r="Q45" s="3899"/>
      <c r="R45" s="3900">
        <f>ROUND(IF(D44="简单平均",AVERAGE(R44:W44),R44*F44+T44*H44+V44*J44),0)</f>
        <v>129</v>
      </c>
      <c r="S45" s="3900"/>
      <c r="T45" s="3900"/>
      <c r="U45" s="3900"/>
      <c r="V45" s="3900"/>
      <c r="W45" s="3900"/>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94" t="s">
        <v>1642</v>
      </c>
      <c r="H52" s="3895"/>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96"/>
      <c r="H53" s="3897"/>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3400</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3405</v>
      </c>
      <c r="D111" s="3671" t="s">
        <v>3406</v>
      </c>
      <c r="E111" s="3671" t="s">
        <v>3407</v>
      </c>
      <c r="F111" s="3671" t="s">
        <v>3408</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3409</v>
      </c>
      <c r="D113" s="656" t="s">
        <v>3410</v>
      </c>
      <c r="E113" s="656" t="s">
        <v>3404</v>
      </c>
      <c r="F113" s="656" t="s">
        <v>3411</v>
      </c>
      <c r="G113" s="656" t="s">
        <v>3412</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3413</v>
      </c>
      <c r="D115" s="656" t="s">
        <v>3403</v>
      </c>
      <c r="E115" s="686" t="s">
        <v>3401</v>
      </c>
      <c r="F115" s="686" t="s">
        <v>3402</v>
      </c>
      <c r="G115" s="686" t="s">
        <v>3414</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7" t="str">
        <f>项目基本情况!B1</f>
        <v>黑龙江省佳木斯富锦市建三江管局创业农业工业园区出让国有建设用地使用权市场价格预评估</v>
      </c>
      <c r="C37" s="3687"/>
      <c r="D37" s="3687"/>
      <c r="E37" s="3687"/>
      <c r="F37" s="3687"/>
      <c r="G37" s="3687"/>
      <c r="H37" s="3687"/>
      <c r="I37" s="368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3254</v>
      </c>
      <c r="B1" s="3657" t="s">
        <v>3255</v>
      </c>
      <c r="C1" s="3657" t="s">
        <v>3256</v>
      </c>
      <c r="D1" s="3657" t="s">
        <v>3257</v>
      </c>
      <c r="E1" s="3657" t="s">
        <v>3258</v>
      </c>
      <c r="F1" s="3657" t="s">
        <v>1550</v>
      </c>
      <c r="G1" s="3657" t="s">
        <v>3259</v>
      </c>
      <c r="H1" s="3657" t="s">
        <v>3260</v>
      </c>
      <c r="I1" s="3657" t="s">
        <v>3261</v>
      </c>
      <c r="J1" s="3657" t="s">
        <v>3262</v>
      </c>
      <c r="K1" s="3657" t="s">
        <v>3263</v>
      </c>
      <c r="L1" s="3657" t="s">
        <v>3264</v>
      </c>
      <c r="M1" s="3657" t="s">
        <v>3265</v>
      </c>
      <c r="N1" s="3657" t="s">
        <v>3266</v>
      </c>
      <c r="O1" s="3657" t="s">
        <v>3267</v>
      </c>
      <c r="P1" s="3657" t="s">
        <v>3268</v>
      </c>
    </row>
    <row r="2" spans="1:16" s="3672" customFormat="1">
      <c r="A2" s="3672" t="s">
        <v>3415</v>
      </c>
      <c r="B2" s="3672" t="s">
        <v>3269</v>
      </c>
      <c r="C2" s="3672" t="s">
        <v>3270</v>
      </c>
      <c r="D2" s="3672">
        <v>14000</v>
      </c>
      <c r="E2" s="3672">
        <v>14000</v>
      </c>
      <c r="F2" s="3672" t="s">
        <v>3271</v>
      </c>
      <c r="G2" s="3672" t="s">
        <v>3272</v>
      </c>
      <c r="H2" s="3673">
        <v>44862.000497685185</v>
      </c>
      <c r="I2" s="3672" t="s">
        <v>3273</v>
      </c>
      <c r="J2" s="3672" t="s">
        <v>3274</v>
      </c>
      <c r="K2" s="3672">
        <v>406</v>
      </c>
      <c r="L2" s="3672">
        <v>19.329999999999998</v>
      </c>
      <c r="M2" s="3672">
        <v>290</v>
      </c>
      <c r="N2" s="3672">
        <v>0</v>
      </c>
      <c r="O2" s="3672" t="s">
        <v>3275</v>
      </c>
      <c r="P2" s="3672">
        <f>ROUND(K2/D2*10000,0)</f>
        <v>290</v>
      </c>
    </row>
    <row r="3" spans="1:16" s="3659" customFormat="1">
      <c r="A3" s="3659" t="s">
        <v>3417</v>
      </c>
      <c r="B3" s="3659" t="s">
        <v>3276</v>
      </c>
      <c r="C3" s="3659" t="s">
        <v>3270</v>
      </c>
      <c r="D3" s="3659">
        <v>48110.9</v>
      </c>
      <c r="E3" s="3659">
        <v>48110.9</v>
      </c>
      <c r="F3" s="3659" t="s">
        <v>3271</v>
      </c>
      <c r="G3" s="3659" t="s">
        <v>3277</v>
      </c>
      <c r="H3" s="3660">
        <v>44854.000497685185</v>
      </c>
      <c r="I3" s="3659" t="s">
        <v>3416</v>
      </c>
      <c r="J3" s="3659" t="s">
        <v>3278</v>
      </c>
      <c r="K3" s="3659">
        <v>799</v>
      </c>
      <c r="L3" s="3659">
        <v>11.07</v>
      </c>
      <c r="M3" s="3659">
        <v>166</v>
      </c>
      <c r="N3" s="3659">
        <v>0</v>
      </c>
      <c r="O3" s="3659" t="s">
        <v>3275</v>
      </c>
      <c r="P3" s="3659">
        <f t="shared" ref="P3:P16" si="0">ROUND(K3/D3*10000,0)</f>
        <v>166</v>
      </c>
    </row>
    <row r="4" spans="1:16" s="3659" customFormat="1">
      <c r="A4" s="3659" t="s">
        <v>3279</v>
      </c>
      <c r="B4" s="3659" t="s">
        <v>3280</v>
      </c>
      <c r="C4" s="3659" t="s">
        <v>3270</v>
      </c>
      <c r="D4" s="3659">
        <v>46859.8</v>
      </c>
      <c r="E4" s="3659">
        <v>46859.8</v>
      </c>
      <c r="F4" s="3659" t="s">
        <v>3271</v>
      </c>
      <c r="G4" s="3659" t="s">
        <v>3277</v>
      </c>
      <c r="H4" s="3660">
        <v>44777.000497685185</v>
      </c>
      <c r="I4" s="3659" t="s">
        <v>3281</v>
      </c>
      <c r="J4" s="3659" t="s">
        <v>3282</v>
      </c>
      <c r="K4" s="3659">
        <v>778</v>
      </c>
      <c r="L4" s="3659">
        <v>11.07</v>
      </c>
      <c r="M4" s="3659">
        <v>166</v>
      </c>
      <c r="N4" s="3659">
        <v>0</v>
      </c>
      <c r="O4" s="3659" t="s">
        <v>3275</v>
      </c>
      <c r="P4" s="3659">
        <f t="shared" si="0"/>
        <v>166</v>
      </c>
    </row>
    <row r="5" spans="1:16" s="3659" customFormat="1">
      <c r="A5" s="3659" t="s">
        <v>3283</v>
      </c>
      <c r="B5" s="3659" t="s">
        <v>3284</v>
      </c>
      <c r="C5" s="3659" t="s">
        <v>3270</v>
      </c>
      <c r="D5" s="3659">
        <v>61570</v>
      </c>
      <c r="E5" s="3659">
        <v>61570</v>
      </c>
      <c r="F5" s="3659" t="s">
        <v>3271</v>
      </c>
      <c r="G5" s="3659" t="s">
        <v>3277</v>
      </c>
      <c r="H5" s="3660">
        <v>44723.000497685185</v>
      </c>
      <c r="I5" s="3659" t="s">
        <v>3285</v>
      </c>
      <c r="J5" s="3659" t="s">
        <v>3286</v>
      </c>
      <c r="K5" s="3659">
        <v>1023</v>
      </c>
      <c r="L5" s="3659">
        <v>11.08</v>
      </c>
      <c r="M5" s="3659">
        <v>166</v>
      </c>
      <c r="N5" s="3659">
        <v>0</v>
      </c>
      <c r="O5" s="3659" t="s">
        <v>3275</v>
      </c>
      <c r="P5" s="3659">
        <f t="shared" si="0"/>
        <v>166</v>
      </c>
    </row>
    <row r="6" spans="1:16">
      <c r="A6" s="3657" t="s">
        <v>3287</v>
      </c>
      <c r="B6" s="3657" t="s">
        <v>3288</v>
      </c>
      <c r="C6" s="3657" t="s">
        <v>3270</v>
      </c>
      <c r="D6" s="3657">
        <v>78406.820000000007</v>
      </c>
      <c r="E6" s="3657">
        <v>47044.09</v>
      </c>
      <c r="F6" s="3657" t="s">
        <v>3289</v>
      </c>
      <c r="G6" s="3657" t="s">
        <v>3277</v>
      </c>
      <c r="H6" s="3658">
        <v>44518.000497685185</v>
      </c>
      <c r="I6" s="3657" t="s">
        <v>3290</v>
      </c>
      <c r="J6" s="3657" t="s">
        <v>3291</v>
      </c>
      <c r="K6" s="3657">
        <v>1294</v>
      </c>
      <c r="L6" s="3657">
        <v>11</v>
      </c>
      <c r="M6" s="3657">
        <v>275</v>
      </c>
      <c r="N6" s="3657">
        <v>0</v>
      </c>
      <c r="O6" s="3657" t="s">
        <v>3275</v>
      </c>
      <c r="P6" s="3657">
        <f t="shared" si="0"/>
        <v>165</v>
      </c>
    </row>
    <row r="7" spans="1:16">
      <c r="A7" s="3657" t="s">
        <v>3292</v>
      </c>
      <c r="B7" s="3657" t="s">
        <v>3293</v>
      </c>
      <c r="C7" s="3657" t="s">
        <v>3270</v>
      </c>
      <c r="D7" s="3657">
        <v>12550.49</v>
      </c>
      <c r="E7" s="3657">
        <v>7530.29</v>
      </c>
      <c r="F7" s="3657" t="s">
        <v>3289</v>
      </c>
      <c r="G7" s="3657" t="s">
        <v>3277</v>
      </c>
      <c r="H7" s="3658">
        <v>44518.000497685185</v>
      </c>
      <c r="I7" s="3657" t="s">
        <v>3290</v>
      </c>
      <c r="J7" s="3657" t="s">
        <v>3294</v>
      </c>
      <c r="K7" s="3657">
        <v>21</v>
      </c>
      <c r="L7" s="3657">
        <v>1.1200000000000001</v>
      </c>
      <c r="M7" s="3657">
        <v>28</v>
      </c>
      <c r="N7" s="3657">
        <v>0</v>
      </c>
      <c r="O7" s="3657" t="s">
        <v>3295</v>
      </c>
      <c r="P7" s="3657">
        <f t="shared" si="0"/>
        <v>17</v>
      </c>
    </row>
    <row r="8" spans="1:16" s="3672" customFormat="1">
      <c r="A8" s="3672" t="s">
        <v>3296</v>
      </c>
      <c r="B8" s="3672" t="s">
        <v>3297</v>
      </c>
      <c r="C8" s="3672" t="s">
        <v>3270</v>
      </c>
      <c r="D8" s="3672">
        <v>145578</v>
      </c>
      <c r="E8" s="3672">
        <v>145578</v>
      </c>
      <c r="F8" s="3672" t="s">
        <v>3271</v>
      </c>
      <c r="G8" s="3672" t="s">
        <v>3272</v>
      </c>
      <c r="H8" s="3673">
        <v>44175.000497685185</v>
      </c>
      <c r="I8" s="3672" t="s">
        <v>3298</v>
      </c>
      <c r="J8" s="3672" t="s">
        <v>3299</v>
      </c>
      <c r="K8" s="3672">
        <v>1908</v>
      </c>
      <c r="L8" s="3672">
        <v>8.74</v>
      </c>
      <c r="M8" s="3672">
        <v>131</v>
      </c>
      <c r="N8" s="3672">
        <v>0</v>
      </c>
      <c r="O8" s="3672" t="s">
        <v>3275</v>
      </c>
      <c r="P8" s="3672">
        <f t="shared" si="0"/>
        <v>131</v>
      </c>
    </row>
    <row r="9" spans="1:16">
      <c r="A9" s="3657" t="s">
        <v>3300</v>
      </c>
      <c r="B9" s="3657" t="s">
        <v>3301</v>
      </c>
      <c r="C9" s="3657" t="s">
        <v>3270</v>
      </c>
      <c r="D9" s="3657">
        <v>49787</v>
      </c>
      <c r="E9" s="3657">
        <v>49787</v>
      </c>
      <c r="F9" s="3657" t="s">
        <v>3271</v>
      </c>
      <c r="G9" s="3657" t="s">
        <v>3277</v>
      </c>
      <c r="H9" s="3658">
        <v>44051.000497685185</v>
      </c>
      <c r="I9" s="3657" t="s">
        <v>3302</v>
      </c>
      <c r="J9" s="3657" t="s">
        <v>3303</v>
      </c>
      <c r="K9" s="3657">
        <v>61</v>
      </c>
      <c r="L9" s="3657">
        <v>0.82</v>
      </c>
      <c r="M9" s="3657">
        <v>12</v>
      </c>
      <c r="N9" s="3657">
        <v>0</v>
      </c>
      <c r="O9" s="3657" t="s">
        <v>3295</v>
      </c>
      <c r="P9" s="3657">
        <f t="shared" si="0"/>
        <v>12</v>
      </c>
    </row>
    <row r="10" spans="1:16">
      <c r="A10" s="3657" t="s">
        <v>3304</v>
      </c>
      <c r="B10" s="3657" t="s">
        <v>3305</v>
      </c>
      <c r="C10" s="3657" t="s">
        <v>3270</v>
      </c>
      <c r="D10" s="3657">
        <v>360392.75</v>
      </c>
      <c r="E10" s="3657">
        <v>360392.75</v>
      </c>
      <c r="F10" s="3657" t="s">
        <v>3271</v>
      </c>
      <c r="G10" s="3657" t="s">
        <v>3277</v>
      </c>
      <c r="H10" s="3658">
        <v>43939.000497685185</v>
      </c>
      <c r="I10" s="3657" t="s">
        <v>3306</v>
      </c>
      <c r="J10" s="3657" t="s">
        <v>3307</v>
      </c>
      <c r="K10" s="3657">
        <v>4541</v>
      </c>
      <c r="L10" s="3657">
        <v>8.4</v>
      </c>
      <c r="M10" s="3657">
        <v>126</v>
      </c>
      <c r="N10" s="3657">
        <v>0</v>
      </c>
      <c r="O10" s="3657" t="s">
        <v>3275</v>
      </c>
      <c r="P10" s="3657">
        <f t="shared" si="0"/>
        <v>126</v>
      </c>
    </row>
    <row r="11" spans="1:16">
      <c r="A11" s="3657" t="s">
        <v>3308</v>
      </c>
      <c r="B11" s="3657" t="s">
        <v>3309</v>
      </c>
      <c r="C11" s="3657" t="s">
        <v>3270</v>
      </c>
      <c r="D11" s="3657">
        <v>52845</v>
      </c>
      <c r="E11" s="3657">
        <v>52845</v>
      </c>
      <c r="F11" s="3657" t="s">
        <v>3271</v>
      </c>
      <c r="G11" s="3657" t="s">
        <v>3277</v>
      </c>
      <c r="H11" s="3658">
        <v>43774.000497685185</v>
      </c>
      <c r="I11" s="3657" t="s">
        <v>3310</v>
      </c>
      <c r="J11" s="3657" t="s">
        <v>3311</v>
      </c>
      <c r="K11" s="3657">
        <v>693</v>
      </c>
      <c r="L11" s="3657">
        <v>8.74</v>
      </c>
      <c r="M11" s="3657">
        <v>131</v>
      </c>
      <c r="N11" s="3657">
        <v>0</v>
      </c>
      <c r="O11" s="3657" t="s">
        <v>3275</v>
      </c>
      <c r="P11" s="3657">
        <f t="shared" si="0"/>
        <v>131</v>
      </c>
    </row>
    <row r="12" spans="1:16">
      <c r="A12" s="3657" t="s">
        <v>3312</v>
      </c>
      <c r="B12" s="3657" t="s">
        <v>3313</v>
      </c>
      <c r="C12" s="3657" t="s">
        <v>3270</v>
      </c>
      <c r="D12" s="3657">
        <v>410000</v>
      </c>
      <c r="E12" s="3657">
        <v>246000</v>
      </c>
      <c r="F12" s="3657" t="s">
        <v>3289</v>
      </c>
      <c r="G12" s="3657" t="s">
        <v>3277</v>
      </c>
      <c r="H12" s="3658">
        <v>43556.000497685185</v>
      </c>
      <c r="I12" s="3657" t="s">
        <v>3314</v>
      </c>
      <c r="J12" s="3657" t="s">
        <v>3315</v>
      </c>
      <c r="K12" s="3657">
        <v>5248</v>
      </c>
      <c r="L12" s="3657">
        <v>8.5299999999999994</v>
      </c>
      <c r="M12" s="3657">
        <v>213</v>
      </c>
      <c r="N12" s="3657">
        <v>0</v>
      </c>
      <c r="O12" s="3657" t="s">
        <v>3275</v>
      </c>
      <c r="P12" s="3657">
        <f t="shared" si="0"/>
        <v>128</v>
      </c>
    </row>
    <row r="13" spans="1:16">
      <c r="A13" s="3657" t="s">
        <v>3316</v>
      </c>
      <c r="B13" s="3657" t="s">
        <v>3317</v>
      </c>
      <c r="C13" s="3657" t="s">
        <v>3270</v>
      </c>
      <c r="D13" s="3657">
        <v>69320</v>
      </c>
      <c r="E13" s="3657">
        <v>69320</v>
      </c>
      <c r="F13" s="3657" t="s">
        <v>3271</v>
      </c>
      <c r="G13" s="3657" t="s">
        <v>3277</v>
      </c>
      <c r="H13" s="3658">
        <v>43429.000497685185</v>
      </c>
      <c r="I13" s="3657" t="s">
        <v>3318</v>
      </c>
      <c r="J13" s="3657" t="s">
        <v>3319</v>
      </c>
      <c r="K13" s="3657">
        <v>888</v>
      </c>
      <c r="L13" s="3657">
        <v>8.5399999999999991</v>
      </c>
      <c r="M13" s="3657">
        <v>128</v>
      </c>
      <c r="N13" s="3657">
        <v>0</v>
      </c>
      <c r="O13" s="3657" t="s">
        <v>3275</v>
      </c>
      <c r="P13" s="3657">
        <f t="shared" si="0"/>
        <v>128</v>
      </c>
    </row>
    <row r="14" spans="1:16">
      <c r="A14" s="3657" t="s">
        <v>3312</v>
      </c>
      <c r="B14" s="3657" t="s">
        <v>3320</v>
      </c>
      <c r="C14" s="3657" t="s">
        <v>3270</v>
      </c>
      <c r="D14" s="3657">
        <v>62384</v>
      </c>
      <c r="E14" s="3657">
        <v>62384</v>
      </c>
      <c r="F14" s="3657" t="s">
        <v>3271</v>
      </c>
      <c r="G14" s="3657" t="s">
        <v>3277</v>
      </c>
      <c r="H14" s="3658">
        <v>43400.000497685185</v>
      </c>
      <c r="I14" s="3657" t="s">
        <v>3321</v>
      </c>
      <c r="J14" s="3657" t="s">
        <v>3322</v>
      </c>
      <c r="K14" s="3657">
        <v>779</v>
      </c>
      <c r="L14" s="3657">
        <v>8.32</v>
      </c>
      <c r="M14" s="3657">
        <v>125</v>
      </c>
      <c r="N14" s="3657">
        <v>0</v>
      </c>
      <c r="O14" s="3657" t="s">
        <v>3275</v>
      </c>
      <c r="P14" s="3657">
        <f t="shared" si="0"/>
        <v>125</v>
      </c>
    </row>
    <row r="15" spans="1:16">
      <c r="A15" s="3657" t="s">
        <v>3312</v>
      </c>
      <c r="B15" s="3657" t="s">
        <v>3323</v>
      </c>
      <c r="C15" s="3657" t="s">
        <v>3270</v>
      </c>
      <c r="D15" s="3657">
        <v>29886</v>
      </c>
      <c r="E15" s="3657">
        <v>17931.599999999999</v>
      </c>
      <c r="F15" s="3657" t="s">
        <v>3289</v>
      </c>
      <c r="G15" s="3657" t="s">
        <v>3277</v>
      </c>
      <c r="H15" s="3658">
        <v>43273.000497685185</v>
      </c>
      <c r="I15" s="3657" t="s">
        <v>3324</v>
      </c>
      <c r="J15" s="3657" t="s">
        <v>3325</v>
      </c>
      <c r="K15" s="3657">
        <v>382</v>
      </c>
      <c r="L15" s="3657">
        <v>8.52</v>
      </c>
      <c r="M15" s="3657">
        <v>213</v>
      </c>
      <c r="N15" s="3657">
        <v>0</v>
      </c>
      <c r="O15" s="3657" t="s">
        <v>3275</v>
      </c>
      <c r="P15" s="3657">
        <f t="shared" si="0"/>
        <v>128</v>
      </c>
    </row>
    <row r="16" spans="1:16">
      <c r="A16" s="3657" t="s">
        <v>3312</v>
      </c>
      <c r="B16" s="3657" t="s">
        <v>3326</v>
      </c>
      <c r="C16" s="3657" t="s">
        <v>3270</v>
      </c>
      <c r="D16" s="3657">
        <v>50115</v>
      </c>
      <c r="E16" s="3657">
        <v>30069</v>
      </c>
      <c r="F16" s="3657" t="s">
        <v>3289</v>
      </c>
      <c r="G16" s="3657" t="s">
        <v>3277</v>
      </c>
      <c r="H16" s="3658">
        <v>43231.000497685185</v>
      </c>
      <c r="I16" s="3657" t="s">
        <v>3327</v>
      </c>
      <c r="J16" s="3657" t="s">
        <v>3325</v>
      </c>
      <c r="K16" s="3657">
        <v>642</v>
      </c>
      <c r="L16" s="3657">
        <v>8.5399999999999991</v>
      </c>
      <c r="M16" s="3657">
        <v>214</v>
      </c>
      <c r="N16" s="3657">
        <v>0</v>
      </c>
      <c r="O16" s="3657" t="s">
        <v>3275</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tabSelected="1" view="pageBreakPreview" zoomScale="90" zoomScaleNormal="80" zoomScaleSheetLayoutView="90" workbookViewId="0">
      <selection activeCell="C27" sqref="C27"/>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3422</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404</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86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51</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3</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3422</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2294</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0.878</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2295</v>
      </c>
      <c r="C23" s="3028">
        <f ca="1">ROUND((C18+C19+C20+C21)*F22,0)</f>
        <v>6029</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2" t="s">
        <v>1394</v>
      </c>
      <c r="B24" s="3903"/>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2" t="s">
        <v>2292</v>
      </c>
      <c r="B25" s="3903"/>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2" t="s">
        <v>2293</v>
      </c>
      <c r="B26" s="390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4" t="s">
        <v>2291</v>
      </c>
      <c r="B27" s="3905"/>
      <c r="C27" s="3041">
        <f ca="1">ROUND((C6-C23-C24-C25)/((1+F26)*(1+D20+F21)),0)</f>
        <v>404</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74" t="s">
        <v>471</v>
      </c>
      <c r="D6" s="3875"/>
      <c r="E6" s="3874" t="s">
        <v>472</v>
      </c>
      <c r="F6" s="3875"/>
      <c r="G6" s="3874" t="s">
        <v>473</v>
      </c>
      <c r="H6" s="3875"/>
      <c r="I6" s="3874" t="s">
        <v>474</v>
      </c>
      <c r="J6" s="3875"/>
      <c r="K6" s="484" t="s">
        <v>475</v>
      </c>
      <c r="L6" s="1853"/>
      <c r="M6" s="1852"/>
      <c r="N6" s="1852"/>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30" ht="20.25">
      <c r="A7" s="485"/>
      <c r="B7" s="486"/>
      <c r="C7" s="3864" t="s">
        <v>2189</v>
      </c>
      <c r="D7" s="3865"/>
      <c r="E7" s="3864" t="s">
        <v>2190</v>
      </c>
      <c r="F7" s="3865"/>
      <c r="G7" s="3864" t="s">
        <v>2191</v>
      </c>
      <c r="H7" s="3865"/>
      <c r="I7" s="3864" t="s">
        <v>2192</v>
      </c>
      <c r="J7" s="3865"/>
      <c r="K7" s="484"/>
      <c r="L7" s="1853"/>
      <c r="M7" s="1852"/>
      <c r="N7" s="1852"/>
      <c r="O7" s="1854"/>
      <c r="P7" s="3880"/>
      <c r="Q7" s="3881"/>
      <c r="R7" s="3862"/>
      <c r="S7" s="3863"/>
      <c r="T7" s="3862"/>
      <c r="U7" s="3863"/>
      <c r="V7" s="3886"/>
      <c r="W7" s="3886"/>
      <c r="X7" s="1380"/>
      <c r="Y7" s="3862"/>
      <c r="Z7" s="3863"/>
      <c r="AA7" s="3872"/>
      <c r="AB7" s="3872"/>
      <c r="AC7" s="3872"/>
    </row>
    <row r="8" spans="1:30" ht="21" thickBot="1">
      <c r="A8" s="485"/>
      <c r="B8" s="486"/>
      <c r="C8" s="3907" t="s">
        <v>2193</v>
      </c>
      <c r="D8" s="3908"/>
      <c r="E8" s="3907" t="s">
        <v>2193</v>
      </c>
      <c r="F8" s="3908"/>
      <c r="G8" s="3866" t="s">
        <v>2193</v>
      </c>
      <c r="H8" s="3867"/>
      <c r="I8" s="3866" t="s">
        <v>2193</v>
      </c>
      <c r="J8" s="3867"/>
      <c r="K8" s="484" t="s">
        <v>477</v>
      </c>
      <c r="L8" s="1853"/>
      <c r="M8" s="1852"/>
      <c r="N8" s="1852"/>
      <c r="O8" s="1854"/>
      <c r="P8" s="3882"/>
      <c r="Q8" s="3883"/>
      <c r="R8" s="3862"/>
      <c r="S8" s="3863"/>
      <c r="T8" s="3884"/>
      <c r="U8" s="3885"/>
      <c r="V8" s="3886"/>
      <c r="W8" s="3886"/>
      <c r="X8" s="1380"/>
      <c r="Y8" s="3884"/>
      <c r="Z8" s="3885"/>
      <c r="AA8" s="3873"/>
      <c r="AB8" s="3873"/>
      <c r="AC8" s="3873"/>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58" t="s">
        <v>479</v>
      </c>
      <c r="Q9" s="3868"/>
      <c r="R9" s="1381" t="s">
        <v>5</v>
      </c>
      <c r="S9" s="1382">
        <f t="shared" ref="S9:S17" si="0">F9</f>
        <v>0</v>
      </c>
      <c r="T9" s="1381" t="s">
        <v>5</v>
      </c>
      <c r="U9" s="1382">
        <f t="shared" ref="U9:U17" si="1">H9</f>
        <v>0</v>
      </c>
      <c r="V9" s="1381" t="s">
        <v>5</v>
      </c>
      <c r="W9" s="1382">
        <f t="shared" ref="W9:W17" si="2">J9</f>
        <v>0</v>
      </c>
      <c r="X9" s="1383"/>
      <c r="Y9" s="3858" t="s">
        <v>479</v>
      </c>
      <c r="Z9" s="3859"/>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58" t="s">
        <v>482</v>
      </c>
      <c r="Q10" s="3859"/>
      <c r="R10" s="1381" t="s">
        <v>5</v>
      </c>
      <c r="S10" s="1382">
        <f t="shared" si="0"/>
        <v>0</v>
      </c>
      <c r="T10" s="1381" t="s">
        <v>5</v>
      </c>
      <c r="U10" s="1382">
        <f t="shared" si="1"/>
        <v>0</v>
      </c>
      <c r="V10" s="1381" t="s">
        <v>5</v>
      </c>
      <c r="W10" s="1382">
        <f t="shared" si="2"/>
        <v>0</v>
      </c>
      <c r="X10" s="1383"/>
      <c r="Y10" s="3858" t="s">
        <v>482</v>
      </c>
      <c r="Z10" s="3859"/>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93"/>
      <c r="Q13" s="1050" t="str">
        <f t="shared" si="6"/>
        <v>容积率</v>
      </c>
      <c r="R13" s="1381" t="s">
        <v>5</v>
      </c>
      <c r="S13" s="1382" t="e">
        <f t="shared" si="0"/>
        <v>#N/A</v>
      </c>
      <c r="T13" s="1381" t="s">
        <v>5</v>
      </c>
      <c r="U13" s="1382" t="e">
        <f t="shared" si="1"/>
        <v>#N/A</v>
      </c>
      <c r="V13" s="1381" t="s">
        <v>5</v>
      </c>
      <c r="W13" s="1382" t="e">
        <f t="shared" si="2"/>
        <v>#N/A</v>
      </c>
      <c r="X13" s="1383"/>
      <c r="Y13" s="3807"/>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93"/>
      <c r="Q14" s="1050" t="str">
        <f t="shared" si="6"/>
        <v>配建</v>
      </c>
      <c r="R14" s="1381" t="s">
        <v>5</v>
      </c>
      <c r="S14" s="1382">
        <f t="shared" si="0"/>
        <v>100</v>
      </c>
      <c r="T14" s="1381" t="s">
        <v>5</v>
      </c>
      <c r="U14" s="1382">
        <f t="shared" si="1"/>
        <v>100</v>
      </c>
      <c r="V14" s="1381" t="s">
        <v>5</v>
      </c>
      <c r="W14" s="1382">
        <f t="shared" si="2"/>
        <v>100</v>
      </c>
      <c r="X14" s="1383"/>
      <c r="Y14" s="3807"/>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89" t="s">
        <v>489</v>
      </c>
      <c r="Q17" s="1385" t="str">
        <f t="shared" si="6"/>
        <v>居住社区成熟度</v>
      </c>
      <c r="R17" s="1386" t="s">
        <v>5</v>
      </c>
      <c r="S17" s="1387">
        <f t="shared" si="0"/>
        <v>100</v>
      </c>
      <c r="T17" s="1386" t="s">
        <v>5</v>
      </c>
      <c r="U17" s="1387">
        <f t="shared" si="1"/>
        <v>100</v>
      </c>
      <c r="V17" s="1386" t="s">
        <v>5</v>
      </c>
      <c r="W17" s="1387">
        <f t="shared" si="2"/>
        <v>100</v>
      </c>
      <c r="X17" s="1380"/>
      <c r="Y17" s="388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90"/>
      <c r="Q18" s="1385"/>
      <c r="R18" s="1386"/>
      <c r="S18" s="1387"/>
      <c r="T18" s="1386"/>
      <c r="U18" s="1387"/>
      <c r="V18" s="1386"/>
      <c r="W18" s="1387"/>
      <c r="X18" s="1380"/>
      <c r="Y18" s="389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90"/>
      <c r="Q19" s="1385" t="str">
        <f>B19</f>
        <v>商业繁华度</v>
      </c>
      <c r="R19" s="1386" t="s">
        <v>5</v>
      </c>
      <c r="S19" s="1387">
        <f>F19</f>
        <v>100</v>
      </c>
      <c r="T19" s="1386" t="s">
        <v>5</v>
      </c>
      <c r="U19" s="1387">
        <f>H19</f>
        <v>100</v>
      </c>
      <c r="V19" s="1386" t="s">
        <v>5</v>
      </c>
      <c r="W19" s="1387">
        <f>J19</f>
        <v>100</v>
      </c>
      <c r="X19" s="1380"/>
      <c r="Y19" s="389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90"/>
      <c r="Q20" s="1385"/>
      <c r="R20" s="1386"/>
      <c r="S20" s="1387"/>
      <c r="T20" s="1386"/>
      <c r="U20" s="1387"/>
      <c r="V20" s="1386"/>
      <c r="W20" s="1387"/>
      <c r="X20" s="1380"/>
      <c r="Y20" s="389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90"/>
      <c r="Q21" s="1385" t="str">
        <f>B21</f>
        <v>办公集聚程度</v>
      </c>
      <c r="R21" s="1386" t="s">
        <v>5</v>
      </c>
      <c r="S21" s="1387">
        <f>F21</f>
        <v>100</v>
      </c>
      <c r="T21" s="1386" t="s">
        <v>5</v>
      </c>
      <c r="U21" s="1387">
        <f>H21</f>
        <v>100</v>
      </c>
      <c r="V21" s="1386" t="s">
        <v>5</v>
      </c>
      <c r="W21" s="1387">
        <f>J21</f>
        <v>100</v>
      </c>
      <c r="X21" s="1380"/>
      <c r="Y21" s="389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90"/>
      <c r="Q22" s="1385"/>
      <c r="R22" s="1386"/>
      <c r="S22" s="1387"/>
      <c r="T22" s="1386"/>
      <c r="U22" s="1387"/>
      <c r="V22" s="1386"/>
      <c r="W22" s="1387"/>
      <c r="X22" s="1380"/>
      <c r="Y22" s="389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90"/>
      <c r="Q23" s="1385" t="str">
        <f>B23</f>
        <v>交通便捷度</v>
      </c>
      <c r="R23" s="1386" t="s">
        <v>5</v>
      </c>
      <c r="S23" s="1387">
        <f>F23</f>
        <v>100</v>
      </c>
      <c r="T23" s="1386" t="s">
        <v>5</v>
      </c>
      <c r="U23" s="1387">
        <f>H23</f>
        <v>100</v>
      </c>
      <c r="V23" s="1386" t="s">
        <v>5</v>
      </c>
      <c r="W23" s="1387">
        <f>J23</f>
        <v>100</v>
      </c>
      <c r="X23" s="1380"/>
      <c r="Y23" s="389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90"/>
      <c r="Q24" s="1385"/>
      <c r="R24" s="1386"/>
      <c r="S24" s="1387"/>
      <c r="T24" s="1386"/>
      <c r="U24" s="1387"/>
      <c r="V24" s="1386"/>
      <c r="W24" s="1387"/>
      <c r="X24" s="1380"/>
      <c r="Y24" s="389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90"/>
      <c r="Q25" s="1385" t="str">
        <f t="shared" ref="Q25:Q39" si="8">B25</f>
        <v>区域土地利用方向</v>
      </c>
      <c r="R25" s="1386" t="s">
        <v>5</v>
      </c>
      <c r="S25" s="1387">
        <f>F25</f>
        <v>100</v>
      </c>
      <c r="T25" s="1386" t="s">
        <v>5</v>
      </c>
      <c r="U25" s="1387">
        <f>H25</f>
        <v>100</v>
      </c>
      <c r="V25" s="1386" t="s">
        <v>5</v>
      </c>
      <c r="W25" s="1387">
        <f>J25</f>
        <v>100</v>
      </c>
      <c r="X25" s="1380"/>
      <c r="Y25" s="389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90"/>
      <c r="Q26" s="1385"/>
      <c r="R26" s="1386"/>
      <c r="S26" s="1387"/>
      <c r="T26" s="1386"/>
      <c r="U26" s="1387"/>
      <c r="V26" s="1386"/>
      <c r="W26" s="1387"/>
      <c r="X26" s="1380"/>
      <c r="Y26" s="389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90"/>
      <c r="Q27" s="1385" t="str">
        <f t="shared" si="8"/>
        <v>自然及人文环境状况</v>
      </c>
      <c r="R27" s="1386" t="s">
        <v>5</v>
      </c>
      <c r="S27" s="1387">
        <f>F27</f>
        <v>100</v>
      </c>
      <c r="T27" s="1386" t="s">
        <v>5</v>
      </c>
      <c r="U27" s="1387">
        <f>H27</f>
        <v>100</v>
      </c>
      <c r="V27" s="1386" t="s">
        <v>5</v>
      </c>
      <c r="W27" s="1387">
        <f>J27</f>
        <v>100</v>
      </c>
      <c r="X27" s="1380"/>
      <c r="Y27" s="389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90"/>
      <c r="Q28" s="1385"/>
      <c r="R28" s="1386"/>
      <c r="S28" s="1387"/>
      <c r="T28" s="1386"/>
      <c r="U28" s="1387"/>
      <c r="V28" s="1386"/>
      <c r="W28" s="1387"/>
      <c r="X28" s="1380"/>
      <c r="Y28" s="3890"/>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90"/>
      <c r="Q29" s="1050" t="str">
        <f t="shared" si="8"/>
        <v>公共配套设施</v>
      </c>
      <c r="R29" s="1381" t="s">
        <v>5</v>
      </c>
      <c r="S29" s="1382">
        <f>F29</f>
        <v>100</v>
      </c>
      <c r="T29" s="1381" t="s">
        <v>5</v>
      </c>
      <c r="U29" s="1382">
        <f>H29</f>
        <v>100</v>
      </c>
      <c r="V29" s="1381" t="s">
        <v>5</v>
      </c>
      <c r="W29" s="1382">
        <f>J29</f>
        <v>100</v>
      </c>
      <c r="X29" s="1383"/>
      <c r="Y29" s="389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90"/>
      <c r="Q30" s="1050"/>
      <c r="R30" s="1381"/>
      <c r="S30" s="1382"/>
      <c r="T30" s="1381"/>
      <c r="U30" s="1382"/>
      <c r="V30" s="1381"/>
      <c r="W30" s="1382"/>
      <c r="X30" s="1383"/>
      <c r="Y30" s="3890"/>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90"/>
      <c r="Q31" s="2189" t="str">
        <f>B31</f>
        <v>基础设施水平</v>
      </c>
      <c r="R31" s="1381" t="s">
        <v>5</v>
      </c>
      <c r="S31" s="1382">
        <f>F31</f>
        <v>100</v>
      </c>
      <c r="T31" s="1381" t="s">
        <v>5</v>
      </c>
      <c r="U31" s="1382">
        <f>H31</f>
        <v>100</v>
      </c>
      <c r="V31" s="1381" t="s">
        <v>5</v>
      </c>
      <c r="W31" s="1382">
        <f>J31</f>
        <v>100</v>
      </c>
      <c r="X31" s="1383"/>
      <c r="Y31" s="3890"/>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90"/>
      <c r="Q32" s="2189"/>
      <c r="R32" s="1381"/>
      <c r="S32" s="1382"/>
      <c r="T32" s="1381"/>
      <c r="U32" s="1382"/>
      <c r="V32" s="1381"/>
      <c r="W32" s="1382"/>
      <c r="X32" s="1383"/>
      <c r="Y32" s="3890"/>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9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90"/>
      <c r="Q34" s="1385" t="str">
        <f t="shared" si="8"/>
        <v>毗邻道路的类型与等级</v>
      </c>
      <c r="R34" s="1386" t="s">
        <v>5</v>
      </c>
      <c r="S34" s="1387">
        <f t="shared" si="9"/>
        <v>100</v>
      </c>
      <c r="T34" s="1386" t="s">
        <v>5</v>
      </c>
      <c r="U34" s="1387">
        <f t="shared" si="10"/>
        <v>100</v>
      </c>
      <c r="V34" s="1386" t="s">
        <v>5</v>
      </c>
      <c r="W34" s="1387">
        <f t="shared" si="11"/>
        <v>100</v>
      </c>
      <c r="X34" s="1380"/>
      <c r="Y34" s="389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90"/>
      <c r="Q35" s="1385"/>
      <c r="R35" s="1386"/>
      <c r="S35" s="1387"/>
      <c r="T35" s="1386"/>
      <c r="U35" s="1387"/>
      <c r="V35" s="1386"/>
      <c r="W35" s="1387"/>
      <c r="X35" s="1380"/>
      <c r="Y35" s="389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90"/>
      <c r="Q36" s="1385" t="str">
        <f t="shared" si="8"/>
        <v>土地级别</v>
      </c>
      <c r="R36" s="1386" t="s">
        <v>5</v>
      </c>
      <c r="S36" s="1387">
        <f t="shared" si="9"/>
        <v>100</v>
      </c>
      <c r="T36" s="1386" t="s">
        <v>5</v>
      </c>
      <c r="U36" s="1387">
        <f t="shared" si="10"/>
        <v>100</v>
      </c>
      <c r="V36" s="1386" t="s">
        <v>5</v>
      </c>
      <c r="W36" s="1387">
        <f t="shared" si="11"/>
        <v>100</v>
      </c>
      <c r="X36" s="1380"/>
      <c r="Y36" s="389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90"/>
      <c r="Q37" s="1385">
        <f t="shared" si="8"/>
        <v>111</v>
      </c>
      <c r="R37" s="1386" t="s">
        <v>5</v>
      </c>
      <c r="S37" s="1387">
        <f t="shared" si="9"/>
        <v>100</v>
      </c>
      <c r="T37" s="1386" t="s">
        <v>5</v>
      </c>
      <c r="U37" s="1387">
        <f t="shared" si="10"/>
        <v>100</v>
      </c>
      <c r="V37" s="1386" t="s">
        <v>5</v>
      </c>
      <c r="W37" s="1387">
        <f t="shared" si="11"/>
        <v>100</v>
      </c>
      <c r="X37" s="1380"/>
      <c r="Y37" s="389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91" t="s">
        <v>499</v>
      </c>
      <c r="Q38" s="1385">
        <f t="shared" si="8"/>
        <v>111</v>
      </c>
      <c r="R38" s="1386" t="s">
        <v>5</v>
      </c>
      <c r="S38" s="1387">
        <f t="shared" si="9"/>
        <v>100</v>
      </c>
      <c r="T38" s="1386" t="s">
        <v>5</v>
      </c>
      <c r="U38" s="1387">
        <f t="shared" si="10"/>
        <v>100</v>
      </c>
      <c r="V38" s="1386" t="s">
        <v>5</v>
      </c>
      <c r="W38" s="1387">
        <f t="shared" si="11"/>
        <v>100</v>
      </c>
      <c r="X38" s="1380"/>
      <c r="Y38" s="389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92"/>
      <c r="Q39" s="1385">
        <f t="shared" si="8"/>
        <v>111</v>
      </c>
      <c r="R39" s="1390" t="s">
        <v>5</v>
      </c>
      <c r="S39" s="1391">
        <f t="shared" si="9"/>
        <v>100</v>
      </c>
      <c r="T39" s="1390" t="s">
        <v>5</v>
      </c>
      <c r="U39" s="1391">
        <f t="shared" si="10"/>
        <v>100</v>
      </c>
      <c r="V39" s="1390" t="s">
        <v>5</v>
      </c>
      <c r="W39" s="1391">
        <f t="shared" si="11"/>
        <v>100</v>
      </c>
      <c r="X39" s="1392"/>
      <c r="Y39" s="3892"/>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92"/>
      <c r="Q40" s="1385" t="str">
        <f>B40</f>
        <v>宗地面积</v>
      </c>
      <c r="R40" s="1386" t="s">
        <v>5</v>
      </c>
      <c r="S40" s="1387" t="e">
        <f t="shared" si="9"/>
        <v>#N/A</v>
      </c>
      <c r="T40" s="1386" t="s">
        <v>5</v>
      </c>
      <c r="U40" s="1387" t="e">
        <f t="shared" si="10"/>
        <v>#N/A</v>
      </c>
      <c r="V40" s="1386" t="s">
        <v>5</v>
      </c>
      <c r="W40" s="1387" t="e">
        <f t="shared" si="11"/>
        <v>#N/A</v>
      </c>
      <c r="X40" s="1380"/>
      <c r="Y40" s="389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92"/>
      <c r="Q41" s="1385" t="str">
        <f t="shared" ref="Q41:Q47" si="13">B41</f>
        <v>宗地形状</v>
      </c>
      <c r="R41" s="1386" t="s">
        <v>5</v>
      </c>
      <c r="S41" s="1387">
        <f t="shared" si="9"/>
        <v>100</v>
      </c>
      <c r="T41" s="1386" t="s">
        <v>5</v>
      </c>
      <c r="U41" s="1387">
        <f t="shared" si="10"/>
        <v>100</v>
      </c>
      <c r="V41" s="1386" t="s">
        <v>5</v>
      </c>
      <c r="W41" s="1387">
        <f t="shared" si="11"/>
        <v>100</v>
      </c>
      <c r="X41" s="1380"/>
      <c r="Y41" s="389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92"/>
      <c r="Q42" s="1385" t="str">
        <f t="shared" si="13"/>
        <v>临街宽度及深度</v>
      </c>
      <c r="R42" s="1386" t="s">
        <v>5</v>
      </c>
      <c r="S42" s="1387">
        <f t="shared" si="9"/>
        <v>100</v>
      </c>
      <c r="T42" s="1386" t="s">
        <v>5</v>
      </c>
      <c r="U42" s="1387">
        <f t="shared" si="10"/>
        <v>100</v>
      </c>
      <c r="V42" s="1386" t="s">
        <v>5</v>
      </c>
      <c r="W42" s="1387">
        <f t="shared" si="11"/>
        <v>100</v>
      </c>
      <c r="X42" s="1380"/>
      <c r="Y42" s="3892"/>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92"/>
      <c r="Q43" s="1385" t="str">
        <f t="shared" si="13"/>
        <v>宗地开发程度</v>
      </c>
      <c r="R43" s="1381" t="s">
        <v>5</v>
      </c>
      <c r="S43" s="1382">
        <f t="shared" si="9"/>
        <v>100</v>
      </c>
      <c r="T43" s="1381" t="s">
        <v>5</v>
      </c>
      <c r="U43" s="1382">
        <f t="shared" si="10"/>
        <v>100</v>
      </c>
      <c r="V43" s="1381" t="s">
        <v>5</v>
      </c>
      <c r="W43" s="1382">
        <f t="shared" si="11"/>
        <v>100</v>
      </c>
      <c r="X43" s="1383"/>
      <c r="Y43" s="389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92" t="s">
        <v>499</v>
      </c>
      <c r="Q44" s="1385" t="str">
        <f t="shared" si="13"/>
        <v>工程地质条件</v>
      </c>
      <c r="R44" s="1386" t="s">
        <v>5</v>
      </c>
      <c r="S44" s="1387">
        <f t="shared" si="9"/>
        <v>100</v>
      </c>
      <c r="T44" s="1386" t="s">
        <v>5</v>
      </c>
      <c r="U44" s="1387">
        <f t="shared" si="10"/>
        <v>100</v>
      </c>
      <c r="V44" s="1386" t="s">
        <v>5</v>
      </c>
      <c r="W44" s="1387">
        <f t="shared" si="11"/>
        <v>100</v>
      </c>
      <c r="X44" s="1380"/>
      <c r="Y44" s="389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92"/>
      <c r="Q45" s="1385">
        <f t="shared" si="13"/>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92"/>
      <c r="Q46" s="1385">
        <f t="shared" si="13"/>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92"/>
      <c r="Q47" s="1385">
        <f t="shared" si="13"/>
        <v>111</v>
      </c>
      <c r="R47" s="1390" t="s">
        <v>5</v>
      </c>
      <c r="S47" s="1391">
        <f t="shared" si="9"/>
        <v>100</v>
      </c>
      <c r="T47" s="1390" t="s">
        <v>5</v>
      </c>
      <c r="U47" s="1391">
        <f t="shared" si="10"/>
        <v>100</v>
      </c>
      <c r="V47" s="1390" t="s">
        <v>5</v>
      </c>
      <c r="W47" s="1391">
        <f t="shared" si="11"/>
        <v>100</v>
      </c>
      <c r="X47" s="1392"/>
      <c r="Y47" s="3892"/>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93" t="str">
        <f>A48</f>
        <v>成交单价</v>
      </c>
      <c r="Q48" s="3893"/>
      <c r="R48" s="3886">
        <f>E48</f>
        <v>0</v>
      </c>
      <c r="S48" s="3886"/>
      <c r="T48" s="3886">
        <f>G48</f>
        <v>0</v>
      </c>
      <c r="U48" s="3886"/>
      <c r="V48" s="3886">
        <f>I48</f>
        <v>0</v>
      </c>
      <c r="W48" s="3886"/>
      <c r="X48" s="1375"/>
      <c r="Y48" s="1394"/>
      <c r="Z48" s="1375"/>
      <c r="AA48" s="1375"/>
      <c r="AB48" s="1375"/>
      <c r="AC48" s="1375"/>
    </row>
    <row r="49" spans="1:29" ht="21" thickBot="1">
      <c r="A49" s="585" t="s">
        <v>1975</v>
      </c>
      <c r="B49" s="586"/>
      <c r="C49" s="587" t="e">
        <f>R50</f>
        <v>#DIV/0!</v>
      </c>
      <c r="D49" s="2753" t="s">
        <v>2257</v>
      </c>
      <c r="E49" s="587" t="e">
        <f>R49</f>
        <v>#DIV/0!</v>
      </c>
      <c r="F49" s="2754"/>
      <c r="G49" s="588" t="e">
        <f>T49</f>
        <v>#DIV/0!</v>
      </c>
      <c r="H49" s="2754"/>
      <c r="I49" s="587" t="e">
        <f>V49</f>
        <v>#DIV/0!</v>
      </c>
      <c r="J49" s="2754"/>
      <c r="K49" s="2755">
        <f>F49+H49+J49</f>
        <v>0</v>
      </c>
      <c r="L49" s="1864"/>
      <c r="M49" s="1852"/>
      <c r="N49" s="1852"/>
      <c r="O49" s="1865"/>
      <c r="P49" s="3893" t="str">
        <f>A49</f>
        <v>比较价格（元/平方米）</v>
      </c>
      <c r="Q49" s="3893"/>
      <c r="R49" s="3901" t="e">
        <f>ROUND(PRODUCT(R48,AA9:AA47),0)</f>
        <v>#DIV/0!</v>
      </c>
      <c r="S49" s="3901"/>
      <c r="T49" s="3901" t="e">
        <f>ROUND(PRODUCT(T48,AB9:AB47),0)</f>
        <v>#DIV/0!</v>
      </c>
      <c r="U49" s="3901"/>
      <c r="V49" s="3901" t="e">
        <f>ROUND(PRODUCT(V48,AC9:AC47),0)</f>
        <v>#DIV/0!</v>
      </c>
      <c r="W49" s="3901"/>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98" t="str">
        <f>A50</f>
        <v>估价对象XX用房的比较价格（楼面单价，元/平方米）</v>
      </c>
      <c r="Q50" s="3899"/>
      <c r="R50" s="3906" t="e">
        <f>ROUND(IF(D49="简单平均",AVERAGE(R49:W49),R49*F49+T49*H49+V49*J49),0)</f>
        <v>#DIV/0!</v>
      </c>
      <c r="S50" s="3906"/>
      <c r="T50" s="3906"/>
      <c r="U50" s="3906"/>
      <c r="V50" s="3906"/>
      <c r="W50" s="3906"/>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09" t="s">
        <v>1639</v>
      </c>
      <c r="H57" s="3910"/>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11"/>
      <c r="H58" s="3912"/>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H23" sqref="H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3193</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14" t="s">
        <v>2060</v>
      </c>
      <c r="X8" s="3915"/>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13"/>
      <c r="X9" s="2408" t="s">
        <v>3216</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13"/>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3194</v>
      </c>
      <c r="B12" s="3501" t="s">
        <v>3195</v>
      </c>
      <c r="C12" s="3507">
        <v>1.02</v>
      </c>
      <c r="D12" s="3502" t="s">
        <v>3196</v>
      </c>
      <c r="E12" s="3503" t="s">
        <v>3197</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3198</v>
      </c>
      <c r="B13" s="1283" t="s">
        <v>874</v>
      </c>
      <c r="C13" s="3521">
        <f>ROUND(C16*D16*E16*F16*G16*H16*I16*J16,4)</f>
        <v>0</v>
      </c>
      <c r="D13" s="3539" t="s">
        <v>3199</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3200</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3201</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3205</v>
      </c>
      <c r="E18" s="3558"/>
      <c r="F18" s="3555" t="s">
        <v>3208</v>
      </c>
      <c r="G18" s="3557">
        <f>ROUND(1-(1/(POWER(1+G24,E18))),4)</f>
        <v>0</v>
      </c>
      <c r="H18" s="3555" t="s">
        <v>3210</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3206</v>
      </c>
      <c r="E19" s="3560"/>
      <c r="F19" s="3556" t="s">
        <v>3209</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24" t="s">
        <v>1370</v>
      </c>
      <c r="B20" s="1278" t="s">
        <v>875</v>
      </c>
      <c r="C20" s="998" t="e">
        <f>ROUND(IF(F21="与级别开发程度一致",0,(G21-E21)/C21),0)</f>
        <v>#DIV/0!</v>
      </c>
      <c r="D20" s="3919" t="s">
        <v>879</v>
      </c>
      <c r="E20" s="3920"/>
      <c r="F20" s="3919" t="s">
        <v>876</v>
      </c>
      <c r="G20" s="3920"/>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2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15.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3432</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3211</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3238</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3213</v>
      </c>
      <c r="G33" s="1327"/>
      <c r="H33" s="1327"/>
      <c r="I33" s="1327"/>
      <c r="J33" s="1328"/>
      <c r="K33" s="2979"/>
      <c r="L33" s="3633" t="s">
        <v>3239</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3214</v>
      </c>
      <c r="G34" s="1332"/>
      <c r="H34" s="1332"/>
      <c r="I34" s="1332"/>
      <c r="J34" s="1333"/>
      <c r="K34" s="2972"/>
      <c r="L34" s="3633" t="s">
        <v>3240</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21"/>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21"/>
      <c r="K37" s="3636" t="s">
        <v>3242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22"/>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2"/>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22"/>
      <c r="B39" s="3565"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22"/>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3243</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3227</v>
      </c>
      <c r="B92" s="3568"/>
      <c r="C92" s="3568" t="s">
        <v>3232</v>
      </c>
      <c r="D92" s="3568" t="s">
        <v>3219</v>
      </c>
      <c r="E92" s="3625" t="s">
        <v>3220</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3229</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3221</v>
      </c>
      <c r="B96" s="3572" t="s">
        <v>3222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3230</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3231</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3224</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3225</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26" t="s">
        <v>1172</v>
      </c>
      <c r="B104" s="3926"/>
      <c r="C104" s="3926"/>
      <c r="D104" s="3926"/>
      <c r="E104" s="3926"/>
      <c r="F104" s="3926"/>
      <c r="G104" s="3926"/>
      <c r="H104" s="3926"/>
      <c r="I104" s="3926"/>
      <c r="J104" s="3926"/>
      <c r="K104" s="2100"/>
      <c r="L104" s="2100"/>
      <c r="M104" s="2100"/>
      <c r="N104" s="2100"/>
    </row>
    <row r="105" spans="1:36">
      <c r="A105" s="3927" t="s">
        <v>1161</v>
      </c>
      <c r="B105" s="3927" t="s">
        <v>1173</v>
      </c>
      <c r="C105" s="1041" t="s">
        <v>1174</v>
      </c>
      <c r="D105" s="1042"/>
      <c r="E105" s="1042"/>
      <c r="F105" s="1042"/>
      <c r="G105" s="1042"/>
      <c r="H105" s="1042"/>
      <c r="I105" s="1042"/>
      <c r="J105" s="1043"/>
      <c r="K105" s="1035"/>
      <c r="L105" s="1035"/>
      <c r="M105" s="1035"/>
      <c r="N105" s="1035"/>
    </row>
    <row r="106" spans="1:36">
      <c r="A106" s="3927"/>
      <c r="B106" s="392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7"/>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3" t="s">
        <v>1175</v>
      </c>
      <c r="B114" s="3923"/>
      <c r="C114" s="3923"/>
      <c r="D114" s="3923"/>
      <c r="E114" s="3923"/>
      <c r="F114" s="3923"/>
      <c r="G114" s="3923"/>
      <c r="H114" s="3923"/>
      <c r="I114" s="3923"/>
      <c r="J114" s="392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3234</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3235</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3236</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3237</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3218</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28" t="s">
        <v>2737</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2763</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2735</v>
      </c>
      <c r="B7" s="3242">
        <v>2.5</v>
      </c>
      <c r="C7" s="3242">
        <v>2.5</v>
      </c>
      <c r="D7" s="3242">
        <v>2</v>
      </c>
      <c r="E7" s="3242">
        <v>2</v>
      </c>
      <c r="F7" s="3242">
        <v>2</v>
      </c>
      <c r="G7" s="3242">
        <v>2</v>
      </c>
      <c r="H7" s="3242">
        <v>2</v>
      </c>
      <c r="I7" s="3243">
        <v>1.5</v>
      </c>
      <c r="J7" s="3243">
        <v>1.5</v>
      </c>
      <c r="K7" s="3243">
        <v>1.5</v>
      </c>
      <c r="L7" s="3243">
        <v>1.5</v>
      </c>
      <c r="M7" s="3244">
        <v>1.5</v>
      </c>
    </row>
    <row r="8" spans="1:13">
      <c r="A8" s="1027" t="s">
        <v>2764</v>
      </c>
      <c r="B8" s="3245">
        <v>80</v>
      </c>
      <c r="C8" s="3245">
        <v>80</v>
      </c>
      <c r="D8" s="3245">
        <v>70</v>
      </c>
      <c r="E8" s="3245">
        <v>70</v>
      </c>
      <c r="F8" s="3245">
        <v>70</v>
      </c>
      <c r="G8" s="3245">
        <v>70</v>
      </c>
      <c r="H8" s="3245">
        <v>70</v>
      </c>
      <c r="I8" s="3245">
        <v>60</v>
      </c>
      <c r="J8" s="3245">
        <v>60</v>
      </c>
      <c r="K8" s="3245">
        <v>60</v>
      </c>
      <c r="L8" s="3245">
        <v>60</v>
      </c>
      <c r="M8" s="3246">
        <v>60</v>
      </c>
    </row>
    <row r="9" spans="1:13">
      <c r="A9" s="1009" t="s">
        <v>2765</v>
      </c>
      <c r="B9" s="3247">
        <v>70</v>
      </c>
      <c r="C9" s="3247">
        <v>70</v>
      </c>
      <c r="D9" s="3247">
        <v>60</v>
      </c>
      <c r="E9" s="3247">
        <v>60</v>
      </c>
      <c r="F9" s="3247">
        <v>60</v>
      </c>
      <c r="G9" s="3247">
        <v>60</v>
      </c>
      <c r="H9" s="3247">
        <v>60</v>
      </c>
      <c r="I9" s="3247">
        <v>50</v>
      </c>
      <c r="J9" s="3247">
        <v>50</v>
      </c>
      <c r="K9" s="3247">
        <v>50</v>
      </c>
      <c r="L9" s="3247">
        <v>50</v>
      </c>
      <c r="M9" s="3248">
        <v>50</v>
      </c>
    </row>
    <row r="10" spans="1:13">
      <c r="A10" s="1009" t="s">
        <v>2766</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2767</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2768</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2769</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2770</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2771</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2772</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2454</v>
      </c>
      <c r="B19" s="3251" t="s">
        <v>2455</v>
      </c>
      <c r="C19" s="3252" t="s">
        <v>2456</v>
      </c>
      <c r="D19" s="3253"/>
      <c r="E19" s="3247" t="s">
        <v>2457</v>
      </c>
      <c r="F19" s="1033"/>
      <c r="G19" s="1033"/>
    </row>
    <row r="20" spans="1:13" s="1408" customFormat="1">
      <c r="A20" s="3928" t="s">
        <v>2448</v>
      </c>
      <c r="B20" s="3931" t="s">
        <v>2458</v>
      </c>
      <c r="C20" s="3254" t="s">
        <v>2459</v>
      </c>
      <c r="D20" s="3255"/>
      <c r="E20" s="3256">
        <v>1</v>
      </c>
      <c r="F20" s="3257" t="s">
        <v>2460</v>
      </c>
      <c r="G20" s="1035"/>
      <c r="H20" s="1025"/>
      <c r="I20" s="1025"/>
    </row>
    <row r="21" spans="1:13" s="1408" customFormat="1">
      <c r="A21" s="3929"/>
      <c r="B21" s="3932"/>
      <c r="C21" s="3258" t="s">
        <v>2461</v>
      </c>
      <c r="D21" s="3259"/>
      <c r="E21" s="3260">
        <v>1</v>
      </c>
      <c r="F21" s="3257" t="s">
        <v>2462</v>
      </c>
      <c r="G21" s="1035"/>
      <c r="H21" s="1025"/>
      <c r="I21" s="1025"/>
    </row>
    <row r="22" spans="1:13" s="1408" customFormat="1">
      <c r="A22" s="3929"/>
      <c r="B22" s="3932"/>
      <c r="C22" s="3258" t="s">
        <v>2463</v>
      </c>
      <c r="D22" s="3259"/>
      <c r="E22" s="3260">
        <v>0.9</v>
      </c>
      <c r="F22" s="3257" t="s">
        <v>2464</v>
      </c>
      <c r="G22" s="1035"/>
      <c r="H22" s="1025"/>
      <c r="I22" s="1025"/>
    </row>
    <row r="23" spans="1:13" s="1408" customFormat="1">
      <c r="A23" s="3929"/>
      <c r="B23" s="3932"/>
      <c r="C23" s="3258" t="s">
        <v>2465</v>
      </c>
      <c r="D23" s="3259"/>
      <c r="E23" s="3260">
        <v>0.9</v>
      </c>
      <c r="F23" s="3257" t="s">
        <v>2466</v>
      </c>
      <c r="G23" s="1035"/>
      <c r="H23" s="1025"/>
      <c r="I23" s="1025"/>
    </row>
    <row r="24" spans="1:13" s="1408" customFormat="1">
      <c r="A24" s="3929"/>
      <c r="B24" s="3932"/>
      <c r="C24" s="3258" t="s">
        <v>2467</v>
      </c>
      <c r="D24" s="3259"/>
      <c r="E24" s="3260">
        <v>0.8</v>
      </c>
      <c r="F24" s="3257" t="s">
        <v>2468</v>
      </c>
      <c r="G24" s="1035"/>
      <c r="H24" s="1025"/>
      <c r="I24" s="1025"/>
    </row>
    <row r="25" spans="1:13" s="1408" customFormat="1" ht="14.25" thickBot="1">
      <c r="A25" s="3930"/>
      <c r="B25" s="3933"/>
      <c r="C25" s="3261" t="s">
        <v>2469</v>
      </c>
      <c r="D25" s="3262"/>
      <c r="E25" s="3263">
        <v>0.8</v>
      </c>
      <c r="F25" s="3257" t="s">
        <v>2470</v>
      </c>
      <c r="G25" s="1035"/>
      <c r="H25" s="1025"/>
      <c r="I25" s="1025"/>
    </row>
    <row r="26" spans="1:13" s="1408" customFormat="1" ht="14.25" thickBot="1">
      <c r="A26" s="3264" t="s">
        <v>2449</v>
      </c>
      <c r="B26" s="3265" t="s">
        <v>2458</v>
      </c>
      <c r="C26" s="3266" t="s">
        <v>2471</v>
      </c>
      <c r="D26" s="3267"/>
      <c r="E26" s="3268">
        <v>1</v>
      </c>
      <c r="F26" s="3257" t="s">
        <v>2472</v>
      </c>
      <c r="G26" s="1035"/>
      <c r="H26" s="1025"/>
      <c r="I26" s="1025"/>
    </row>
    <row r="27" spans="1:13" s="1408" customFormat="1">
      <c r="A27" s="3934" t="s">
        <v>2453</v>
      </c>
      <c r="B27" s="3931" t="s">
        <v>2453</v>
      </c>
      <c r="C27" s="3254" t="s">
        <v>2473</v>
      </c>
      <c r="D27" s="3255"/>
      <c r="E27" s="3256">
        <v>1</v>
      </c>
      <c r="F27" s="3257" t="s">
        <v>2474</v>
      </c>
      <c r="G27" s="1035"/>
      <c r="H27" s="1025"/>
      <c r="I27" s="1025"/>
    </row>
    <row r="28" spans="1:13" s="1408" customFormat="1">
      <c r="A28" s="3935"/>
      <c r="B28" s="3932"/>
      <c r="C28" s="3258" t="s">
        <v>2475</v>
      </c>
      <c r="D28" s="3259"/>
      <c r="E28" s="3260">
        <v>1</v>
      </c>
      <c r="F28" s="3257" t="s">
        <v>2476</v>
      </c>
      <c r="G28" s="1035"/>
      <c r="H28" s="1025"/>
      <c r="I28" s="1025"/>
    </row>
    <row r="29" spans="1:13" s="1408" customFormat="1">
      <c r="A29" s="3935"/>
      <c r="B29" s="3932"/>
      <c r="C29" s="3258" t="s">
        <v>2477</v>
      </c>
      <c r="D29" s="3259"/>
      <c r="E29" s="3260">
        <v>0.8</v>
      </c>
      <c r="F29" s="3257" t="s">
        <v>2478</v>
      </c>
      <c r="G29" s="1035"/>
      <c r="H29" s="1025"/>
      <c r="I29" s="1025"/>
    </row>
    <row r="30" spans="1:13" s="1408" customFormat="1">
      <c r="A30" s="3935"/>
      <c r="B30" s="3932"/>
      <c r="C30" s="3258" t="s">
        <v>2479</v>
      </c>
      <c r="D30" s="3259"/>
      <c r="E30" s="3260">
        <v>0.8</v>
      </c>
      <c r="F30" s="3257" t="s">
        <v>2480</v>
      </c>
      <c r="G30" s="1035"/>
      <c r="H30" s="1025"/>
      <c r="I30" s="1025"/>
    </row>
    <row r="31" spans="1:13" s="1408" customFormat="1">
      <c r="A31" s="3935"/>
      <c r="B31" s="3932"/>
      <c r="C31" s="3258" t="s">
        <v>2481</v>
      </c>
      <c r="D31" s="3259"/>
      <c r="E31" s="3260">
        <v>0.8</v>
      </c>
      <c r="F31" s="3257" t="s">
        <v>2482</v>
      </c>
      <c r="G31" s="1035"/>
      <c r="H31" s="1025"/>
      <c r="I31" s="1025"/>
    </row>
    <row r="32" spans="1:13" s="1408" customFormat="1">
      <c r="A32" s="3935"/>
      <c r="B32" s="3932"/>
      <c r="C32" s="3258" t="s">
        <v>2483</v>
      </c>
      <c r="D32" s="3259"/>
      <c r="E32" s="3260">
        <v>0.7</v>
      </c>
      <c r="F32" s="3257" t="s">
        <v>2484</v>
      </c>
      <c r="G32" s="1035"/>
      <c r="H32" s="1025"/>
      <c r="I32" s="1025"/>
    </row>
    <row r="33" spans="1:9" s="1408" customFormat="1">
      <c r="A33" s="3935"/>
      <c r="B33" s="3932"/>
      <c r="C33" s="3258" t="s">
        <v>2485</v>
      </c>
      <c r="D33" s="3259"/>
      <c r="E33" s="3260">
        <v>0.8</v>
      </c>
      <c r="F33" s="3257" t="s">
        <v>2486</v>
      </c>
      <c r="G33" s="1035"/>
      <c r="H33" s="1025"/>
      <c r="I33" s="1025"/>
    </row>
    <row r="34" spans="1:9" s="1408" customFormat="1">
      <c r="A34" s="3935"/>
      <c r="B34" s="3932"/>
      <c r="C34" s="3258" t="s">
        <v>2487</v>
      </c>
      <c r="D34" s="3259"/>
      <c r="E34" s="3260">
        <v>0.6</v>
      </c>
      <c r="F34" s="3257" t="s">
        <v>2488</v>
      </c>
      <c r="G34" s="1035"/>
      <c r="H34" s="1025"/>
      <c r="I34" s="1025"/>
    </row>
    <row r="35" spans="1:9" s="1408" customFormat="1">
      <c r="A35" s="3935"/>
      <c r="B35" s="3932"/>
      <c r="C35" s="3258" t="s">
        <v>2489</v>
      </c>
      <c r="D35" s="3259"/>
      <c r="E35" s="3260">
        <v>0.2</v>
      </c>
      <c r="F35" s="3257" t="s">
        <v>2490</v>
      </c>
      <c r="G35" s="1035"/>
      <c r="H35" s="1025"/>
      <c r="I35" s="1025"/>
    </row>
    <row r="36" spans="1:9" s="1408" customFormat="1">
      <c r="A36" s="3935"/>
      <c r="B36" s="3932"/>
      <c r="C36" s="3258" t="s">
        <v>2491</v>
      </c>
      <c r="D36" s="3259"/>
      <c r="E36" s="3260">
        <v>0.2</v>
      </c>
      <c r="F36" s="3257" t="s">
        <v>2492</v>
      </c>
      <c r="G36" s="1035"/>
      <c r="H36" s="1025"/>
      <c r="I36" s="1025"/>
    </row>
    <row r="37" spans="1:9" s="1408" customFormat="1">
      <c r="A37" s="3935"/>
      <c r="B37" s="3937" t="s">
        <v>2493</v>
      </c>
      <c r="C37" s="3258" t="s">
        <v>2494</v>
      </c>
      <c r="D37" s="3259"/>
      <c r="E37" s="3260">
        <v>0.6</v>
      </c>
      <c r="F37" s="3257" t="s">
        <v>2495</v>
      </c>
      <c r="G37" s="1035"/>
      <c r="H37" s="1025"/>
      <c r="I37" s="1025"/>
    </row>
    <row r="38" spans="1:9" s="1408" customFormat="1">
      <c r="A38" s="3935"/>
      <c r="B38" s="3932"/>
      <c r="C38" s="3258" t="s">
        <v>2496</v>
      </c>
      <c r="D38" s="3259"/>
      <c r="E38" s="3260">
        <v>0.6</v>
      </c>
      <c r="F38" s="3257" t="s">
        <v>2497</v>
      </c>
      <c r="G38" s="1035"/>
      <c r="H38" s="1025"/>
      <c r="I38" s="1025"/>
    </row>
    <row r="39" spans="1:9" s="1408" customFormat="1" ht="14.25" thickBot="1">
      <c r="A39" s="3936"/>
      <c r="B39" s="3933"/>
      <c r="C39" s="3261" t="s">
        <v>2498</v>
      </c>
      <c r="D39" s="3262"/>
      <c r="E39" s="3263">
        <v>0.6</v>
      </c>
      <c r="F39" s="3257" t="s">
        <v>2499</v>
      </c>
      <c r="G39" s="1035"/>
      <c r="H39" s="1025"/>
      <c r="I39" s="1025"/>
    </row>
    <row r="40" spans="1:9" s="1408" customFormat="1" ht="14.25" thickBot="1">
      <c r="A40" s="3264" t="s">
        <v>2450</v>
      </c>
      <c r="B40" s="3265" t="s">
        <v>2450</v>
      </c>
      <c r="C40" s="3266" t="s">
        <v>2500</v>
      </c>
      <c r="D40" s="3267"/>
      <c r="E40" s="3268">
        <v>1</v>
      </c>
      <c r="F40" s="3257" t="s">
        <v>2501</v>
      </c>
      <c r="G40" s="1035"/>
      <c r="H40" s="1025"/>
      <c r="I40" s="1025"/>
    </row>
    <row r="41" spans="1:9" s="1408" customFormat="1">
      <c r="A41" s="3928" t="s">
        <v>2451</v>
      </c>
      <c r="B41" s="3931" t="s">
        <v>2502</v>
      </c>
      <c r="C41" s="3254" t="s">
        <v>2503</v>
      </c>
      <c r="D41" s="3255"/>
      <c r="E41" s="3256">
        <v>1</v>
      </c>
      <c r="F41" s="3257" t="s">
        <v>2504</v>
      </c>
      <c r="G41" s="1035"/>
      <c r="H41" s="1025"/>
      <c r="I41" s="1025"/>
    </row>
    <row r="42" spans="1:9" s="1408" customFormat="1">
      <c r="A42" s="3929"/>
      <c r="B42" s="3932"/>
      <c r="C42" s="3258" t="s">
        <v>2505</v>
      </c>
      <c r="D42" s="3259"/>
      <c r="E42" s="3260">
        <v>1</v>
      </c>
      <c r="F42" s="3257" t="s">
        <v>2506</v>
      </c>
      <c r="G42" s="1035"/>
      <c r="H42" s="1025"/>
      <c r="I42" s="1025"/>
    </row>
    <row r="43" spans="1:9" s="1408" customFormat="1">
      <c r="A43" s="3929"/>
      <c r="B43" s="3938"/>
      <c r="C43" s="3258" t="s">
        <v>2507</v>
      </c>
      <c r="D43" s="3259"/>
      <c r="E43" s="3260">
        <v>1.5</v>
      </c>
      <c r="F43" s="3257" t="s">
        <v>2508</v>
      </c>
      <c r="G43" s="1035"/>
      <c r="H43" s="1025"/>
      <c r="I43" s="1025"/>
    </row>
    <row r="44" spans="1:9" s="1408" customFormat="1">
      <c r="A44" s="3929"/>
      <c r="B44" s="3269" t="s">
        <v>2453</v>
      </c>
      <c r="C44" s="3258" t="s">
        <v>2452</v>
      </c>
      <c r="D44" s="3259"/>
      <c r="E44" s="3260">
        <v>2</v>
      </c>
      <c r="F44" s="3257" t="s">
        <v>2509</v>
      </c>
      <c r="G44" s="1035"/>
      <c r="H44" s="1025"/>
      <c r="I44" s="1025"/>
    </row>
    <row r="45" spans="1:9" s="1408" customFormat="1">
      <c r="A45" s="3929"/>
      <c r="B45" s="3937" t="s">
        <v>2510</v>
      </c>
      <c r="C45" s="3258" t="s">
        <v>2511</v>
      </c>
      <c r="D45" s="3259"/>
      <c r="E45" s="3260">
        <v>1</v>
      </c>
      <c r="F45" s="3257" t="s">
        <v>2512</v>
      </c>
      <c r="G45" s="1035"/>
      <c r="H45" s="1025"/>
      <c r="I45" s="1025"/>
    </row>
    <row r="46" spans="1:9" s="1408" customFormat="1">
      <c r="A46" s="3929"/>
      <c r="B46" s="3932"/>
      <c r="C46" s="3258" t="s">
        <v>2513</v>
      </c>
      <c r="D46" s="3259"/>
      <c r="E46" s="3260">
        <v>1</v>
      </c>
      <c r="F46" s="3257" t="s">
        <v>2514</v>
      </c>
      <c r="G46" s="1035"/>
      <c r="H46" s="1025"/>
      <c r="I46" s="1025"/>
    </row>
    <row r="47" spans="1:9" s="1408" customFormat="1">
      <c r="A47" s="3929"/>
      <c r="B47" s="3932"/>
      <c r="C47" s="3258" t="s">
        <v>2515</v>
      </c>
      <c r="D47" s="3259"/>
      <c r="E47" s="3260">
        <v>1</v>
      </c>
      <c r="F47" s="3257" t="s">
        <v>2516</v>
      </c>
      <c r="G47" s="1035"/>
      <c r="H47" s="1025"/>
      <c r="I47" s="1025"/>
    </row>
    <row r="48" spans="1:9" s="1408" customFormat="1">
      <c r="A48" s="3929"/>
      <c r="B48" s="3932"/>
      <c r="C48" s="3258" t="s">
        <v>2517</v>
      </c>
      <c r="D48" s="3259"/>
      <c r="E48" s="3260">
        <v>1</v>
      </c>
      <c r="F48" s="3257" t="s">
        <v>2518</v>
      </c>
      <c r="G48" s="1035"/>
      <c r="H48" s="1025"/>
      <c r="I48" s="1025"/>
    </row>
    <row r="49" spans="1:9" s="1408" customFormat="1">
      <c r="A49" s="3929"/>
      <c r="B49" s="3932"/>
      <c r="C49" s="3258" t="s">
        <v>2519</v>
      </c>
      <c r="D49" s="3259"/>
      <c r="E49" s="3260">
        <v>1</v>
      </c>
      <c r="F49" s="3257" t="s">
        <v>2520</v>
      </c>
      <c r="G49" s="1035"/>
      <c r="H49" s="1025"/>
      <c r="I49" s="1025"/>
    </row>
    <row r="50" spans="1:9" s="1408" customFormat="1">
      <c r="A50" s="3929"/>
      <c r="B50" s="3932"/>
      <c r="C50" s="3258" t="s">
        <v>2521</v>
      </c>
      <c r="D50" s="3259"/>
      <c r="E50" s="3260">
        <v>1</v>
      </c>
      <c r="F50" s="3257" t="s">
        <v>2522</v>
      </c>
      <c r="G50" s="1035"/>
      <c r="H50" s="1025"/>
      <c r="I50" s="1025"/>
    </row>
    <row r="51" spans="1:9" s="1408" customFormat="1" ht="14.25" thickBot="1">
      <c r="A51" s="3930"/>
      <c r="B51" s="3933"/>
      <c r="C51" s="3261" t="s">
        <v>2523</v>
      </c>
      <c r="D51" s="3262"/>
      <c r="E51" s="3263">
        <v>1</v>
      </c>
      <c r="F51" s="3257"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69">
        <v>1</v>
      </c>
      <c r="B73" s="3937" t="s">
        <v>2526</v>
      </c>
      <c r="C73" s="3247" t="s">
        <v>2527</v>
      </c>
      <c r="D73" s="3247" t="s">
        <v>2528</v>
      </c>
      <c r="E73" s="3270">
        <v>0.2</v>
      </c>
      <c r="F73" s="3269">
        <v>25</v>
      </c>
      <c r="H73" s="1025">
        <f>SUMIF(C71:C139,基准地价!C8,E71:E139)</f>
        <v>0</v>
      </c>
    </row>
    <row r="74" spans="1:8" s="1025" customFormat="1" ht="24">
      <c r="A74" s="3269">
        <v>2</v>
      </c>
      <c r="B74" s="3932"/>
      <c r="C74" s="3247" t="s">
        <v>2529</v>
      </c>
      <c r="D74" s="3247" t="s">
        <v>2530</v>
      </c>
      <c r="E74" s="3270">
        <v>0.2</v>
      </c>
      <c r="F74" s="3269">
        <v>25</v>
      </c>
    </row>
    <row r="75" spans="1:8" s="1025" customFormat="1" ht="24">
      <c r="A75" s="3269">
        <v>3</v>
      </c>
      <c r="B75" s="3932"/>
      <c r="C75" s="3247" t="s">
        <v>2531</v>
      </c>
      <c r="D75" s="3247" t="s">
        <v>2532</v>
      </c>
      <c r="E75" s="3270">
        <v>0.2</v>
      </c>
      <c r="F75" s="3269">
        <v>25</v>
      </c>
    </row>
    <row r="76" spans="1:8" s="1025" customFormat="1">
      <c r="A76" s="3269">
        <v>4</v>
      </c>
      <c r="B76" s="3932"/>
      <c r="C76" s="3247" t="s">
        <v>2533</v>
      </c>
      <c r="D76" s="3247" t="s">
        <v>2534</v>
      </c>
      <c r="E76" s="3270">
        <v>0.15</v>
      </c>
      <c r="F76" s="3269">
        <v>20</v>
      </c>
    </row>
    <row r="77" spans="1:8" s="1025" customFormat="1" ht="24">
      <c r="A77" s="3269">
        <v>5</v>
      </c>
      <c r="B77" s="3932"/>
      <c r="C77" s="3247" t="s">
        <v>2535</v>
      </c>
      <c r="D77" s="3247" t="s">
        <v>2536</v>
      </c>
      <c r="E77" s="3270">
        <v>0.15</v>
      </c>
      <c r="F77" s="3269">
        <v>20</v>
      </c>
    </row>
    <row r="78" spans="1:8" s="1025" customFormat="1" ht="24">
      <c r="A78" s="3269">
        <v>6</v>
      </c>
      <c r="B78" s="3932"/>
      <c r="C78" s="3247" t="s">
        <v>2537</v>
      </c>
      <c r="D78" s="3247" t="s">
        <v>2538</v>
      </c>
      <c r="E78" s="3270">
        <v>0.15</v>
      </c>
      <c r="F78" s="3269">
        <v>20</v>
      </c>
    </row>
    <row r="79" spans="1:8" s="1025" customFormat="1" ht="24">
      <c r="A79" s="3269">
        <v>7</v>
      </c>
      <c r="B79" s="3932"/>
      <c r="C79" s="3247" t="s">
        <v>2539</v>
      </c>
      <c r="D79" s="3247" t="s">
        <v>2540</v>
      </c>
      <c r="E79" s="3270">
        <v>0.15</v>
      </c>
      <c r="F79" s="3269">
        <v>20</v>
      </c>
    </row>
    <row r="80" spans="1:8" s="1025" customFormat="1" ht="24">
      <c r="A80" s="3269">
        <v>8</v>
      </c>
      <c r="B80" s="3932"/>
      <c r="C80" s="3247" t="s">
        <v>2541</v>
      </c>
      <c r="D80" s="3247" t="s">
        <v>2542</v>
      </c>
      <c r="E80" s="3270">
        <v>0.1</v>
      </c>
      <c r="F80" s="3269">
        <v>15</v>
      </c>
    </row>
    <row r="81" spans="1:6" s="1025" customFormat="1" ht="24">
      <c r="A81" s="3269">
        <v>9</v>
      </c>
      <c r="B81" s="3932"/>
      <c r="C81" s="3247" t="s">
        <v>2543</v>
      </c>
      <c r="D81" s="3247" t="s">
        <v>2544</v>
      </c>
      <c r="E81" s="3270">
        <v>0.1</v>
      </c>
      <c r="F81" s="3269">
        <v>15</v>
      </c>
    </row>
    <row r="82" spans="1:6" s="1025" customFormat="1" ht="24">
      <c r="A82" s="3269">
        <v>10</v>
      </c>
      <c r="B82" s="3932"/>
      <c r="C82" s="3247" t="s">
        <v>2545</v>
      </c>
      <c r="D82" s="3247" t="s">
        <v>2546</v>
      </c>
      <c r="E82" s="3270">
        <v>0.1</v>
      </c>
      <c r="F82" s="3269">
        <v>15</v>
      </c>
    </row>
    <row r="83" spans="1:6" s="1025" customFormat="1" ht="24">
      <c r="A83" s="3269">
        <v>11</v>
      </c>
      <c r="B83" s="3932"/>
      <c r="C83" s="3247" t="s">
        <v>2547</v>
      </c>
      <c r="D83" s="3247" t="s">
        <v>2548</v>
      </c>
      <c r="E83" s="3270">
        <v>0.1</v>
      </c>
      <c r="F83" s="3269">
        <v>15</v>
      </c>
    </row>
    <row r="84" spans="1:6" s="1025" customFormat="1" ht="24">
      <c r="A84" s="3269">
        <v>12</v>
      </c>
      <c r="B84" s="3932"/>
      <c r="C84" s="3247" t="s">
        <v>2549</v>
      </c>
      <c r="D84" s="3247" t="s">
        <v>2550</v>
      </c>
      <c r="E84" s="3270">
        <v>0.1</v>
      </c>
      <c r="F84" s="3269">
        <v>15</v>
      </c>
    </row>
    <row r="85" spans="1:6" s="1025" customFormat="1">
      <c r="A85" s="3269">
        <v>13</v>
      </c>
      <c r="B85" s="3932"/>
      <c r="C85" s="3247" t="s">
        <v>2551</v>
      </c>
      <c r="D85" s="3247" t="s">
        <v>2552</v>
      </c>
      <c r="E85" s="3270">
        <v>0.1</v>
      </c>
      <c r="F85" s="3269">
        <v>15</v>
      </c>
    </row>
    <row r="86" spans="1:6" s="1025" customFormat="1">
      <c r="A86" s="3269">
        <v>14</v>
      </c>
      <c r="B86" s="3932"/>
      <c r="C86" s="3247" t="s">
        <v>2553</v>
      </c>
      <c r="D86" s="3247" t="s">
        <v>2554</v>
      </c>
      <c r="E86" s="3270">
        <v>0.1</v>
      </c>
      <c r="F86" s="3269">
        <v>15</v>
      </c>
    </row>
    <row r="87" spans="1:6" s="1025" customFormat="1">
      <c r="A87" s="3269">
        <v>15</v>
      </c>
      <c r="B87" s="3932"/>
      <c r="C87" s="3247" t="s">
        <v>2555</v>
      </c>
      <c r="D87" s="3247" t="s">
        <v>2556</v>
      </c>
      <c r="E87" s="3270">
        <v>0.1</v>
      </c>
      <c r="F87" s="3269">
        <v>15</v>
      </c>
    </row>
    <row r="88" spans="1:6" s="1025" customFormat="1" ht="24">
      <c r="A88" s="3269">
        <v>16</v>
      </c>
      <c r="B88" s="3932"/>
      <c r="C88" s="3247" t="s">
        <v>2557</v>
      </c>
      <c r="D88" s="3247" t="s">
        <v>2558</v>
      </c>
      <c r="E88" s="3270">
        <v>0.1</v>
      </c>
      <c r="F88" s="3269">
        <v>15</v>
      </c>
    </row>
    <row r="89" spans="1:6" s="1025" customFormat="1" ht="24">
      <c r="A89" s="3269">
        <v>17</v>
      </c>
      <c r="B89" s="3938"/>
      <c r="C89" s="3247" t="s">
        <v>2559</v>
      </c>
      <c r="D89" s="3247" t="s">
        <v>2560</v>
      </c>
      <c r="E89" s="3270">
        <v>0.1</v>
      </c>
      <c r="F89" s="3269">
        <v>15</v>
      </c>
    </row>
    <row r="90" spans="1:6" s="1025" customFormat="1">
      <c r="A90" s="3269">
        <v>18</v>
      </c>
      <c r="B90" s="3937" t="s">
        <v>2561</v>
      </c>
      <c r="C90" s="3247" t="s">
        <v>2562</v>
      </c>
      <c r="D90" s="3247" t="s">
        <v>2563</v>
      </c>
      <c r="E90" s="3270">
        <v>0.2</v>
      </c>
      <c r="F90" s="3269">
        <v>25</v>
      </c>
    </row>
    <row r="91" spans="1:6" s="1025" customFormat="1" ht="24">
      <c r="A91" s="3269">
        <v>19</v>
      </c>
      <c r="B91" s="3932"/>
      <c r="C91" s="3247" t="s">
        <v>2564</v>
      </c>
      <c r="D91" s="3247" t="s">
        <v>2565</v>
      </c>
      <c r="E91" s="3270">
        <v>0.2</v>
      </c>
      <c r="F91" s="3269">
        <v>25</v>
      </c>
    </row>
    <row r="92" spans="1:6" s="1025" customFormat="1">
      <c r="A92" s="3269">
        <v>20</v>
      </c>
      <c r="B92" s="3932"/>
      <c r="C92" s="3247" t="s">
        <v>2566</v>
      </c>
      <c r="D92" s="3247" t="s">
        <v>2567</v>
      </c>
      <c r="E92" s="3270">
        <v>0.15</v>
      </c>
      <c r="F92" s="3269">
        <v>20</v>
      </c>
    </row>
    <row r="93" spans="1:6" s="1025" customFormat="1" ht="24">
      <c r="A93" s="3269">
        <v>21</v>
      </c>
      <c r="B93" s="3932"/>
      <c r="C93" s="3247" t="s">
        <v>2568</v>
      </c>
      <c r="D93" s="3247" t="s">
        <v>2569</v>
      </c>
      <c r="E93" s="3270">
        <v>0.15</v>
      </c>
      <c r="F93" s="3269">
        <v>20</v>
      </c>
    </row>
    <row r="94" spans="1:6" s="1025" customFormat="1" ht="24">
      <c r="A94" s="3269">
        <v>22</v>
      </c>
      <c r="B94" s="3932"/>
      <c r="C94" s="3247" t="s">
        <v>2570</v>
      </c>
      <c r="D94" s="3247" t="s">
        <v>2571</v>
      </c>
      <c r="E94" s="3270">
        <v>0.15</v>
      </c>
      <c r="F94" s="3269">
        <v>20</v>
      </c>
    </row>
    <row r="95" spans="1:6" s="1025" customFormat="1" ht="36">
      <c r="A95" s="3269">
        <v>23</v>
      </c>
      <c r="B95" s="3932"/>
      <c r="C95" s="3247" t="s">
        <v>2572</v>
      </c>
      <c r="D95" s="3247" t="s">
        <v>2573</v>
      </c>
      <c r="E95" s="3270">
        <v>0.15</v>
      </c>
      <c r="F95" s="3269">
        <v>20</v>
      </c>
    </row>
    <row r="96" spans="1:6" s="1025" customFormat="1">
      <c r="A96" s="3269">
        <v>24</v>
      </c>
      <c r="B96" s="3932"/>
      <c r="C96" s="3247" t="s">
        <v>2574</v>
      </c>
      <c r="D96" s="3247" t="s">
        <v>2575</v>
      </c>
      <c r="E96" s="3270">
        <v>0.1</v>
      </c>
      <c r="F96" s="3269">
        <v>15</v>
      </c>
    </row>
    <row r="97" spans="1:6" s="1025" customFormat="1" ht="24">
      <c r="A97" s="3269">
        <v>25</v>
      </c>
      <c r="B97" s="3932"/>
      <c r="C97" s="3247" t="s">
        <v>2576</v>
      </c>
      <c r="D97" s="3247" t="s">
        <v>2577</v>
      </c>
      <c r="E97" s="3270">
        <v>0.1</v>
      </c>
      <c r="F97" s="3269">
        <v>15</v>
      </c>
    </row>
    <row r="98" spans="1:6" s="1025" customFormat="1" ht="24">
      <c r="A98" s="3269">
        <v>26</v>
      </c>
      <c r="B98" s="3932"/>
      <c r="C98" s="3247" t="s">
        <v>2578</v>
      </c>
      <c r="D98" s="3247" t="s">
        <v>2579</v>
      </c>
      <c r="E98" s="3270">
        <v>0.1</v>
      </c>
      <c r="F98" s="3269">
        <v>15</v>
      </c>
    </row>
    <row r="99" spans="1:6" s="1025" customFormat="1" ht="24">
      <c r="A99" s="3269">
        <v>27</v>
      </c>
      <c r="B99" s="3932"/>
      <c r="C99" s="3247" t="s">
        <v>2580</v>
      </c>
      <c r="D99" s="3247" t="s">
        <v>2581</v>
      </c>
      <c r="E99" s="3270">
        <v>0.1</v>
      </c>
      <c r="F99" s="3269">
        <v>15</v>
      </c>
    </row>
    <row r="100" spans="1:6" s="1025" customFormat="1" ht="24">
      <c r="A100" s="3269">
        <v>28</v>
      </c>
      <c r="B100" s="3932"/>
      <c r="C100" s="3247" t="s">
        <v>2582</v>
      </c>
      <c r="D100" s="3247" t="s">
        <v>2583</v>
      </c>
      <c r="E100" s="3270">
        <v>0.1</v>
      </c>
      <c r="F100" s="3269">
        <v>15</v>
      </c>
    </row>
    <row r="101" spans="1:6" s="1025" customFormat="1" ht="24">
      <c r="A101" s="3269">
        <v>29</v>
      </c>
      <c r="B101" s="3932"/>
      <c r="C101" s="3247" t="s">
        <v>2584</v>
      </c>
      <c r="D101" s="3247" t="s">
        <v>2585</v>
      </c>
      <c r="E101" s="3270">
        <v>0.1</v>
      </c>
      <c r="F101" s="3269">
        <v>15</v>
      </c>
    </row>
    <row r="102" spans="1:6" s="1025" customFormat="1" ht="24">
      <c r="A102" s="3269">
        <v>30</v>
      </c>
      <c r="B102" s="3932"/>
      <c r="C102" s="3247" t="s">
        <v>2586</v>
      </c>
      <c r="D102" s="3247" t="s">
        <v>2587</v>
      </c>
      <c r="E102" s="3270">
        <v>0.1</v>
      </c>
      <c r="F102" s="3269">
        <v>15</v>
      </c>
    </row>
    <row r="103" spans="1:6" s="1025" customFormat="1" ht="24">
      <c r="A103" s="3269">
        <v>31</v>
      </c>
      <c r="B103" s="3932"/>
      <c r="C103" s="3247" t="s">
        <v>2588</v>
      </c>
      <c r="D103" s="3247" t="s">
        <v>2589</v>
      </c>
      <c r="E103" s="3270">
        <v>0.1</v>
      </c>
      <c r="F103" s="3269">
        <v>15</v>
      </c>
    </row>
    <row r="104" spans="1:6" s="1025" customFormat="1" ht="24">
      <c r="A104" s="3269">
        <v>32</v>
      </c>
      <c r="B104" s="3932"/>
      <c r="C104" s="3247" t="s">
        <v>2590</v>
      </c>
      <c r="D104" s="3247" t="s">
        <v>2591</v>
      </c>
      <c r="E104" s="3270">
        <v>0.1</v>
      </c>
      <c r="F104" s="3269">
        <v>15</v>
      </c>
    </row>
    <row r="105" spans="1:6" s="1025" customFormat="1" ht="24">
      <c r="A105" s="3269">
        <v>33</v>
      </c>
      <c r="B105" s="3932"/>
      <c r="C105" s="3247" t="s">
        <v>2592</v>
      </c>
      <c r="D105" s="3247" t="s">
        <v>2593</v>
      </c>
      <c r="E105" s="3270">
        <v>0.1</v>
      </c>
      <c r="F105" s="3269">
        <v>15</v>
      </c>
    </row>
    <row r="106" spans="1:6" s="1025" customFormat="1" ht="24">
      <c r="A106" s="3269">
        <v>34</v>
      </c>
      <c r="B106" s="3938"/>
      <c r="C106" s="3247" t="s">
        <v>2594</v>
      </c>
      <c r="D106" s="3247" t="s">
        <v>2595</v>
      </c>
      <c r="E106" s="3270">
        <v>0.1</v>
      </c>
      <c r="F106" s="3269">
        <v>15</v>
      </c>
    </row>
    <row r="107" spans="1:6" s="1025" customFormat="1" ht="24">
      <c r="A107" s="3269">
        <v>35</v>
      </c>
      <c r="B107" s="3937" t="s">
        <v>2596</v>
      </c>
      <c r="C107" s="3269" t="s">
        <v>2597</v>
      </c>
      <c r="D107" s="3247" t="s">
        <v>2598</v>
      </c>
      <c r="E107" s="3270">
        <v>0.15</v>
      </c>
      <c r="F107" s="3269">
        <v>20</v>
      </c>
    </row>
    <row r="108" spans="1:6" s="1025" customFormat="1" ht="24">
      <c r="A108" s="3269">
        <v>36</v>
      </c>
      <c r="B108" s="3932"/>
      <c r="C108" s="3269" t="s">
        <v>2599</v>
      </c>
      <c r="D108" s="3247" t="s">
        <v>2600</v>
      </c>
      <c r="E108" s="3270">
        <v>0.15</v>
      </c>
      <c r="F108" s="3269">
        <v>20</v>
      </c>
    </row>
    <row r="109" spans="1:6" s="1025" customFormat="1" ht="24">
      <c r="A109" s="3269">
        <v>37</v>
      </c>
      <c r="B109" s="3932"/>
      <c r="C109" s="3269" t="s">
        <v>2601</v>
      </c>
      <c r="D109" s="3247" t="s">
        <v>2602</v>
      </c>
      <c r="E109" s="3270">
        <v>0.15</v>
      </c>
      <c r="F109" s="3269">
        <v>20</v>
      </c>
    </row>
    <row r="110" spans="1:6" s="1025" customFormat="1">
      <c r="A110" s="3269">
        <v>38</v>
      </c>
      <c r="B110" s="3932"/>
      <c r="C110" s="3269" t="s">
        <v>2603</v>
      </c>
      <c r="D110" s="3247" t="s">
        <v>2604</v>
      </c>
      <c r="E110" s="3270">
        <v>0.1</v>
      </c>
      <c r="F110" s="3269">
        <v>15</v>
      </c>
    </row>
    <row r="111" spans="1:6" s="1025" customFormat="1" ht="24">
      <c r="A111" s="3269">
        <v>39</v>
      </c>
      <c r="B111" s="3932"/>
      <c r="C111" s="3269" t="s">
        <v>2605</v>
      </c>
      <c r="D111" s="3247" t="s">
        <v>2606</v>
      </c>
      <c r="E111" s="3270">
        <v>0.1</v>
      </c>
      <c r="F111" s="3269">
        <v>15</v>
      </c>
    </row>
    <row r="112" spans="1:6" s="1025" customFormat="1" ht="24">
      <c r="A112" s="3269">
        <v>40</v>
      </c>
      <c r="B112" s="3938"/>
      <c r="C112" s="3269" t="s">
        <v>2607</v>
      </c>
      <c r="D112" s="3247" t="s">
        <v>2608</v>
      </c>
      <c r="E112" s="3270">
        <v>0.1</v>
      </c>
      <c r="F112" s="3269">
        <v>15</v>
      </c>
    </row>
    <row r="113" spans="1:6" s="1025" customFormat="1" ht="24">
      <c r="A113" s="3269">
        <v>41</v>
      </c>
      <c r="B113" s="3939" t="s">
        <v>2609</v>
      </c>
      <c r="C113" s="3269" t="s">
        <v>2610</v>
      </c>
      <c r="D113" s="3247" t="s">
        <v>2611</v>
      </c>
      <c r="E113" s="3270">
        <v>0.1</v>
      </c>
      <c r="F113" s="3269">
        <v>15</v>
      </c>
    </row>
    <row r="114" spans="1:6" s="1025" customFormat="1">
      <c r="A114" s="3269">
        <v>42</v>
      </c>
      <c r="B114" s="3939"/>
      <c r="C114" s="3269" t="s">
        <v>2612</v>
      </c>
      <c r="D114" s="3247" t="s">
        <v>2613</v>
      </c>
      <c r="E114" s="3270">
        <v>0.1</v>
      </c>
      <c r="F114" s="3269">
        <v>15</v>
      </c>
    </row>
    <row r="115" spans="1:6" s="1025" customFormat="1" ht="24">
      <c r="A115" s="3269">
        <v>43</v>
      </c>
      <c r="B115" s="3939"/>
      <c r="C115" s="3269" t="s">
        <v>2614</v>
      </c>
      <c r="D115" s="3247" t="s">
        <v>2615</v>
      </c>
      <c r="E115" s="3270">
        <v>0.1</v>
      </c>
      <c r="F115" s="3269">
        <v>15</v>
      </c>
    </row>
    <row r="116" spans="1:6" s="1025" customFormat="1" ht="24">
      <c r="A116" s="3269">
        <v>44</v>
      </c>
      <c r="B116" s="3937" t="s">
        <v>2616</v>
      </c>
      <c r="C116" s="3269" t="s">
        <v>2617</v>
      </c>
      <c r="D116" s="3247" t="s">
        <v>2618</v>
      </c>
      <c r="E116" s="3270">
        <v>0.1</v>
      </c>
      <c r="F116" s="3269">
        <v>15</v>
      </c>
    </row>
    <row r="117" spans="1:6" s="1025" customFormat="1" ht="24">
      <c r="A117" s="3269">
        <v>45</v>
      </c>
      <c r="B117" s="3938"/>
      <c r="C117" s="3247" t="s">
        <v>2619</v>
      </c>
      <c r="D117" s="3247" t="s">
        <v>2620</v>
      </c>
      <c r="E117" s="3270">
        <v>0.1</v>
      </c>
      <c r="F117" s="3269">
        <v>15</v>
      </c>
    </row>
    <row r="118" spans="1:6" s="1025" customFormat="1" ht="24">
      <c r="A118" s="3269">
        <v>46</v>
      </c>
      <c r="B118" s="3937" t="s">
        <v>2621</v>
      </c>
      <c r="C118" s="3269" t="s">
        <v>2622</v>
      </c>
      <c r="D118" s="3247" t="s">
        <v>2623</v>
      </c>
      <c r="E118" s="3270">
        <v>0.1</v>
      </c>
      <c r="F118" s="3269">
        <v>15</v>
      </c>
    </row>
    <row r="119" spans="1:6" s="1025" customFormat="1" ht="24">
      <c r="A119" s="3269">
        <v>47</v>
      </c>
      <c r="B119" s="3938"/>
      <c r="C119" s="3269" t="s">
        <v>2624</v>
      </c>
      <c r="D119" s="3247" t="s">
        <v>2625</v>
      </c>
      <c r="E119" s="3270">
        <v>0.1</v>
      </c>
      <c r="F119" s="3269">
        <v>15</v>
      </c>
    </row>
    <row r="120" spans="1:6" s="1025" customFormat="1" ht="24">
      <c r="A120" s="3269">
        <v>48</v>
      </c>
      <c r="B120" s="3937" t="s">
        <v>2626</v>
      </c>
      <c r="C120" s="3269" t="s">
        <v>2627</v>
      </c>
      <c r="D120" s="3247" t="s">
        <v>2628</v>
      </c>
      <c r="E120" s="3270">
        <v>0.1</v>
      </c>
      <c r="F120" s="3269">
        <v>15</v>
      </c>
    </row>
    <row r="121" spans="1:6" s="1025" customFormat="1">
      <c r="A121" s="3269">
        <v>49</v>
      </c>
      <c r="B121" s="3938"/>
      <c r="C121" s="3269" t="s">
        <v>2629</v>
      </c>
      <c r="D121" s="3247" t="s">
        <v>2630</v>
      </c>
      <c r="E121" s="3270">
        <v>0.1</v>
      </c>
      <c r="F121" s="3269">
        <v>15</v>
      </c>
    </row>
    <row r="122" spans="1:6" s="1025" customFormat="1" ht="24">
      <c r="A122" s="3269">
        <v>50</v>
      </c>
      <c r="B122" s="3939" t="s">
        <v>2631</v>
      </c>
      <c r="C122" s="3269" t="s">
        <v>2632</v>
      </c>
      <c r="D122" s="3247" t="s">
        <v>2633</v>
      </c>
      <c r="E122" s="3270">
        <v>0.1</v>
      </c>
      <c r="F122" s="3269">
        <v>15</v>
      </c>
    </row>
    <row r="123" spans="1:6" s="1025" customFormat="1" ht="24">
      <c r="A123" s="3269">
        <v>51</v>
      </c>
      <c r="B123" s="3939"/>
      <c r="C123" s="3269" t="s">
        <v>2634</v>
      </c>
      <c r="D123" s="3247" t="s">
        <v>2635</v>
      </c>
      <c r="E123" s="3270">
        <v>0.1</v>
      </c>
      <c r="F123" s="3269">
        <v>15</v>
      </c>
    </row>
    <row r="124" spans="1:6" s="1025" customFormat="1" ht="24">
      <c r="A124" s="3269">
        <v>52</v>
      </c>
      <c r="B124" s="3939" t="s">
        <v>2636</v>
      </c>
      <c r="C124" s="3269" t="s">
        <v>2637</v>
      </c>
      <c r="D124" s="3247" t="s">
        <v>2638</v>
      </c>
      <c r="E124" s="3270">
        <v>0.1</v>
      </c>
      <c r="F124" s="3269">
        <v>15</v>
      </c>
    </row>
    <row r="125" spans="1:6" s="1025" customFormat="1" ht="24">
      <c r="A125" s="3269">
        <v>53</v>
      </c>
      <c r="B125" s="3939"/>
      <c r="C125" s="3269" t="s">
        <v>2639</v>
      </c>
      <c r="D125" s="3247" t="s">
        <v>2640</v>
      </c>
      <c r="E125" s="3270">
        <v>0.1</v>
      </c>
      <c r="F125" s="3269">
        <v>15</v>
      </c>
    </row>
    <row r="126" spans="1:6" ht="24">
      <c r="A126" s="3269">
        <v>54</v>
      </c>
      <c r="B126" s="3269" t="s">
        <v>2641</v>
      </c>
      <c r="C126" s="3269" t="s">
        <v>2642</v>
      </c>
      <c r="D126" s="3247" t="s">
        <v>2643</v>
      </c>
      <c r="E126" s="3270">
        <v>0.1</v>
      </c>
      <c r="F126" s="3269">
        <v>15</v>
      </c>
    </row>
    <row r="127" spans="1:6">
      <c r="A127" s="3269">
        <v>55</v>
      </c>
      <c r="B127" s="3939" t="s">
        <v>2644</v>
      </c>
      <c r="C127" s="3269" t="s">
        <v>2645</v>
      </c>
      <c r="D127" s="3247" t="s">
        <v>2646</v>
      </c>
      <c r="E127" s="3270">
        <v>0.1</v>
      </c>
      <c r="F127" s="3269">
        <v>15</v>
      </c>
    </row>
    <row r="128" spans="1:6">
      <c r="A128" s="3269">
        <v>56</v>
      </c>
      <c r="B128" s="3939"/>
      <c r="C128" s="3269" t="s">
        <v>2647</v>
      </c>
      <c r="D128" s="3247" t="s">
        <v>2648</v>
      </c>
      <c r="E128" s="3270">
        <v>0.1</v>
      </c>
      <c r="F128" s="3269">
        <v>15</v>
      </c>
    </row>
    <row r="129" spans="1:14" ht="24">
      <c r="A129" s="3269">
        <v>57</v>
      </c>
      <c r="B129" s="3939"/>
      <c r="C129" s="3269" t="s">
        <v>2649</v>
      </c>
      <c r="D129" s="3247" t="s">
        <v>2650</v>
      </c>
      <c r="E129" s="3270">
        <v>0.1</v>
      </c>
      <c r="F129" s="3269">
        <v>15</v>
      </c>
    </row>
    <row r="130" spans="1:14" ht="24">
      <c r="A130" s="3269">
        <v>58</v>
      </c>
      <c r="B130" s="3939" t="s">
        <v>2651</v>
      </c>
      <c r="C130" s="3269" t="s">
        <v>2652</v>
      </c>
      <c r="D130" s="3247" t="s">
        <v>2653</v>
      </c>
      <c r="E130" s="3270">
        <v>0.1</v>
      </c>
      <c r="F130" s="3269">
        <v>15</v>
      </c>
    </row>
    <row r="131" spans="1:14" ht="24">
      <c r="A131" s="3269">
        <v>59</v>
      </c>
      <c r="B131" s="3939"/>
      <c r="C131" s="3269" t="s">
        <v>2654</v>
      </c>
      <c r="D131" s="3247" t="s">
        <v>2655</v>
      </c>
      <c r="E131" s="3270">
        <v>0.1</v>
      </c>
      <c r="F131" s="3269">
        <v>15</v>
      </c>
    </row>
    <row r="132" spans="1:14" ht="24">
      <c r="A132" s="3269">
        <v>60</v>
      </c>
      <c r="B132" s="3937" t="s">
        <v>2656</v>
      </c>
      <c r="C132" s="3269" t="s">
        <v>2657</v>
      </c>
      <c r="D132" s="3247" t="s">
        <v>2658</v>
      </c>
      <c r="E132" s="3270">
        <v>0.1</v>
      </c>
      <c r="F132" s="3269">
        <v>15</v>
      </c>
    </row>
    <row r="133" spans="1:14" ht="24">
      <c r="A133" s="3269">
        <v>61</v>
      </c>
      <c r="B133" s="3938"/>
      <c r="C133" s="3269" t="s">
        <v>2659</v>
      </c>
      <c r="D133" s="3247" t="s">
        <v>2660</v>
      </c>
      <c r="E133" s="3270">
        <v>0.1</v>
      </c>
      <c r="F133" s="3269">
        <v>15</v>
      </c>
    </row>
    <row r="134" spans="1:14" ht="24">
      <c r="A134" s="3269">
        <v>62</v>
      </c>
      <c r="B134" s="3269" t="s">
        <v>2661</v>
      </c>
      <c r="C134" s="3269" t="s">
        <v>2662</v>
      </c>
      <c r="D134" s="3247" t="s">
        <v>2663</v>
      </c>
      <c r="E134" s="3270">
        <v>0.1</v>
      </c>
      <c r="F134" s="3269">
        <v>15</v>
      </c>
    </row>
    <row r="135" spans="1:14" ht="24">
      <c r="A135" s="3269">
        <v>63</v>
      </c>
      <c r="B135" s="3939" t="s">
        <v>2664</v>
      </c>
      <c r="C135" s="3269" t="s">
        <v>2665</v>
      </c>
      <c r="D135" s="3247" t="s">
        <v>2666</v>
      </c>
      <c r="E135" s="3270">
        <v>0.1</v>
      </c>
      <c r="F135" s="3269">
        <v>15</v>
      </c>
    </row>
    <row r="136" spans="1:14">
      <c r="A136" s="3269">
        <v>64</v>
      </c>
      <c r="B136" s="3939"/>
      <c r="C136" s="3269" t="s">
        <v>2667</v>
      </c>
      <c r="D136" s="3247" t="s">
        <v>2668</v>
      </c>
      <c r="E136" s="3270">
        <v>0.1</v>
      </c>
      <c r="F136" s="3269">
        <v>15</v>
      </c>
    </row>
    <row r="137" spans="1:14" ht="24">
      <c r="A137" s="3269">
        <v>65</v>
      </c>
      <c r="B137" s="3269" t="s">
        <v>2669</v>
      </c>
      <c r="C137" s="3269" t="s">
        <v>2670</v>
      </c>
      <c r="D137" s="3247" t="s">
        <v>2671</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0" t="s">
        <v>2813</v>
      </c>
      <c r="B1" s="3940"/>
      <c r="C1" s="3940"/>
      <c r="D1" s="3940"/>
      <c r="E1" s="3940"/>
      <c r="F1" s="3940"/>
      <c r="G1" s="394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2" customFormat="1" ht="19.5" customHeight="1">
      <c r="A3" s="3942" t="s">
        <v>2816</v>
      </c>
      <c r="B3" s="3410"/>
      <c r="C3" s="3411" t="s">
        <v>2793</v>
      </c>
      <c r="D3" s="3411" t="s">
        <v>2817</v>
      </c>
      <c r="E3" s="3411" t="s">
        <v>2795</v>
      </c>
      <c r="F3" s="3411" t="s">
        <v>2818</v>
      </c>
      <c r="G3" s="3411" t="s">
        <v>2736</v>
      </c>
      <c r="H3" s="1015"/>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2" customFormat="1" ht="19.5" customHeight="1" thickBot="1">
      <c r="A4" s="3943"/>
      <c r="B4" s="3412" t="s">
        <v>2819</v>
      </c>
      <c r="C4" s="3412" t="s">
        <v>2820</v>
      </c>
      <c r="D4" s="3412" t="s">
        <v>2820</v>
      </c>
      <c r="E4" s="3412" t="s">
        <v>2820</v>
      </c>
      <c r="F4" s="3413" t="s">
        <v>2820</v>
      </c>
      <c r="G4" s="3413" t="s">
        <v>2820</v>
      </c>
      <c r="H4" s="1015"/>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9" t="s">
        <v>3024</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9"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9"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9"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9"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9"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9"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7" t="s">
        <v>1107</v>
      </c>
      <c r="C28" s="1287"/>
      <c r="D28" s="1287">
        <v>31520</v>
      </c>
      <c r="E28" s="1287">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9" t="s">
        <v>2825</v>
      </c>
      <c r="C30" s="1289">
        <v>26890</v>
      </c>
      <c r="D30" s="1289">
        <v>26770</v>
      </c>
      <c r="E30" s="1289">
        <v>25700</v>
      </c>
      <c r="F30" s="3419">
        <v>8180</v>
      </c>
      <c r="G30" s="3419">
        <v>18740</v>
      </c>
      <c r="I30" s="1022"/>
      <c r="M30" s="3427" t="s">
        <v>2837</v>
      </c>
      <c r="N30" s="3418" t="s">
        <v>2844</v>
      </c>
      <c r="O30" s="3418" t="s">
        <v>2861</v>
      </c>
      <c r="P30" s="3418" t="s">
        <v>2908</v>
      </c>
      <c r="Q30" s="3418" t="s">
        <v>2938</v>
      </c>
      <c r="R30" s="3418" t="s">
        <v>2965</v>
      </c>
      <c r="S30" s="3427" t="s">
        <v>3004</v>
      </c>
    </row>
    <row r="31" spans="1:20" ht="14.25" customHeight="1">
      <c r="A31" s="3418" t="s">
        <v>1145</v>
      </c>
      <c r="B31" s="1289" t="s">
        <v>974</v>
      </c>
      <c r="C31" s="3418">
        <v>24550</v>
      </c>
      <c r="D31" s="3418">
        <v>23990</v>
      </c>
      <c r="E31" s="3418">
        <v>22930</v>
      </c>
      <c r="F31" s="3424">
        <v>7470</v>
      </c>
      <c r="G31" s="3424">
        <v>16790</v>
      </c>
      <c r="I31" s="1022"/>
      <c r="M31" s="3427" t="s">
        <v>2838</v>
      </c>
      <c r="N31" s="3418" t="s">
        <v>2845</v>
      </c>
      <c r="O31" s="3418" t="s">
        <v>2862</v>
      </c>
      <c r="P31" s="3418" t="s">
        <v>2909</v>
      </c>
      <c r="Q31" s="3418" t="s">
        <v>2939</v>
      </c>
      <c r="R31" s="3418" t="s">
        <v>2966</v>
      </c>
      <c r="S31" s="3427" t="s">
        <v>3005</v>
      </c>
    </row>
    <row r="32" spans="1:20" ht="14.25" customHeight="1">
      <c r="A32" s="3418" t="s">
        <v>1145</v>
      </c>
      <c r="B32" s="1289" t="s">
        <v>984</v>
      </c>
      <c r="C32" s="3418">
        <v>27210</v>
      </c>
      <c r="D32" s="3418">
        <v>23240</v>
      </c>
      <c r="E32" s="3418">
        <v>23260</v>
      </c>
      <c r="F32" s="3424">
        <v>7130</v>
      </c>
      <c r="G32" s="3424">
        <v>16270</v>
      </c>
      <c r="I32" s="1022"/>
      <c r="M32" s="3427" t="s">
        <v>2839</v>
      </c>
      <c r="N32" s="3418" t="s">
        <v>2846</v>
      </c>
      <c r="O32" s="3418" t="s">
        <v>1149</v>
      </c>
      <c r="P32" s="3418" t="s">
        <v>2910</v>
      </c>
      <c r="Q32" s="3418" t="s">
        <v>1148</v>
      </c>
      <c r="R32" s="3418" t="s">
        <v>2967</v>
      </c>
      <c r="S32" s="3427" t="s">
        <v>3006</v>
      </c>
    </row>
    <row r="33" spans="1:18" ht="14.25" customHeight="1">
      <c r="A33" s="3418" t="s">
        <v>1145</v>
      </c>
      <c r="B33" s="1289" t="s">
        <v>993</v>
      </c>
      <c r="C33" s="3418">
        <v>27300</v>
      </c>
      <c r="D33" s="3418">
        <v>22980</v>
      </c>
      <c r="E33" s="3418">
        <v>24260</v>
      </c>
      <c r="F33" s="3424">
        <v>5860</v>
      </c>
      <c r="G33" s="3424">
        <v>16090</v>
      </c>
      <c r="I33" s="1022"/>
      <c r="M33" s="3427" t="s">
        <v>2840</v>
      </c>
      <c r="N33" s="3418" t="s">
        <v>2847</v>
      </c>
      <c r="O33" s="3418" t="s">
        <v>1150</v>
      </c>
      <c r="P33" s="3418" t="s">
        <v>2911</v>
      </c>
      <c r="Q33" s="3418" t="s">
        <v>2940</v>
      </c>
      <c r="R33" s="3418" t="s">
        <v>2968</v>
      </c>
    </row>
    <row r="34" spans="1:18" ht="14.25" customHeight="1">
      <c r="A34" s="3418" t="s">
        <v>1145</v>
      </c>
      <c r="B34" s="1289" t="s">
        <v>1003</v>
      </c>
      <c r="C34" s="3418">
        <v>23090</v>
      </c>
      <c r="D34" s="3418">
        <v>23390</v>
      </c>
      <c r="E34" s="3418">
        <v>23510</v>
      </c>
      <c r="F34" s="3424">
        <v>6700</v>
      </c>
      <c r="G34" s="3424">
        <v>16370</v>
      </c>
      <c r="I34" s="1022"/>
      <c r="N34" s="3418" t="s">
        <v>2848</v>
      </c>
      <c r="O34" s="3418" t="s">
        <v>1151</v>
      </c>
      <c r="P34" s="3418" t="s">
        <v>2912</v>
      </c>
      <c r="Q34" s="3418" t="s">
        <v>2941</v>
      </c>
      <c r="R34" s="3418" t="s">
        <v>2969</v>
      </c>
    </row>
    <row r="35" spans="1:18" ht="14.25" customHeight="1">
      <c r="A35" s="3418" t="s">
        <v>1145</v>
      </c>
      <c r="B35" s="1289" t="s">
        <v>1010</v>
      </c>
      <c r="C35" s="3418">
        <v>27270</v>
      </c>
      <c r="D35" s="3418">
        <v>24270</v>
      </c>
      <c r="E35" s="3418">
        <v>24950</v>
      </c>
      <c r="F35" s="3424">
        <v>6600</v>
      </c>
      <c r="G35" s="3424">
        <v>16990</v>
      </c>
      <c r="I35" s="1022"/>
      <c r="N35" s="3418" t="s">
        <v>2849</v>
      </c>
      <c r="O35" s="3418" t="s">
        <v>2863</v>
      </c>
      <c r="P35" s="3418" t="s">
        <v>2913</v>
      </c>
      <c r="Q35" s="3418" t="s">
        <v>2942</v>
      </c>
      <c r="R35" s="3418" t="s">
        <v>2970</v>
      </c>
    </row>
    <row r="36" spans="1:18" ht="14.25" customHeight="1">
      <c r="A36" s="3418" t="s">
        <v>1145</v>
      </c>
      <c r="B36" s="1289" t="s">
        <v>1016</v>
      </c>
      <c r="C36" s="3418">
        <v>23490</v>
      </c>
      <c r="D36" s="3418">
        <v>23020</v>
      </c>
      <c r="E36" s="3418">
        <v>25230</v>
      </c>
      <c r="F36" s="3424">
        <v>6780</v>
      </c>
      <c r="G36" s="3424">
        <v>16120</v>
      </c>
      <c r="I36" s="1022"/>
      <c r="N36" s="3427" t="s">
        <v>2850</v>
      </c>
      <c r="O36" s="3455" t="s">
        <v>2864</v>
      </c>
      <c r="P36" s="3418" t="s">
        <v>2914</v>
      </c>
      <c r="Q36" s="3418" t="s">
        <v>2943</v>
      </c>
      <c r="R36" s="3418" t="s">
        <v>2971</v>
      </c>
    </row>
    <row r="37" spans="1:18" ht="14.25" customHeight="1">
      <c r="A37" s="3418" t="s">
        <v>1145</v>
      </c>
      <c r="B37" s="1289" t="s">
        <v>1023</v>
      </c>
      <c r="C37" s="3418">
        <v>24380</v>
      </c>
      <c r="D37" s="3418">
        <v>22240</v>
      </c>
      <c r="E37" s="3418">
        <v>25980</v>
      </c>
      <c r="F37" s="3424">
        <v>8160</v>
      </c>
      <c r="G37" s="3424">
        <v>15570</v>
      </c>
      <c r="I37" s="1023"/>
      <c r="N37" s="3427" t="s">
        <v>2851</v>
      </c>
      <c r="O37" s="3455" t="s">
        <v>2865</v>
      </c>
      <c r="P37" s="3418" t="s">
        <v>2915</v>
      </c>
      <c r="Q37" s="3418" t="s">
        <v>2944</v>
      </c>
      <c r="R37" s="3418" t="s">
        <v>2972</v>
      </c>
    </row>
    <row r="38" spans="1:18" ht="14.25" customHeight="1">
      <c r="A38" s="3418" t="s">
        <v>1145</v>
      </c>
      <c r="B38" s="1289" t="s">
        <v>1033</v>
      </c>
      <c r="C38" s="3418">
        <v>23120</v>
      </c>
      <c r="D38" s="3418">
        <v>24630</v>
      </c>
      <c r="E38" s="3418">
        <v>25030</v>
      </c>
      <c r="F38" s="3424">
        <v>7710</v>
      </c>
      <c r="G38" s="3424">
        <v>17240</v>
      </c>
      <c r="I38" s="1024"/>
      <c r="N38" s="3427" t="s">
        <v>2852</v>
      </c>
      <c r="O38" s="3455" t="s">
        <v>2866</v>
      </c>
      <c r="P38" s="3418" t="s">
        <v>2916</v>
      </c>
      <c r="Q38" s="3418" t="s">
        <v>2945</v>
      </c>
      <c r="R38" s="3418" t="s">
        <v>2973</v>
      </c>
    </row>
    <row r="39" spans="1:18" ht="14.25" customHeight="1">
      <c r="A39" s="3418" t="s">
        <v>1145</v>
      </c>
      <c r="B39" s="1289" t="s">
        <v>1042</v>
      </c>
      <c r="C39" s="3418">
        <v>22330</v>
      </c>
      <c r="D39" s="3418">
        <v>21140</v>
      </c>
      <c r="E39" s="3418">
        <v>23970</v>
      </c>
      <c r="F39" s="3424">
        <v>7940</v>
      </c>
      <c r="G39" s="3424">
        <v>14790</v>
      </c>
      <c r="I39" s="1024"/>
      <c r="N39" s="3427" t="s">
        <v>2853</v>
      </c>
      <c r="O39" s="3455" t="s">
        <v>2867</v>
      </c>
      <c r="P39" s="3418" t="s">
        <v>2917</v>
      </c>
      <c r="Q39" s="3418" t="s">
        <v>2946</v>
      </c>
      <c r="R39" s="3418" t="s">
        <v>2974</v>
      </c>
    </row>
    <row r="40" spans="1:18" ht="14.25" customHeight="1">
      <c r="A40" s="3418" t="s">
        <v>1145</v>
      </c>
      <c r="B40" s="1289" t="s">
        <v>1049</v>
      </c>
      <c r="C40" s="3418">
        <v>24740</v>
      </c>
      <c r="D40" s="3418">
        <v>24690</v>
      </c>
      <c r="E40" s="3418">
        <v>22610</v>
      </c>
      <c r="F40" s="3424"/>
      <c r="G40" s="3424">
        <v>17280</v>
      </c>
      <c r="I40" s="1024"/>
      <c r="N40" s="3427" t="s">
        <v>2854</v>
      </c>
      <c r="O40" s="3455" t="s">
        <v>2868</v>
      </c>
      <c r="P40" s="3418" t="s">
        <v>2918</v>
      </c>
      <c r="Q40" s="3418" t="s">
        <v>2947</v>
      </c>
      <c r="R40" s="3418" t="s">
        <v>2975</v>
      </c>
    </row>
    <row r="41" spans="1:18" ht="14.25" customHeight="1">
      <c r="A41" s="3418" t="s">
        <v>1145</v>
      </c>
      <c r="B41" s="1289" t="s">
        <v>1056</v>
      </c>
      <c r="C41" s="3418">
        <v>21220</v>
      </c>
      <c r="D41" s="3418">
        <v>21120</v>
      </c>
      <c r="E41" s="3418">
        <v>22590</v>
      </c>
      <c r="F41" s="3424"/>
      <c r="G41" s="3424">
        <v>14780</v>
      </c>
      <c r="I41" s="1024"/>
      <c r="N41" s="3427" t="s">
        <v>2855</v>
      </c>
      <c r="O41" s="3456" t="s">
        <v>2869</v>
      </c>
      <c r="P41" s="1289" t="s">
        <v>2919</v>
      </c>
      <c r="Q41" s="3427" t="s">
        <v>2948</v>
      </c>
      <c r="R41" s="1289" t="s">
        <v>2976</v>
      </c>
    </row>
    <row r="42" spans="1:18" ht="14.25" customHeight="1">
      <c r="A42" s="3418" t="s">
        <v>1145</v>
      </c>
      <c r="B42" s="1289" t="s">
        <v>1063</v>
      </c>
      <c r="C42" s="3418">
        <v>24800</v>
      </c>
      <c r="D42" s="3418">
        <v>22280</v>
      </c>
      <c r="E42" s="3418">
        <v>24350</v>
      </c>
      <c r="F42" s="3424"/>
      <c r="G42" s="3424">
        <v>15590</v>
      </c>
      <c r="I42" s="1024"/>
      <c r="O42" s="3418" t="s">
        <v>2870</v>
      </c>
      <c r="P42" s="3418" t="s">
        <v>2920</v>
      </c>
      <c r="Q42" s="3427" t="s">
        <v>2949</v>
      </c>
      <c r="R42" s="3418" t="s">
        <v>2977</v>
      </c>
    </row>
    <row r="43" spans="1:18" ht="14.25" customHeight="1">
      <c r="A43" s="3418" t="s">
        <v>1145</v>
      </c>
      <c r="B43" s="1289" t="s">
        <v>1071</v>
      </c>
      <c r="C43" s="3418">
        <v>21210</v>
      </c>
      <c r="D43" s="3418">
        <v>21160</v>
      </c>
      <c r="E43" s="3418">
        <v>22650</v>
      </c>
      <c r="F43" s="3424"/>
      <c r="G43" s="3424">
        <v>14800</v>
      </c>
      <c r="I43" s="1024"/>
      <c r="O43" s="3418" t="s">
        <v>2871</v>
      </c>
      <c r="P43" s="3418" t="s">
        <v>2921</v>
      </c>
      <c r="Q43" s="3427" t="s">
        <v>2950</v>
      </c>
      <c r="R43" s="3418" t="s">
        <v>2978</v>
      </c>
    </row>
    <row r="44" spans="1:18" ht="14.25" customHeight="1">
      <c r="A44" s="3418" t="s">
        <v>1145</v>
      </c>
      <c r="B44" s="1289" t="s">
        <v>1079</v>
      </c>
      <c r="C44" s="3418">
        <v>22370</v>
      </c>
      <c r="D44" s="3418">
        <v>23140</v>
      </c>
      <c r="E44" s="3418">
        <v>25090</v>
      </c>
      <c r="F44" s="3424"/>
      <c r="G44" s="3424">
        <v>16190</v>
      </c>
      <c r="I44" s="1024"/>
      <c r="O44" s="3418" t="s">
        <v>2872</v>
      </c>
      <c r="P44" s="3418" t="s">
        <v>2922</v>
      </c>
      <c r="Q44" s="3427" t="s">
        <v>2951</v>
      </c>
      <c r="R44" s="3418" t="s">
        <v>2979</v>
      </c>
    </row>
    <row r="45" spans="1:18" ht="14.25" customHeight="1">
      <c r="A45" s="3418" t="s">
        <v>1145</v>
      </c>
      <c r="B45" s="1289" t="s">
        <v>1084</v>
      </c>
      <c r="C45" s="3418">
        <v>21240</v>
      </c>
      <c r="D45" s="3418">
        <v>27050</v>
      </c>
      <c r="E45" s="3418">
        <v>28000</v>
      </c>
      <c r="F45" s="3424"/>
      <c r="G45" s="3424">
        <v>18940</v>
      </c>
      <c r="I45" s="1022"/>
      <c r="O45" s="3418" t="s">
        <v>2873</v>
      </c>
      <c r="P45" s="3418" t="s">
        <v>2923</v>
      </c>
      <c r="R45" s="3418" t="s">
        <v>2980</v>
      </c>
    </row>
    <row r="46" spans="1:18" ht="14.25" customHeight="1">
      <c r="A46" s="3418" t="s">
        <v>1145</v>
      </c>
      <c r="B46" s="1289" t="s">
        <v>1093</v>
      </c>
      <c r="C46" s="3418">
        <v>23240</v>
      </c>
      <c r="D46" s="3418">
        <v>23000</v>
      </c>
      <c r="E46" s="3418">
        <v>24980</v>
      </c>
      <c r="F46" s="3424"/>
      <c r="G46" s="3424">
        <v>16100</v>
      </c>
      <c r="I46" s="1024"/>
      <c r="O46" s="3418" t="s">
        <v>2874</v>
      </c>
      <c r="P46" s="3418"/>
      <c r="R46" s="3418" t="s">
        <v>2981</v>
      </c>
    </row>
    <row r="47" spans="1:18" ht="14.25" customHeight="1">
      <c r="A47" s="3418" t="s">
        <v>1145</v>
      </c>
      <c r="B47" s="2597" t="s">
        <v>1100</v>
      </c>
      <c r="C47" s="1287">
        <v>27150</v>
      </c>
      <c r="D47" s="1287">
        <v>23310</v>
      </c>
      <c r="E47" s="1287">
        <v>25150</v>
      </c>
      <c r="F47" s="3429"/>
      <c r="G47" s="3429">
        <v>16310</v>
      </c>
      <c r="I47" s="1024"/>
      <c r="O47" s="3418" t="s">
        <v>2875</v>
      </c>
      <c r="P47" s="3418"/>
      <c r="R47" s="3427" t="s">
        <v>2982</v>
      </c>
    </row>
    <row r="48" spans="1:18" ht="14.25" customHeight="1">
      <c r="A48" s="3418" t="s">
        <v>1145</v>
      </c>
      <c r="B48" s="3418" t="s">
        <v>1108</v>
      </c>
      <c r="C48" s="3418">
        <v>23100</v>
      </c>
      <c r="D48" s="3418">
        <v>21110</v>
      </c>
      <c r="E48" s="3418">
        <v>23080</v>
      </c>
      <c r="F48" s="3424"/>
      <c r="G48" s="3431">
        <v>14780</v>
      </c>
      <c r="I48" s="1022"/>
      <c r="O48" s="3418" t="s">
        <v>2876</v>
      </c>
      <c r="P48" s="3418"/>
      <c r="R48" s="3427" t="s">
        <v>2983</v>
      </c>
    </row>
    <row r="49" spans="1:18" ht="14.25" customHeight="1">
      <c r="A49" s="3418" t="s">
        <v>1145</v>
      </c>
      <c r="B49" s="1289" t="s">
        <v>1115</v>
      </c>
      <c r="C49" s="1289">
        <v>23400</v>
      </c>
      <c r="D49" s="1289">
        <v>22920</v>
      </c>
      <c r="E49" s="1289">
        <v>24900</v>
      </c>
      <c r="F49" s="3419"/>
      <c r="G49" s="3419">
        <v>16040</v>
      </c>
      <c r="I49" s="1024"/>
      <c r="O49" s="3418" t="s">
        <v>2877</v>
      </c>
      <c r="P49" s="3418"/>
      <c r="R49" s="3427" t="s">
        <v>2984</v>
      </c>
    </row>
    <row r="50" spans="1:18" ht="14.25" customHeight="1">
      <c r="A50" s="3418" t="s">
        <v>1145</v>
      </c>
      <c r="B50" s="3418" t="s">
        <v>2826</v>
      </c>
      <c r="C50" s="3418">
        <v>21200</v>
      </c>
      <c r="D50" s="3418">
        <v>26540</v>
      </c>
      <c r="E50" s="3418">
        <v>23200</v>
      </c>
      <c r="F50" s="3424"/>
      <c r="G50" s="3424">
        <v>18580</v>
      </c>
      <c r="I50" s="1024"/>
      <c r="O50" s="3427" t="s">
        <v>2878</v>
      </c>
      <c r="R50" s="3427" t="s">
        <v>2985</v>
      </c>
    </row>
    <row r="51" spans="1:18" ht="14.25" customHeight="1">
      <c r="A51" s="3418" t="s">
        <v>1145</v>
      </c>
      <c r="B51" s="3418" t="s">
        <v>2827</v>
      </c>
      <c r="C51" s="3418">
        <v>23000</v>
      </c>
      <c r="D51" s="3418">
        <v>23460</v>
      </c>
      <c r="E51" s="3418">
        <v>25290</v>
      </c>
      <c r="F51" s="3424"/>
      <c r="G51" s="3424">
        <v>16420</v>
      </c>
      <c r="I51" s="1024"/>
      <c r="O51" s="3427" t="s">
        <v>2879</v>
      </c>
      <c r="R51" s="3427" t="s">
        <v>2986</v>
      </c>
    </row>
    <row r="52" spans="1:18" ht="14.25" customHeight="1">
      <c r="A52" s="3418" t="s">
        <v>1145</v>
      </c>
      <c r="B52" s="3418" t="s">
        <v>2828</v>
      </c>
      <c r="C52" s="3418">
        <v>26660</v>
      </c>
      <c r="D52" s="3418">
        <v>22350</v>
      </c>
      <c r="E52" s="3418">
        <v>22920</v>
      </c>
      <c r="F52" s="3424"/>
      <c r="G52" s="3424">
        <v>15640</v>
      </c>
      <c r="I52" s="1024"/>
      <c r="O52" s="3427" t="s">
        <v>2880</v>
      </c>
    </row>
    <row r="53" spans="1:18" ht="14.25" customHeight="1">
      <c r="A53" s="3418" t="s">
        <v>1145</v>
      </c>
      <c r="B53" s="3418" t="s">
        <v>2829</v>
      </c>
      <c r="C53" s="3418">
        <v>23580</v>
      </c>
      <c r="D53" s="3418"/>
      <c r="E53" s="3418">
        <v>24280</v>
      </c>
      <c r="F53" s="3424"/>
      <c r="G53" s="3424"/>
      <c r="I53" s="1024"/>
      <c r="O53" s="3427" t="s">
        <v>2881</v>
      </c>
    </row>
    <row r="54" spans="1:18" ht="14.25" customHeight="1" thickBot="1">
      <c r="A54" s="3433" t="s">
        <v>1145</v>
      </c>
      <c r="B54" s="3421" t="s">
        <v>2830</v>
      </c>
      <c r="C54" s="3421">
        <v>22460</v>
      </c>
      <c r="D54" s="3421"/>
      <c r="E54" s="3421"/>
      <c r="F54" s="3422"/>
      <c r="G54" s="3434"/>
      <c r="I54" s="1024"/>
      <c r="O54" s="3427" t="s">
        <v>2882</v>
      </c>
    </row>
    <row r="55" spans="1:18" ht="14.25" customHeight="1">
      <c r="A55" s="3432" t="s">
        <v>853</v>
      </c>
      <c r="B55" s="1289" t="s">
        <v>2831</v>
      </c>
      <c r="C55" s="1289">
        <v>21970</v>
      </c>
      <c r="D55" s="1289">
        <v>20370</v>
      </c>
      <c r="E55" s="1289">
        <v>20180</v>
      </c>
      <c r="F55" s="3419">
        <v>5730</v>
      </c>
      <c r="G55" s="3419">
        <v>13820</v>
      </c>
      <c r="I55" s="1024"/>
      <c r="O55" s="3427" t="s">
        <v>2883</v>
      </c>
    </row>
    <row r="56" spans="1:18" ht="14.25" customHeight="1">
      <c r="A56" s="3418" t="s">
        <v>853</v>
      </c>
      <c r="B56" s="3418" t="s">
        <v>975</v>
      </c>
      <c r="C56" s="3418">
        <v>20470</v>
      </c>
      <c r="D56" s="3418">
        <v>20700</v>
      </c>
      <c r="E56" s="3418">
        <v>20380</v>
      </c>
      <c r="F56" s="3424">
        <v>4760</v>
      </c>
      <c r="G56" s="3424">
        <v>14050</v>
      </c>
      <c r="I56" s="1024"/>
      <c r="O56" s="3427" t="s">
        <v>2884</v>
      </c>
    </row>
    <row r="57" spans="1:18" ht="14.25" customHeight="1">
      <c r="A57" s="3418" t="s">
        <v>853</v>
      </c>
      <c r="B57" s="3418" t="s">
        <v>985</v>
      </c>
      <c r="C57" s="3418">
        <v>20790</v>
      </c>
      <c r="D57" s="3418">
        <v>21370</v>
      </c>
      <c r="E57" s="3418">
        <v>20890</v>
      </c>
      <c r="F57" s="3424">
        <v>4910</v>
      </c>
      <c r="G57" s="3424">
        <v>14510</v>
      </c>
      <c r="I57" s="1024"/>
      <c r="O57" s="3427" t="s">
        <v>2885</v>
      </c>
    </row>
    <row r="58" spans="1:18" ht="14.25" customHeight="1">
      <c r="A58" s="3418" t="s">
        <v>853</v>
      </c>
      <c r="B58" s="3418" t="s">
        <v>994</v>
      </c>
      <c r="C58" s="3418">
        <v>21460</v>
      </c>
      <c r="D58" s="3418">
        <v>20920</v>
      </c>
      <c r="E58" s="3418">
        <v>23410</v>
      </c>
      <c r="F58" s="3424">
        <v>5100</v>
      </c>
      <c r="G58" s="3424">
        <v>14200</v>
      </c>
      <c r="I58" s="1024"/>
      <c r="O58" s="3427" t="s">
        <v>2886</v>
      </c>
    </row>
    <row r="59" spans="1:18" ht="14.25" customHeight="1">
      <c r="A59" s="3418" t="s">
        <v>853</v>
      </c>
      <c r="B59" s="3418" t="s">
        <v>1004</v>
      </c>
      <c r="C59" s="3418">
        <v>21000</v>
      </c>
      <c r="D59" s="3418">
        <v>21550</v>
      </c>
      <c r="E59" s="3418">
        <v>21150</v>
      </c>
      <c r="F59" s="3424">
        <v>5250</v>
      </c>
      <c r="G59" s="3424">
        <v>14630</v>
      </c>
      <c r="I59" s="1024"/>
      <c r="O59" s="3427" t="s">
        <v>2887</v>
      </c>
    </row>
    <row r="60" spans="1:18" ht="14.25" customHeight="1">
      <c r="A60" s="3418" t="s">
        <v>853</v>
      </c>
      <c r="B60" s="3418" t="s">
        <v>1011</v>
      </c>
      <c r="C60" s="3418">
        <v>21640</v>
      </c>
      <c r="D60" s="3418">
        <v>21260</v>
      </c>
      <c r="E60" s="3418">
        <v>24040</v>
      </c>
      <c r="F60" s="3424">
        <v>4470</v>
      </c>
      <c r="G60" s="3424">
        <v>14430</v>
      </c>
      <c r="I60" s="1024"/>
      <c r="O60" s="3427" t="s">
        <v>2888</v>
      </c>
    </row>
    <row r="61" spans="1:18" ht="14.25" customHeight="1">
      <c r="A61" s="3418" t="s">
        <v>853</v>
      </c>
      <c r="B61" s="3418" t="s">
        <v>1017</v>
      </c>
      <c r="C61" s="3418">
        <v>21330</v>
      </c>
      <c r="D61" s="3418">
        <v>18640</v>
      </c>
      <c r="E61" s="3418">
        <v>21190</v>
      </c>
      <c r="F61" s="3424">
        <v>4180</v>
      </c>
      <c r="G61" s="3426">
        <v>12650</v>
      </c>
      <c r="I61" s="1024"/>
      <c r="O61" s="3427" t="s">
        <v>2889</v>
      </c>
    </row>
    <row r="62" spans="1:18" ht="14.25" customHeight="1">
      <c r="A62" s="3418" t="s">
        <v>853</v>
      </c>
      <c r="B62" s="3418" t="s">
        <v>1024</v>
      </c>
      <c r="C62" s="3418">
        <v>18710</v>
      </c>
      <c r="D62" s="3418">
        <v>19400</v>
      </c>
      <c r="E62" s="3418">
        <v>23750</v>
      </c>
      <c r="F62" s="3424">
        <v>4860</v>
      </c>
      <c r="G62" s="3426">
        <v>13170</v>
      </c>
      <c r="I62" s="1024"/>
      <c r="O62" s="3427" t="s">
        <v>2890</v>
      </c>
    </row>
    <row r="63" spans="1:18" ht="14.25" customHeight="1">
      <c r="A63" s="3418" t="s">
        <v>853</v>
      </c>
      <c r="B63" s="3418" t="s">
        <v>1034</v>
      </c>
      <c r="C63" s="3418">
        <v>19480</v>
      </c>
      <c r="D63" s="3418">
        <v>16830</v>
      </c>
      <c r="E63" s="3418">
        <v>21590</v>
      </c>
      <c r="F63" s="3424">
        <v>4560</v>
      </c>
      <c r="G63" s="3426">
        <v>11420</v>
      </c>
      <c r="I63" s="1024"/>
      <c r="O63" s="3427" t="s">
        <v>2891</v>
      </c>
    </row>
    <row r="64" spans="1:18" ht="14.25" customHeight="1">
      <c r="A64" s="3418" t="s">
        <v>853</v>
      </c>
      <c r="B64" s="3418" t="s">
        <v>1043</v>
      </c>
      <c r="C64" s="3418">
        <v>16920</v>
      </c>
      <c r="D64" s="3418">
        <v>19190</v>
      </c>
      <c r="E64" s="3418">
        <v>22200</v>
      </c>
      <c r="F64" s="3424">
        <v>4390</v>
      </c>
      <c r="G64" s="3426">
        <v>13030</v>
      </c>
      <c r="I64" s="1024"/>
      <c r="O64" s="3427" t="s">
        <v>2892</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2832</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2833</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2834</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2835</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2836</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2837</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2838</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2839</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2840</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2841</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2842</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2843</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2844</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2845</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2846</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2847</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2848</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2849</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2850</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2851</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2852</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2853</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2854</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2855</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2856</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2857</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2858</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2859</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2860</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2861</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2862</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2863</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2864</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2865</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2866</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2867</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2868</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2869</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2870</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2871</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2872</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2873</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2874</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2875</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2876</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2877</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2878</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2879</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2880</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2881</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2882</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2883</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2884</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2885</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2886</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2887</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2888</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2889</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2890</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2891</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2892</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2893</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2894</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2895</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2896</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2897</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2898</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2899</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2900</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2901</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2902</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2903</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2904</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2905</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2906</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2907</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2908</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2909</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2910</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2911</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2912</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2913</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2914</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2915</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2916</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2917</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2918</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2919</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2920</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2921</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2922</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2923</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2924</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2925</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2926</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2927</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2928</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2929</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2930</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2931</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2932</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2933</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2934</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2935</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2936</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2937</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2938</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2939</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2940</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2941</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2942</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2943</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2944</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2945</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2946</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2947</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2948</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2949</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2950</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2951</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2952</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2953</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2954</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2955</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2956</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2957</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2958</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2959</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2960</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2961</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2962</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2963</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2964</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2965</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2966</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2967</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2968</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2969</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2970</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2971</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2972</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2973</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2974</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2975</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2976</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2977</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2978</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2979</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2980</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2981</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2982</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2983</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2984</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2985</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2986</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2987</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2988</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2989</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2990</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2991</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2992</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2993</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2994</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2995</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2761</v>
      </c>
      <c r="B358" s="3445" t="s">
        <v>3007</v>
      </c>
      <c r="C358" s="3445">
        <v>2080</v>
      </c>
      <c r="D358" s="3445">
        <v>2040</v>
      </c>
      <c r="E358" s="3445">
        <v>2010</v>
      </c>
      <c r="F358" s="3445">
        <v>530</v>
      </c>
      <c r="G358" s="3446">
        <v>1230</v>
      </c>
      <c r="H358" s="3440"/>
    </row>
    <row r="359" spans="1:8">
      <c r="A359" s="3447" t="s">
        <v>2761</v>
      </c>
      <c r="B359" s="3427" t="s">
        <v>3008</v>
      </c>
      <c r="C359" s="3427">
        <v>1850</v>
      </c>
      <c r="D359" s="3427">
        <v>1820</v>
      </c>
      <c r="E359" s="3427">
        <v>1780</v>
      </c>
      <c r="F359" s="3427">
        <v>520</v>
      </c>
      <c r="G359" s="3439">
        <v>1100</v>
      </c>
      <c r="H359" s="3440"/>
    </row>
    <row r="360" spans="1:8">
      <c r="A360" s="3447" t="s">
        <v>2761</v>
      </c>
      <c r="B360" s="3427" t="s">
        <v>3009</v>
      </c>
      <c r="C360" s="3427">
        <v>2020</v>
      </c>
      <c r="D360" s="3427">
        <v>1990</v>
      </c>
      <c r="E360" s="3427">
        <v>1950</v>
      </c>
      <c r="F360" s="3427">
        <v>500</v>
      </c>
      <c r="G360" s="3439">
        <v>1200</v>
      </c>
      <c r="H360" s="3440"/>
    </row>
    <row r="361" spans="1:8">
      <c r="A361" s="3447" t="s">
        <v>2761</v>
      </c>
      <c r="B361" s="3427" t="s">
        <v>999</v>
      </c>
      <c r="C361" s="3427">
        <v>2260</v>
      </c>
      <c r="D361" s="3427">
        <v>2220</v>
      </c>
      <c r="E361" s="3427">
        <v>2180</v>
      </c>
      <c r="F361" s="3427">
        <v>580</v>
      </c>
      <c r="G361" s="3439">
        <v>1340</v>
      </c>
      <c r="H361" s="3440"/>
    </row>
    <row r="362" spans="1:8">
      <c r="A362" s="3447" t="s">
        <v>2761</v>
      </c>
      <c r="B362" s="3427" t="s">
        <v>3010</v>
      </c>
      <c r="C362" s="3427">
        <v>2650</v>
      </c>
      <c r="D362" s="3427">
        <v>2610</v>
      </c>
      <c r="E362" s="3427">
        <v>2570</v>
      </c>
      <c r="F362" s="3427">
        <v>630</v>
      </c>
      <c r="G362" s="3439">
        <v>1570</v>
      </c>
      <c r="H362" s="3440"/>
    </row>
    <row r="363" spans="1:8">
      <c r="A363" s="3447" t="s">
        <v>2761</v>
      </c>
      <c r="B363" s="3427" t="s">
        <v>3011</v>
      </c>
      <c r="C363" s="3427">
        <v>2390</v>
      </c>
      <c r="D363" s="3427">
        <v>2360</v>
      </c>
      <c r="E363" s="3427">
        <v>2320</v>
      </c>
      <c r="F363" s="3427">
        <v>600</v>
      </c>
      <c r="G363" s="3439">
        <v>1420</v>
      </c>
      <c r="H363" s="3440"/>
    </row>
    <row r="364" spans="1:8">
      <c r="A364" s="3447" t="s">
        <v>2761</v>
      </c>
      <c r="B364" s="3427" t="s">
        <v>3012</v>
      </c>
      <c r="C364" s="3427">
        <v>2050</v>
      </c>
      <c r="D364" s="3427">
        <v>2030</v>
      </c>
      <c r="E364" s="3427">
        <v>1990</v>
      </c>
      <c r="F364" s="3427">
        <v>550</v>
      </c>
      <c r="G364" s="3439">
        <v>1220</v>
      </c>
      <c r="H364" s="3440"/>
    </row>
    <row r="365" spans="1:8">
      <c r="A365" s="3447" t="s">
        <v>2761</v>
      </c>
      <c r="B365" s="3427" t="s">
        <v>1047</v>
      </c>
      <c r="C365" s="3427">
        <v>2140</v>
      </c>
      <c r="D365" s="3427">
        <v>2100</v>
      </c>
      <c r="E365" s="3427">
        <v>2060</v>
      </c>
      <c r="F365" s="3427">
        <v>540</v>
      </c>
      <c r="G365" s="3439">
        <v>1270</v>
      </c>
      <c r="H365" s="3440"/>
    </row>
    <row r="366" spans="1:8">
      <c r="A366" s="3447" t="s">
        <v>2761</v>
      </c>
      <c r="B366" s="3427" t="s">
        <v>3013</v>
      </c>
      <c r="C366" s="3427">
        <v>2410</v>
      </c>
      <c r="D366" s="3427">
        <v>2370</v>
      </c>
      <c r="E366" s="3427">
        <v>2330</v>
      </c>
      <c r="F366" s="3427">
        <v>570</v>
      </c>
      <c r="G366" s="3439">
        <v>1440</v>
      </c>
      <c r="H366" s="3440"/>
    </row>
    <row r="367" spans="1:8">
      <c r="A367" s="3447" t="s">
        <v>2761</v>
      </c>
      <c r="B367" s="3427" t="s">
        <v>3014</v>
      </c>
      <c r="C367" s="3427">
        <v>2300</v>
      </c>
      <c r="D367" s="3427">
        <v>2260</v>
      </c>
      <c r="E367" s="3427">
        <v>2220</v>
      </c>
      <c r="F367" s="3427">
        <v>560</v>
      </c>
      <c r="G367" s="3439">
        <v>1370</v>
      </c>
      <c r="H367" s="3440"/>
    </row>
    <row r="368" spans="1:8">
      <c r="A368" s="3447" t="s">
        <v>2761</v>
      </c>
      <c r="B368" s="3427" t="s">
        <v>3015</v>
      </c>
      <c r="C368" s="3427">
        <v>2430</v>
      </c>
      <c r="D368" s="3427">
        <v>2390</v>
      </c>
      <c r="E368" s="3427">
        <v>2350</v>
      </c>
      <c r="F368" s="3427">
        <v>570</v>
      </c>
      <c r="G368" s="3439">
        <v>1450</v>
      </c>
      <c r="H368" s="3440"/>
    </row>
    <row r="369" spans="1:8">
      <c r="A369" s="3447" t="s">
        <v>2761</v>
      </c>
      <c r="B369" s="3427" t="s">
        <v>1061</v>
      </c>
      <c r="C369" s="3427">
        <v>2320</v>
      </c>
      <c r="D369" s="3427">
        <v>2290</v>
      </c>
      <c r="E369" s="3427">
        <v>2250</v>
      </c>
      <c r="F369" s="3427">
        <v>550</v>
      </c>
      <c r="G369" s="3439">
        <v>1380</v>
      </c>
      <c r="H369" s="3440"/>
    </row>
    <row r="370" spans="1:8">
      <c r="A370" s="3447" t="s">
        <v>2761</v>
      </c>
      <c r="B370" s="3427" t="s">
        <v>1069</v>
      </c>
      <c r="C370" s="3427">
        <v>2190</v>
      </c>
      <c r="D370" s="3427">
        <v>2170</v>
      </c>
      <c r="E370" s="3427">
        <v>2130</v>
      </c>
      <c r="F370" s="3427">
        <v>530</v>
      </c>
      <c r="G370" s="3439">
        <v>1310</v>
      </c>
      <c r="H370" s="3440"/>
    </row>
    <row r="371" spans="1:8">
      <c r="A371" s="3447" t="s">
        <v>2761</v>
      </c>
      <c r="B371" s="3427" t="s">
        <v>1077</v>
      </c>
      <c r="C371" s="3427">
        <v>2460</v>
      </c>
      <c r="D371" s="3427">
        <v>2420</v>
      </c>
      <c r="E371" s="3427">
        <v>2370</v>
      </c>
      <c r="F371" s="3427">
        <v>560</v>
      </c>
      <c r="G371" s="3439">
        <v>1470</v>
      </c>
      <c r="H371" s="3440"/>
    </row>
    <row r="372" spans="1:8">
      <c r="A372" s="3447" t="s">
        <v>2761</v>
      </c>
      <c r="B372" s="3427" t="s">
        <v>3016</v>
      </c>
      <c r="C372" s="3427">
        <v>2250</v>
      </c>
      <c r="D372" s="3427">
        <v>2210</v>
      </c>
      <c r="E372" s="3427">
        <v>2180</v>
      </c>
      <c r="F372" s="3427">
        <v>550</v>
      </c>
      <c r="G372" s="3439">
        <v>1340</v>
      </c>
      <c r="H372" s="3440"/>
    </row>
    <row r="373" spans="1:8">
      <c r="A373" s="3447" t="s">
        <v>2761</v>
      </c>
      <c r="B373" s="3427" t="s">
        <v>1106</v>
      </c>
      <c r="C373" s="3427">
        <v>2210</v>
      </c>
      <c r="D373" s="3427">
        <v>2190</v>
      </c>
      <c r="E373" s="3427">
        <v>2150</v>
      </c>
      <c r="F373" s="3427">
        <v>530</v>
      </c>
      <c r="G373" s="3439">
        <v>1320</v>
      </c>
      <c r="H373" s="3440"/>
    </row>
    <row r="374" spans="1:8">
      <c r="A374" s="3447" t="s">
        <v>2761</v>
      </c>
      <c r="B374" s="3427" t="s">
        <v>1114</v>
      </c>
      <c r="C374" s="3427">
        <v>2320</v>
      </c>
      <c r="D374" s="3427">
        <v>2280</v>
      </c>
      <c r="E374" s="3427">
        <v>2230</v>
      </c>
      <c r="F374" s="3427">
        <v>580</v>
      </c>
      <c r="G374" s="3439">
        <v>1380</v>
      </c>
      <c r="H374" s="3440"/>
    </row>
    <row r="375" spans="1:8">
      <c r="A375" s="3447" t="s">
        <v>2761</v>
      </c>
      <c r="B375" s="3427" t="s">
        <v>3017</v>
      </c>
      <c r="C375" s="3427">
        <v>2090</v>
      </c>
      <c r="D375" s="3427">
        <v>2050</v>
      </c>
      <c r="E375" s="3427">
        <v>2020</v>
      </c>
      <c r="F375" s="3427">
        <v>520</v>
      </c>
      <c r="G375" s="3439">
        <v>1240</v>
      </c>
      <c r="H375" s="3440"/>
    </row>
    <row r="376" spans="1:8">
      <c r="A376" s="3447" t="s">
        <v>2761</v>
      </c>
      <c r="B376" s="3427" t="s">
        <v>1126</v>
      </c>
      <c r="C376" s="3427">
        <v>2010</v>
      </c>
      <c r="D376" s="3427">
        <v>1980</v>
      </c>
      <c r="E376" s="3427">
        <v>1940</v>
      </c>
      <c r="F376" s="3427">
        <v>540</v>
      </c>
      <c r="G376" s="3439">
        <v>1190</v>
      </c>
      <c r="H376" s="3440"/>
    </row>
    <row r="377" spans="1:8" ht="14.25" thickBot="1">
      <c r="A377" s="3449" t="s">
        <v>2761</v>
      </c>
      <c r="B377" s="3443" t="s">
        <v>3018</v>
      </c>
      <c r="C377" s="3443">
        <v>1930</v>
      </c>
      <c r="D377" s="3443">
        <v>1890</v>
      </c>
      <c r="E377" s="3443">
        <v>1860</v>
      </c>
      <c r="F377" s="3443">
        <v>530</v>
      </c>
      <c r="G377" s="3450">
        <v>1150</v>
      </c>
      <c r="H377" s="3440"/>
    </row>
    <row r="378" spans="1:8">
      <c r="A378" s="3444" t="s">
        <v>2762</v>
      </c>
      <c r="B378" s="3445" t="s">
        <v>3019</v>
      </c>
      <c r="C378" s="3445">
        <v>1520</v>
      </c>
      <c r="D378" s="3445">
        <v>1490</v>
      </c>
      <c r="E378" s="3445">
        <v>1460</v>
      </c>
      <c r="F378" s="3445">
        <v>460</v>
      </c>
      <c r="G378" s="3446">
        <v>940</v>
      </c>
      <c r="H378" s="3440"/>
    </row>
    <row r="379" spans="1:8">
      <c r="A379" s="3447" t="s">
        <v>2762</v>
      </c>
      <c r="B379" s="3427" t="s">
        <v>3020</v>
      </c>
      <c r="C379" s="3427">
        <v>1500</v>
      </c>
      <c r="D379" s="3427">
        <v>1470</v>
      </c>
      <c r="E379" s="3427">
        <v>1430</v>
      </c>
      <c r="F379" s="3427">
        <v>460</v>
      </c>
      <c r="G379" s="3439">
        <v>920</v>
      </c>
      <c r="H379" s="3440"/>
    </row>
    <row r="380" spans="1:8">
      <c r="A380" s="3447" t="s">
        <v>2762</v>
      </c>
      <c r="B380" s="3427" t="s">
        <v>3021</v>
      </c>
      <c r="C380" s="3427">
        <v>1620</v>
      </c>
      <c r="D380" s="3427">
        <v>1590</v>
      </c>
      <c r="E380" s="3427">
        <v>1560</v>
      </c>
      <c r="F380" s="3427">
        <v>480</v>
      </c>
      <c r="G380" s="3439">
        <v>1000</v>
      </c>
      <c r="H380" s="3440"/>
    </row>
    <row r="381" spans="1:8">
      <c r="A381" s="3447" t="s">
        <v>2762</v>
      </c>
      <c r="B381" s="3427" t="s">
        <v>3022</v>
      </c>
      <c r="C381" s="3427">
        <v>1460</v>
      </c>
      <c r="D381" s="3427">
        <v>1430</v>
      </c>
      <c r="E381" s="3427">
        <v>1390</v>
      </c>
      <c r="F381" s="3427">
        <v>450</v>
      </c>
      <c r="G381" s="3439">
        <v>900</v>
      </c>
      <c r="H381" s="3440"/>
    </row>
    <row r="382" spans="1:8">
      <c r="A382" s="3447" t="s">
        <v>2762</v>
      </c>
      <c r="B382" s="3427" t="s">
        <v>3023</v>
      </c>
      <c r="C382" s="3427">
        <v>1310</v>
      </c>
      <c r="D382" s="3427">
        <v>1280</v>
      </c>
      <c r="E382" s="3427">
        <v>1250</v>
      </c>
      <c r="F382" s="3427">
        <v>440</v>
      </c>
      <c r="G382" s="3439">
        <v>800</v>
      </c>
      <c r="H382" s="3440"/>
    </row>
    <row r="383" spans="1:8">
      <c r="A383" s="3447" t="s">
        <v>2762</v>
      </c>
      <c r="B383" s="3427" t="s">
        <v>3024</v>
      </c>
      <c r="C383" s="3427">
        <v>1260</v>
      </c>
      <c r="D383" s="3427">
        <v>1230</v>
      </c>
      <c r="E383" s="3427">
        <v>1200</v>
      </c>
      <c r="F383" s="3427">
        <v>420</v>
      </c>
      <c r="G383" s="3439">
        <v>770</v>
      </c>
      <c r="H383" s="3440"/>
    </row>
    <row r="384" spans="1:8" ht="14.25" thickBot="1">
      <c r="A384" s="3448" t="s">
        <v>2762</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3188</v>
      </c>
      <c r="B1" s="3944"/>
      <c r="C1" s="3944"/>
      <c r="D1" s="3944"/>
      <c r="E1" s="3944"/>
      <c r="F1" s="394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2737</v>
      </c>
      <c r="C4" s="3497" t="s">
        <v>1212</v>
      </c>
      <c r="D4" s="3497" t="s">
        <v>3187</v>
      </c>
      <c r="E4" s="3497" t="s">
        <v>905</v>
      </c>
      <c r="F4" s="3497" t="s">
        <v>3192</v>
      </c>
    </row>
    <row r="5" spans="1:6">
      <c r="A5" s="3498" t="s">
        <v>2760</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2761</v>
      </c>
      <c r="B16" s="3500">
        <v>2230</v>
      </c>
      <c r="C16" s="3500">
        <v>2200</v>
      </c>
      <c r="D16" s="3500">
        <v>2180</v>
      </c>
      <c r="E16" s="3500">
        <v>570</v>
      </c>
      <c r="F16" s="3500">
        <v>1330</v>
      </c>
    </row>
    <row r="17" spans="1:6">
      <c r="A17" s="3498" t="s">
        <v>2762</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46" t="s">
        <v>3026</v>
      </c>
      <c r="B1" s="3946"/>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54" t="s">
        <v>1858</v>
      </c>
      <c r="C1" s="3954"/>
      <c r="D1" s="3954"/>
      <c r="E1" s="3954"/>
      <c r="F1" s="3954"/>
      <c r="G1" s="3953" t="s">
        <v>1859</v>
      </c>
      <c r="H1" s="3953"/>
      <c r="I1" s="3953"/>
      <c r="J1" s="3953"/>
      <c r="K1" s="3953"/>
      <c r="L1" s="3953"/>
      <c r="N1" s="3953" t="s">
        <v>1860</v>
      </c>
      <c r="O1" s="3953"/>
      <c r="P1" s="3953"/>
      <c r="Q1" s="3953"/>
      <c r="S1" s="3953" t="s">
        <v>1861</v>
      </c>
      <c r="T1" s="3953"/>
      <c r="U1" s="3953"/>
      <c r="V1" s="3953"/>
      <c r="X1" s="3952" t="s">
        <v>1921</v>
      </c>
      <c r="Y1" s="3953"/>
      <c r="Z1" s="3953"/>
      <c r="AA1" s="3953"/>
      <c r="AB1" s="3953"/>
      <c r="AD1" s="3952" t="s">
        <v>1925</v>
      </c>
      <c r="AE1" s="3953"/>
      <c r="AF1" s="3953"/>
      <c r="AG1" s="3953"/>
      <c r="AH1" s="3953"/>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2445</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2444</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2443</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2442</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2441</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2290</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2289</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2288</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2287</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2285</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2284</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2249</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2247</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2245</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2244</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48">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48"/>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48"/>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49"/>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47">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48"/>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48"/>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49"/>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47">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48"/>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48"/>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1"/>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48"/>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48"/>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1"/>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48"/>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48"/>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1"/>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5">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6"/>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6"/>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7"/>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48"/>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48"/>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1"/>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48">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48">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1">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48">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48">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1">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48">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48">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1">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48">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48">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1">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48">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48">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1">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48">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48">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1">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48">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48">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1">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48">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48">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1">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48">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48">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1">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48">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48">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1">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2789</v>
      </c>
      <c r="C1" s="3343"/>
      <c r="D1" s="3343"/>
      <c r="E1" s="3343"/>
      <c r="F1" s="3343"/>
      <c r="G1" s="3343"/>
      <c r="H1" s="3343"/>
      <c r="I1" s="3343"/>
      <c r="J1" s="3344"/>
      <c r="K1" s="3343" t="s">
        <v>2790</v>
      </c>
      <c r="L1" s="3343"/>
      <c r="M1" s="3343"/>
      <c r="N1" s="3343"/>
      <c r="O1" s="3343"/>
      <c r="P1" s="3343"/>
      <c r="Q1" s="3344"/>
      <c r="R1" s="3958" t="s">
        <v>2799</v>
      </c>
      <c r="S1" s="3959"/>
      <c r="T1" s="3959"/>
      <c r="U1" s="3959"/>
      <c r="V1" s="3959"/>
      <c r="W1" s="3959"/>
      <c r="X1" s="3344"/>
      <c r="Y1" s="3958" t="s">
        <v>2810</v>
      </c>
      <c r="Z1" s="3959"/>
      <c r="AA1" s="3959"/>
      <c r="AB1" s="3959"/>
      <c r="AC1" s="3959"/>
      <c r="AD1" s="3959"/>
    </row>
    <row r="2" spans="1:30" ht="14.25" thickBot="1">
      <c r="A2" s="3335"/>
      <c r="B2" s="3345"/>
      <c r="C2" s="3346"/>
      <c r="D2" s="3347" t="s">
        <v>2792</v>
      </c>
      <c r="E2" s="3348" t="s">
        <v>2793</v>
      </c>
      <c r="F2" s="3348" t="s">
        <v>2794</v>
      </c>
      <c r="G2" s="3348" t="s">
        <v>2795</v>
      </c>
      <c r="H2" s="3348" t="s">
        <v>2796</v>
      </c>
      <c r="I2" s="3348" t="s">
        <v>2736</v>
      </c>
      <c r="J2" s="3349"/>
      <c r="K2" s="3347" t="s">
        <v>2792</v>
      </c>
      <c r="L2" s="3348" t="s">
        <v>2793</v>
      </c>
      <c r="M2" s="3348" t="s">
        <v>2794</v>
      </c>
      <c r="N2" s="3348" t="s">
        <v>2795</v>
      </c>
      <c r="O2" s="3348" t="s">
        <v>2796</v>
      </c>
      <c r="P2" s="3348" t="s">
        <v>2736</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2453</v>
      </c>
    </row>
    <row r="3" spans="1:30">
      <c r="A3" s="3336" t="s">
        <v>2779</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3249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2780</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3247</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3245</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3246</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58" t="s">
        <v>2806</v>
      </c>
      <c r="S21" s="3959"/>
      <c r="T21" s="3959"/>
      <c r="U21" s="3959"/>
      <c r="V21" s="3959"/>
      <c r="W21" s="3959"/>
      <c r="X21" s="3344"/>
      <c r="Y21" s="3958" t="s">
        <v>1925</v>
      </c>
      <c r="Z21" s="3959"/>
      <c r="AA21" s="3959"/>
      <c r="AB21" s="3959"/>
      <c r="AC21" s="3959"/>
      <c r="AD21" s="3959"/>
    </row>
    <row r="22" spans="1:30" ht="14.25" thickBot="1">
      <c r="A22" s="3335"/>
      <c r="B22" s="3345"/>
      <c r="C22" s="3346"/>
      <c r="D22" s="3347" t="s">
        <v>2792</v>
      </c>
      <c r="E22" s="3348" t="s">
        <v>2793</v>
      </c>
      <c r="F22" s="3348" t="s">
        <v>2794</v>
      </c>
      <c r="G22" s="3348" t="s">
        <v>1469</v>
      </c>
      <c r="H22" s="3348"/>
      <c r="I22" s="3348" t="s">
        <v>2736</v>
      </c>
      <c r="J22" s="3349"/>
      <c r="K22" s="3347" t="s">
        <v>2792</v>
      </c>
      <c r="L22" s="3348" t="s">
        <v>2793</v>
      </c>
      <c r="M22" s="3348" t="s">
        <v>2794</v>
      </c>
      <c r="N22" s="3348" t="s">
        <v>2795</v>
      </c>
      <c r="O22" s="3348"/>
      <c r="P22" s="3348" t="s">
        <v>2736</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3249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2780</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3247</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3246</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5"/>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5"/>
      <c r="H9" s="2133"/>
      <c r="I9" s="3962"/>
      <c r="J9" s="754"/>
      <c r="K9" s="755"/>
      <c r="L9" s="750" t="s">
        <v>1268</v>
      </c>
      <c r="M9" s="751">
        <f ca="1">F9</f>
        <v>0</v>
      </c>
    </row>
    <row r="10" spans="1:25" ht="18" customHeight="1">
      <c r="A10" s="2137"/>
      <c r="B10" s="3963"/>
      <c r="C10" s="1610"/>
      <c r="D10" s="1607"/>
      <c r="E10" s="59" t="s">
        <v>587</v>
      </c>
      <c r="F10" s="751">
        <f ca="1">INDIRECT("'数据-取费表'!ai"&amp;$G$1)</f>
        <v>0</v>
      </c>
      <c r="G10" s="1405"/>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5"/>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2279</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5"/>
      <c r="L54" s="396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13" sqref="C13"/>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3422</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511</v>
      </c>
      <c r="D6" s="2141" t="s">
        <v>1806</v>
      </c>
      <c r="E6" s="750" t="s">
        <v>1267</v>
      </c>
      <c r="F6" s="751">
        <f ca="1">INDIRECT("'数据-取费表'!u"&amp;$G$1)</f>
        <v>0.35</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47083.990000000005</v>
      </c>
      <c r="G7" s="1783"/>
      <c r="H7" s="2133"/>
      <c r="I7" s="3962"/>
      <c r="J7" s="754"/>
      <c r="K7" s="755"/>
      <c r="L7" s="750" t="s">
        <v>1268</v>
      </c>
      <c r="M7" s="751">
        <f ca="1">F7</f>
        <v>47083.990000000005</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0.15</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3423</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6434</v>
      </c>
      <c r="D13" s="1618" t="s">
        <v>1654</v>
      </c>
      <c r="E13" s="1618" t="s">
        <v>1273</v>
      </c>
      <c r="F13" s="2151">
        <f ca="1">INDIRECT("'数据-取费表'!y"&amp;$G$1)</f>
        <v>0.878</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2280</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3244</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450</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6.43</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1.2330000000000001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-0.2330000000000001</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0.93200000000000005</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6.7999999999999949E-2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3424</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-1810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67" t="s">
        <v>2223</v>
      </c>
      <c r="L53" s="396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6434</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3390</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6.43</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-1810</v>
      </c>
      <c r="R68" s="2095" t="s">
        <v>1770</v>
      </c>
    </row>
    <row r="69" spans="1:18" ht="20.25" thickBot="1">
      <c r="A69" s="756"/>
      <c r="B69" s="757"/>
      <c r="C69" s="758"/>
      <c r="D69" s="781"/>
      <c r="E69" s="750" t="s">
        <v>657</v>
      </c>
      <c r="F69" s="2062"/>
      <c r="O69" s="2090" t="s">
        <v>1738</v>
      </c>
      <c r="P69" s="2096" t="s">
        <v>1752</v>
      </c>
      <c r="Q69" s="2089">
        <f ca="1">ROUND(Q70-Q71*Q72,0)</f>
        <v>-85</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6434</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2439</v>
      </c>
      <c r="B1" s="3053"/>
      <c r="C1" s="3066"/>
      <c r="D1" s="3066"/>
      <c r="E1" s="3054"/>
      <c r="F1" s="3055"/>
      <c r="G1" s="3056"/>
      <c r="J1" s="3059" t="s">
        <v>2296</v>
      </c>
      <c r="K1" s="3060"/>
      <c r="L1" s="3060"/>
      <c r="M1" s="3060"/>
      <c r="N1" s="3060"/>
      <c r="O1" s="3060"/>
      <c r="P1" s="3060"/>
      <c r="Q1" s="3060"/>
      <c r="R1" s="3061"/>
      <c r="S1" s="3062"/>
      <c r="T1" s="3062"/>
      <c r="U1" s="3062"/>
    </row>
    <row r="2" spans="1:22" s="3075" customFormat="1" ht="13.15" customHeight="1">
      <c r="A2" s="3064" t="s">
        <v>2297</v>
      </c>
      <c r="B2" s="3065" t="e">
        <f>C40</f>
        <v>#DIV/0!</v>
      </c>
      <c r="C2" s="3066" t="s">
        <v>2298</v>
      </c>
      <c r="D2" s="3066"/>
      <c r="E2" s="3067"/>
      <c r="F2" s="3068"/>
      <c r="G2" s="3069"/>
      <c r="H2" s="3070"/>
      <c r="I2" s="3071"/>
      <c r="J2" s="3969" t="s">
        <v>2299</v>
      </c>
      <c r="K2" s="3970"/>
      <c r="L2" s="3072" t="s">
        <v>2300</v>
      </c>
      <c r="M2" s="3072" t="s">
        <v>2301</v>
      </c>
      <c r="N2" s="3072" t="s">
        <v>2302</v>
      </c>
      <c r="O2" s="3072" t="s">
        <v>2303</v>
      </c>
      <c r="P2" s="3072" t="s">
        <v>2304</v>
      </c>
      <c r="Q2" s="3073" t="s">
        <v>2305</v>
      </c>
      <c r="R2" s="3074" t="s">
        <v>2306</v>
      </c>
      <c r="S2" s="3062"/>
      <c r="T2" s="3062"/>
      <c r="U2" s="3062"/>
      <c r="V2" s="3071"/>
    </row>
    <row r="3" spans="1:22" s="3075" customFormat="1" ht="13.15" customHeight="1">
      <c r="A3" s="3076" t="s">
        <v>2307</v>
      </c>
      <c r="B3" s="3077" t="e">
        <f>ROUND(B2*10000/B4,0)</f>
        <v>#DIV/0!</v>
      </c>
      <c r="C3" s="3066" t="s">
        <v>2308</v>
      </c>
      <c r="D3" s="3066"/>
      <c r="E3" s="3067"/>
      <c r="F3" s="3068"/>
      <c r="G3" s="3069"/>
      <c r="H3" s="3070"/>
      <c r="I3" s="3071"/>
      <c r="J3" s="3971" t="s">
        <v>2309</v>
      </c>
      <c r="K3" s="3972"/>
      <c r="L3" s="3078"/>
      <c r="M3" s="3078"/>
      <c r="N3" s="3078"/>
      <c r="O3" s="3078"/>
      <c r="P3" s="3078"/>
      <c r="Q3" s="3079"/>
      <c r="R3" s="3080">
        <f>SUM(L3:Q3)</f>
        <v>0</v>
      </c>
      <c r="S3" s="3062"/>
      <c r="T3" s="3062"/>
      <c r="U3" s="3062"/>
      <c r="V3" s="3071"/>
    </row>
    <row r="4" spans="1:22" s="3075" customFormat="1" ht="13.15" customHeight="1">
      <c r="A4" s="3081" t="s">
        <v>2310</v>
      </c>
      <c r="B4" s="3082"/>
      <c r="C4" s="3066"/>
      <c r="D4" s="3066"/>
      <c r="E4" s="3067"/>
      <c r="F4" s="3068"/>
      <c r="G4" s="3069"/>
      <c r="H4" s="3070"/>
      <c r="I4" s="3071"/>
      <c r="J4" s="3971" t="s">
        <v>2311</v>
      </c>
      <c r="K4" s="3972"/>
      <c r="L4" s="3083"/>
      <c r="M4" s="3083"/>
      <c r="N4" s="3083"/>
      <c r="O4" s="3083"/>
      <c r="P4" s="3083"/>
      <c r="Q4" s="3084"/>
      <c r="R4" s="3085">
        <f>SUM(L4:Q4)</f>
        <v>0</v>
      </c>
      <c r="S4" s="3062"/>
      <c r="T4" s="3062"/>
      <c r="U4" s="3062"/>
      <c r="V4" s="3071"/>
    </row>
    <row r="5" spans="1:22" s="3075" customFormat="1" ht="13.15" customHeight="1" thickBot="1">
      <c r="A5" s="3086" t="s">
        <v>2312</v>
      </c>
      <c r="B5" s="3087"/>
      <c r="C5" s="3066"/>
      <c r="D5" s="3088"/>
      <c r="E5" s="3068"/>
      <c r="F5" s="3068"/>
      <c r="G5" s="3069"/>
      <c r="H5" s="3070"/>
      <c r="I5" s="3071"/>
      <c r="J5" s="3089" t="s">
        <v>2313</v>
      </c>
      <c r="K5" s="3090"/>
      <c r="L5" s="3090"/>
      <c r="M5" s="3091"/>
      <c r="N5" s="3091"/>
      <c r="O5" s="3091"/>
      <c r="P5" s="3091"/>
      <c r="Q5" s="3091"/>
      <c r="R5" s="3074">
        <f>SUM(R14,R19,R24,R25,R27,R28)</f>
        <v>0</v>
      </c>
      <c r="S5" s="3062"/>
      <c r="T5" s="3062" t="s">
        <v>2314</v>
      </c>
      <c r="U5" s="3062" t="e">
        <f>ROUND(R5*10000/365/R3,1)</f>
        <v>#DIV/0!</v>
      </c>
      <c r="V5" s="3071"/>
    </row>
    <row r="6" spans="1:22" s="3075" customFormat="1" ht="13.15" customHeight="1" thickBot="1">
      <c r="A6" s="3973" t="s">
        <v>2315</v>
      </c>
      <c r="B6" s="3974"/>
      <c r="C6" s="3975"/>
      <c r="D6" s="3092"/>
      <c r="E6" s="3093"/>
      <c r="F6" s="3094"/>
      <c r="G6" s="3095"/>
      <c r="H6" s="3070"/>
      <c r="I6" s="3071"/>
      <c r="J6" s="3976">
        <v>1</v>
      </c>
      <c r="K6" s="3977" t="s">
        <v>2316</v>
      </c>
      <c r="L6" s="3096" t="s">
        <v>2317</v>
      </c>
      <c r="M6" s="3097" t="s">
        <v>2318</v>
      </c>
      <c r="N6" s="3097" t="s">
        <v>2319</v>
      </c>
      <c r="O6" s="3097" t="s">
        <v>2320</v>
      </c>
      <c r="P6" s="3097" t="s">
        <v>2321</v>
      </c>
      <c r="Q6" s="3097" t="s">
        <v>2322</v>
      </c>
      <c r="R6" s="3080" t="s">
        <v>2323</v>
      </c>
      <c r="S6" s="3062"/>
      <c r="T6" s="3062" t="s">
        <v>2324</v>
      </c>
      <c r="U6" s="3062"/>
      <c r="V6" s="3071"/>
    </row>
    <row r="7" spans="1:22" s="3075" customFormat="1" ht="13.15" customHeight="1">
      <c r="A7" s="3098" t="s">
        <v>2325</v>
      </c>
      <c r="B7" s="3099"/>
      <c r="C7" s="3100"/>
      <c r="D7" s="3101">
        <f>SUM(D9,D10,D11,D17,0)</f>
        <v>0</v>
      </c>
      <c r="E7" s="3102" t="e">
        <f>E9+E10+E11+E17</f>
        <v>#DIV/0!</v>
      </c>
      <c r="F7" s="3103"/>
      <c r="G7" s="3104"/>
      <c r="H7" s="3070"/>
      <c r="I7" s="3071"/>
      <c r="J7" s="3976"/>
      <c r="K7" s="3978"/>
      <c r="L7" s="3105" t="s">
        <v>2326</v>
      </c>
      <c r="M7" s="3106"/>
      <c r="N7" s="3082"/>
      <c r="O7" s="3107"/>
      <c r="P7" s="3107"/>
      <c r="Q7" s="3108">
        <v>365</v>
      </c>
      <c r="R7" s="3109">
        <f>ROUND(M7*N7*O7*P7*Q7/10000,0)</f>
        <v>0</v>
      </c>
      <c r="S7" s="3062"/>
      <c r="T7" s="3062" t="s">
        <v>2327</v>
      </c>
      <c r="U7" s="3062"/>
      <c r="V7" s="3071"/>
    </row>
    <row r="8" spans="1:22" s="3075" customFormat="1" ht="13.15" customHeight="1">
      <c r="A8" s="3110" t="s">
        <v>2328</v>
      </c>
      <c r="B8" s="3980" t="s">
        <v>2329</v>
      </c>
      <c r="C8" s="3981"/>
      <c r="D8" s="3111" t="s">
        <v>2330</v>
      </c>
      <c r="E8" s="3112" t="s">
        <v>2331</v>
      </c>
      <c r="F8" s="3113" t="s">
        <v>2332</v>
      </c>
      <c r="G8" s="3114"/>
      <c r="H8" s="3070"/>
      <c r="I8" s="3071"/>
      <c r="J8" s="3976"/>
      <c r="K8" s="3978"/>
      <c r="L8" s="3105" t="s">
        <v>2333</v>
      </c>
      <c r="M8" s="3106"/>
      <c r="N8" s="3082"/>
      <c r="O8" s="3107"/>
      <c r="P8" s="3107"/>
      <c r="Q8" s="3108">
        <v>365</v>
      </c>
      <c r="R8" s="3109">
        <f t="shared" ref="R8:R13" si="0">ROUND(M8*N8*O8*P8*Q8/10000,0)</f>
        <v>0</v>
      </c>
      <c r="S8" s="3062"/>
      <c r="T8" s="3062" t="s">
        <v>2334</v>
      </c>
      <c r="U8" s="3062"/>
      <c r="V8" s="3071"/>
    </row>
    <row r="9" spans="1:22" s="3075" customFormat="1" ht="13.15" customHeight="1">
      <c r="A9" s="3110">
        <v>1</v>
      </c>
      <c r="B9" s="3980" t="s">
        <v>2335</v>
      </c>
      <c r="C9" s="3981"/>
      <c r="D9" s="3111">
        <f>ROUND(D6*E9,0)</f>
        <v>0</v>
      </c>
      <c r="E9" s="3115"/>
      <c r="F9" s="3116" t="s">
        <v>2336</v>
      </c>
      <c r="G9" s="3095"/>
      <c r="H9" s="3070"/>
      <c r="I9" s="3071"/>
      <c r="J9" s="3976"/>
      <c r="K9" s="3978"/>
      <c r="L9" s="3105" t="s">
        <v>2337</v>
      </c>
      <c r="M9" s="3106"/>
      <c r="N9" s="3082"/>
      <c r="O9" s="3107"/>
      <c r="P9" s="3107"/>
      <c r="Q9" s="3108">
        <v>365</v>
      </c>
      <c r="R9" s="3109">
        <f t="shared" si="0"/>
        <v>0</v>
      </c>
      <c r="S9" s="3062"/>
      <c r="T9" s="3062"/>
      <c r="U9" s="3062"/>
      <c r="V9" s="3071"/>
    </row>
    <row r="10" spans="1:22" s="3075" customFormat="1" ht="13.15" customHeight="1">
      <c r="A10" s="3110">
        <v>2</v>
      </c>
      <c r="B10" s="3980" t="s">
        <v>2338</v>
      </c>
      <c r="C10" s="3981"/>
      <c r="D10" s="3111">
        <f>ROUND(D6*E10,0)</f>
        <v>0</v>
      </c>
      <c r="E10" s="3115"/>
      <c r="F10" s="3116" t="s">
        <v>2339</v>
      </c>
      <c r="G10" s="3095"/>
      <c r="H10" s="3070"/>
      <c r="I10" s="3071"/>
      <c r="J10" s="3976"/>
      <c r="K10" s="3978"/>
      <c r="L10" s="3105" t="s">
        <v>2340</v>
      </c>
      <c r="M10" s="3106"/>
      <c r="N10" s="3082"/>
      <c r="O10" s="3107"/>
      <c r="P10" s="3107"/>
      <c r="Q10" s="3108">
        <v>365</v>
      </c>
      <c r="R10" s="3109">
        <f t="shared" si="0"/>
        <v>0</v>
      </c>
      <c r="S10" s="3062"/>
      <c r="T10" s="3062"/>
      <c r="U10" s="3062"/>
      <c r="V10" s="3071"/>
    </row>
    <row r="11" spans="1:22" s="3075" customFormat="1" ht="13.15" customHeight="1">
      <c r="A11" s="3110">
        <v>3</v>
      </c>
      <c r="B11" s="3980" t="s">
        <v>2341</v>
      </c>
      <c r="C11" s="3981"/>
      <c r="D11" s="3111">
        <f>D12+D14+D15+D16</f>
        <v>0</v>
      </c>
      <c r="E11" s="3117" t="e">
        <f>D11/D6</f>
        <v>#DIV/0!</v>
      </c>
      <c r="F11" s="3113"/>
      <c r="G11" s="3114"/>
      <c r="H11" s="3070"/>
      <c r="I11" s="3071"/>
      <c r="J11" s="3976"/>
      <c r="K11" s="3978"/>
      <c r="L11" s="3105" t="s">
        <v>2342</v>
      </c>
      <c r="M11" s="3106"/>
      <c r="N11" s="3082"/>
      <c r="O11" s="3107"/>
      <c r="P11" s="3107"/>
      <c r="Q11" s="3108">
        <v>365</v>
      </c>
      <c r="R11" s="3109">
        <f t="shared" si="0"/>
        <v>0</v>
      </c>
      <c r="S11" s="3062"/>
      <c r="T11" s="3062"/>
      <c r="U11" s="3062"/>
      <c r="V11" s="3071"/>
    </row>
    <row r="12" spans="1:22" s="3075" customFormat="1" ht="13.15" customHeight="1">
      <c r="A12" s="3118" t="s">
        <v>2343</v>
      </c>
      <c r="B12" s="3982" t="s">
        <v>2344</v>
      </c>
      <c r="C12" s="3983"/>
      <c r="D12" s="3119">
        <f>ROUND(D13*1.2%*(1-30%),0)</f>
        <v>0</v>
      </c>
      <c r="E12" s="3120">
        <v>1.2E-2</v>
      </c>
      <c r="F12" s="3113" t="s">
        <v>2345</v>
      </c>
      <c r="G12" s="3114"/>
      <c r="H12" s="3070"/>
      <c r="I12" s="3071"/>
      <c r="J12" s="3976"/>
      <c r="K12" s="3978"/>
      <c r="L12" s="3105" t="s">
        <v>2346</v>
      </c>
      <c r="M12" s="3106"/>
      <c r="N12" s="3082"/>
      <c r="O12" s="3107"/>
      <c r="P12" s="3107"/>
      <c r="Q12" s="3108">
        <v>365</v>
      </c>
      <c r="R12" s="3109">
        <f t="shared" si="0"/>
        <v>0</v>
      </c>
      <c r="S12" s="3062"/>
      <c r="T12" s="3062"/>
      <c r="U12" s="3062"/>
      <c r="V12" s="3071"/>
    </row>
    <row r="13" spans="1:22" s="3075" customFormat="1" ht="13.15" customHeight="1">
      <c r="A13" s="3118"/>
      <c r="B13" s="3121"/>
      <c r="C13" s="3122" t="s">
        <v>2347</v>
      </c>
      <c r="D13" s="3123"/>
      <c r="E13" s="3124"/>
      <c r="F13" s="3113"/>
      <c r="G13" s="3114"/>
      <c r="H13" s="3070"/>
      <c r="I13" s="3071"/>
      <c r="J13" s="3976"/>
      <c r="K13" s="3978"/>
      <c r="L13" s="3105" t="s">
        <v>2348</v>
      </c>
      <c r="M13" s="3106"/>
      <c r="N13" s="3082"/>
      <c r="O13" s="3107"/>
      <c r="P13" s="3107"/>
      <c r="Q13" s="3108">
        <v>365</v>
      </c>
      <c r="R13" s="3109">
        <f t="shared" si="0"/>
        <v>0</v>
      </c>
      <c r="S13" s="3062"/>
      <c r="T13" s="3062"/>
      <c r="U13" s="3062"/>
      <c r="V13" s="3071"/>
    </row>
    <row r="14" spans="1:22" s="3075" customFormat="1" ht="13.15" customHeight="1">
      <c r="A14" s="3118" t="s">
        <v>2349</v>
      </c>
      <c r="B14" s="3982" t="s">
        <v>2350</v>
      </c>
      <c r="C14" s="3983"/>
      <c r="D14" s="3119">
        <f>ROUND(E14*B5/10000,0)</f>
        <v>0</v>
      </c>
      <c r="E14" s="3108"/>
      <c r="F14" s="3113" t="s">
        <v>2351</v>
      </c>
      <c r="G14" s="3114"/>
      <c r="H14" s="3070"/>
      <c r="I14" s="3071"/>
      <c r="J14" s="3976"/>
      <c r="K14" s="3979"/>
      <c r="L14" s="3125" t="s">
        <v>2352</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2353</v>
      </c>
      <c r="B15" s="3982" t="s">
        <v>2354</v>
      </c>
      <c r="C15" s="3983"/>
      <c r="D15" s="3119">
        <f>ROUND(D6*E15,0)</f>
        <v>0</v>
      </c>
      <c r="E15" s="3120">
        <v>5.5E-2</v>
      </c>
      <c r="F15" s="3113" t="s">
        <v>2355</v>
      </c>
      <c r="G15" s="3095"/>
      <c r="H15" s="3070"/>
      <c r="I15" s="3071"/>
      <c r="J15" s="3976">
        <v>2</v>
      </c>
      <c r="K15" s="3977" t="s">
        <v>2356</v>
      </c>
      <c r="L15" s="3105" t="s">
        <v>2357</v>
      </c>
      <c r="M15" s="3106" t="s">
        <v>2358</v>
      </c>
      <c r="N15" s="3106" t="s">
        <v>2359</v>
      </c>
      <c r="O15" s="3107" t="s">
        <v>2360</v>
      </c>
      <c r="P15" s="3107" t="s">
        <v>2361</v>
      </c>
      <c r="Q15" s="3082" t="s">
        <v>2362</v>
      </c>
      <c r="R15" s="3129" t="s">
        <v>2363</v>
      </c>
      <c r="S15" s="3062"/>
      <c r="T15" s="3062"/>
      <c r="U15" s="3062"/>
      <c r="V15" s="3071"/>
    </row>
    <row r="16" spans="1:22" s="3075" customFormat="1" ht="13.15" customHeight="1">
      <c r="A16" s="3118" t="s">
        <v>2364</v>
      </c>
      <c r="B16" s="3982" t="s">
        <v>2365</v>
      </c>
      <c r="C16" s="3983"/>
      <c r="D16" s="3130">
        <f>D6*E16</f>
        <v>0</v>
      </c>
      <c r="E16" s="3131"/>
      <c r="F16" s="3116" t="s">
        <v>2366</v>
      </c>
      <c r="G16" s="3095"/>
      <c r="H16" s="3070"/>
      <c r="I16" s="3071"/>
      <c r="J16" s="3976"/>
      <c r="K16" s="3978"/>
      <c r="L16" s="3105" t="s">
        <v>2367</v>
      </c>
      <c r="M16" s="3106"/>
      <c r="N16" s="3106"/>
      <c r="O16" s="3107"/>
      <c r="P16" s="3108">
        <v>365</v>
      </c>
      <c r="Q16" s="3082"/>
      <c r="R16" s="3129">
        <f>ROUND(M16*N16*O16*P16/10000,0)</f>
        <v>0</v>
      </c>
      <c r="S16" s="3062"/>
      <c r="T16" s="3062"/>
      <c r="U16" s="3062"/>
      <c r="V16" s="3071"/>
    </row>
    <row r="17" spans="1:22" s="3075" customFormat="1" ht="13.15" customHeight="1" thickBot="1">
      <c r="A17" s="3132">
        <v>4</v>
      </c>
      <c r="B17" s="3984" t="s">
        <v>2368</v>
      </c>
      <c r="C17" s="3985"/>
      <c r="D17" s="3133">
        <f>ROUND(D6*E17,0)</f>
        <v>0</v>
      </c>
      <c r="E17" s="3134"/>
      <c r="F17" s="3135" t="s">
        <v>2369</v>
      </c>
      <c r="G17" s="3095"/>
      <c r="H17" s="3070"/>
      <c r="I17" s="3071"/>
      <c r="J17" s="3976"/>
      <c r="K17" s="3978"/>
      <c r="L17" s="3105" t="s">
        <v>2370</v>
      </c>
      <c r="M17" s="3106"/>
      <c r="N17" s="3106"/>
      <c r="O17" s="3107"/>
      <c r="P17" s="3108">
        <v>365</v>
      </c>
      <c r="Q17" s="3082"/>
      <c r="R17" s="3129">
        <f>ROUND(M17*N17*O17*P17/10000,0)</f>
        <v>0</v>
      </c>
      <c r="S17" s="3062"/>
      <c r="T17" s="3062"/>
      <c r="U17" s="3062"/>
      <c r="V17" s="3071"/>
    </row>
    <row r="18" spans="1:22" s="3075" customFormat="1" ht="13.15" customHeight="1" thickBot="1">
      <c r="A18" s="3098" t="s">
        <v>2371</v>
      </c>
      <c r="B18" s="3099"/>
      <c r="C18" s="3099"/>
      <c r="D18" s="3136">
        <f>ROUND(D6*E18,0)</f>
        <v>0</v>
      </c>
      <c r="E18" s="3137"/>
      <c r="F18" s="3138" t="s">
        <v>2372</v>
      </c>
      <c r="G18" s="3095"/>
      <c r="H18" s="3070"/>
      <c r="I18" s="3071"/>
      <c r="J18" s="3976"/>
      <c r="K18" s="3978"/>
      <c r="L18" s="3105" t="s">
        <v>2373</v>
      </c>
      <c r="M18" s="3106"/>
      <c r="N18" s="3106"/>
      <c r="O18" s="3107"/>
      <c r="P18" s="3108">
        <v>365</v>
      </c>
      <c r="Q18" s="3082"/>
      <c r="R18" s="3129">
        <f>ROUND(M18*N18*O18*P18/10000,0)</f>
        <v>0</v>
      </c>
      <c r="S18" s="3062"/>
      <c r="T18" s="3062"/>
      <c r="U18" s="3062"/>
      <c r="V18" s="3071"/>
    </row>
    <row r="19" spans="1:22" s="3075" customFormat="1" ht="13.15" customHeight="1" thickBot="1">
      <c r="A19" s="3139" t="s">
        <v>2374</v>
      </c>
      <c r="B19" s="3093"/>
      <c r="C19" s="3093"/>
      <c r="D19" s="3093"/>
      <c r="E19" s="3093"/>
      <c r="F19" s="3094"/>
      <c r="G19" s="3114"/>
      <c r="H19" s="3070"/>
      <c r="I19" s="3071"/>
      <c r="J19" s="3976"/>
      <c r="K19" s="3979"/>
      <c r="L19" s="3125" t="s">
        <v>2352</v>
      </c>
      <c r="M19" s="3126"/>
      <c r="N19" s="3126">
        <f>SUM(N16:N18)</f>
        <v>0</v>
      </c>
      <c r="O19" s="3127"/>
      <c r="P19" s="3140" t="s">
        <v>2440</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76">
        <v>3</v>
      </c>
      <c r="K20" s="3977" t="s">
        <v>2375</v>
      </c>
      <c r="L20" s="3105" t="s">
        <v>2376</v>
      </c>
      <c r="M20" s="3106" t="s">
        <v>2377</v>
      </c>
      <c r="N20" s="3143" t="s">
        <v>2378</v>
      </c>
      <c r="O20" s="3107" t="s">
        <v>2379</v>
      </c>
      <c r="P20" s="3108" t="s">
        <v>2380</v>
      </c>
      <c r="Q20" s="3082" t="s">
        <v>2381</v>
      </c>
      <c r="R20" s="3129" t="s">
        <v>2323</v>
      </c>
      <c r="S20" s="3144"/>
      <c r="T20" s="3144"/>
      <c r="U20" s="3144"/>
      <c r="V20" s="3071"/>
    </row>
    <row r="21" spans="1:22" s="3075" customFormat="1" ht="13.15" customHeight="1">
      <c r="A21" s="3098"/>
      <c r="B21" s="3099"/>
      <c r="C21" s="3145" t="s">
        <v>2382</v>
      </c>
      <c r="D21" s="3146" t="s">
        <v>2383</v>
      </c>
      <c r="E21" s="3147" t="s">
        <v>2384</v>
      </c>
      <c r="F21" s="3142"/>
      <c r="G21" s="3114"/>
      <c r="H21" s="3070"/>
      <c r="I21" s="3071"/>
      <c r="J21" s="3976"/>
      <c r="K21" s="3978"/>
      <c r="L21" s="3105" t="s">
        <v>2385</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2386</v>
      </c>
      <c r="D22" s="3150" t="s">
        <v>2387</v>
      </c>
      <c r="E22" s="3151" t="s">
        <v>2388</v>
      </c>
      <c r="F22" s="3142"/>
      <c r="G22" s="3152"/>
      <c r="H22" s="3070"/>
      <c r="I22" s="3071"/>
      <c r="J22" s="3976"/>
      <c r="K22" s="3978"/>
      <c r="L22" s="3105" t="s">
        <v>2389</v>
      </c>
      <c r="M22" s="3106"/>
      <c r="N22" s="3106"/>
      <c r="O22" s="3107"/>
      <c r="P22" s="3108">
        <v>365</v>
      </c>
      <c r="Q22" s="3082"/>
      <c r="R22" s="3148">
        <f>ROUND(M22*N22*O22*P22/10000,0)</f>
        <v>0</v>
      </c>
      <c r="S22" s="3144"/>
      <c r="T22" s="3144"/>
      <c r="U22" s="3144"/>
      <c r="V22" s="3071"/>
    </row>
    <row r="23" spans="1:22" s="3075" customFormat="1" ht="13.15" customHeight="1">
      <c r="A23" s="3153">
        <v>1</v>
      </c>
      <c r="B23" s="3154" t="s">
        <v>2390</v>
      </c>
      <c r="C23" s="3155">
        <f>D6</f>
        <v>0</v>
      </c>
      <c r="D23" s="3156">
        <f>C23*(1+D24)</f>
        <v>0</v>
      </c>
      <c r="E23" s="3157">
        <f>D23*(1+E24)</f>
        <v>0</v>
      </c>
      <c r="F23" s="3158"/>
      <c r="G23" s="3159"/>
      <c r="H23" s="3070"/>
      <c r="I23" s="3071"/>
      <c r="J23" s="3976"/>
      <c r="K23" s="3978"/>
      <c r="L23" s="3105" t="s">
        <v>2391</v>
      </c>
      <c r="M23" s="3106"/>
      <c r="N23" s="3106"/>
      <c r="O23" s="3107"/>
      <c r="P23" s="3108">
        <v>365</v>
      </c>
      <c r="Q23" s="3082"/>
      <c r="R23" s="3148">
        <f>ROUND(M23*N23*O23*P23/10000,0)</f>
        <v>0</v>
      </c>
      <c r="S23" s="3062"/>
      <c r="T23" s="3062"/>
      <c r="U23" s="3062"/>
      <c r="V23" s="3071"/>
    </row>
    <row r="24" spans="1:22" s="3075" customFormat="1" ht="13.15" customHeight="1">
      <c r="A24" s="3160"/>
      <c r="B24" s="3161" t="s">
        <v>2392</v>
      </c>
      <c r="C24" s="3162"/>
      <c r="D24" s="3163"/>
      <c r="E24" s="3164"/>
      <c r="F24" s="3165"/>
      <c r="G24" s="3159"/>
      <c r="H24" s="3070"/>
      <c r="I24" s="3071"/>
      <c r="J24" s="3976"/>
      <c r="K24" s="3979"/>
      <c r="L24" s="3125" t="s">
        <v>2352</v>
      </c>
      <c r="M24" s="3126">
        <f>SUM(M21:M23)</f>
        <v>0</v>
      </c>
      <c r="N24" s="3126"/>
      <c r="O24" s="3127"/>
      <c r="P24" s="3140" t="s">
        <v>2440</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2393</v>
      </c>
      <c r="L25" s="3168"/>
      <c r="M25" s="3168"/>
      <c r="N25" s="3168"/>
      <c r="O25" s="3168"/>
      <c r="P25" s="3169"/>
      <c r="Q25" s="3170"/>
      <c r="R25" s="3141">
        <f>ROUND(R14*Q25,0)</f>
        <v>0</v>
      </c>
      <c r="S25" s="3062"/>
      <c r="T25" s="3062"/>
      <c r="U25" s="3062"/>
      <c r="V25" s="3171"/>
    </row>
    <row r="26" spans="1:22" s="3172" customFormat="1" ht="13.15" customHeight="1">
      <c r="A26" s="3153">
        <v>2</v>
      </c>
      <c r="B26" s="3154" t="s">
        <v>2394</v>
      </c>
      <c r="C26" s="3155">
        <f>D7</f>
        <v>0</v>
      </c>
      <c r="D26" s="3156">
        <f>D23*D27</f>
        <v>0</v>
      </c>
      <c r="E26" s="3157">
        <f>E23*E27</f>
        <v>0</v>
      </c>
      <c r="F26" s="3158"/>
      <c r="G26" s="3159"/>
      <c r="H26" s="3070"/>
      <c r="I26" s="3071"/>
      <c r="J26" s="3986">
        <v>5</v>
      </c>
      <c r="K26" s="3173" t="s">
        <v>2395</v>
      </c>
      <c r="L26" s="3174"/>
      <c r="M26" s="3175"/>
      <c r="N26" s="3176" t="s">
        <v>2396</v>
      </c>
      <c r="O26" s="3176" t="s">
        <v>2397</v>
      </c>
      <c r="P26" s="3177" t="s">
        <v>2398</v>
      </c>
      <c r="Q26" s="3177" t="s">
        <v>2399</v>
      </c>
      <c r="R26" s="3080" t="s">
        <v>2400</v>
      </c>
      <c r="S26" s="3178"/>
      <c r="T26" s="3178"/>
      <c r="U26" s="3178"/>
      <c r="V26" s="3171"/>
    </row>
    <row r="27" spans="1:22" s="3075" customFormat="1" ht="13.15" customHeight="1">
      <c r="A27" s="3160"/>
      <c r="B27" s="3161" t="s">
        <v>2401</v>
      </c>
      <c r="C27" s="3179" t="e">
        <f>E7</f>
        <v>#DIV/0!</v>
      </c>
      <c r="D27" s="3163"/>
      <c r="E27" s="3164"/>
      <c r="F27" s="3165"/>
      <c r="G27" s="3159"/>
      <c r="H27" s="3180"/>
      <c r="I27" s="3171"/>
      <c r="J27" s="398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2402</v>
      </c>
      <c r="F28" s="3165"/>
      <c r="G28" s="3152"/>
      <c r="H28" s="3180"/>
      <c r="I28" s="3171"/>
      <c r="J28" s="3186">
        <v>6</v>
      </c>
      <c r="K28" s="3187" t="s">
        <v>2403</v>
      </c>
      <c r="L28" s="3188" t="s">
        <v>2404</v>
      </c>
      <c r="M28" s="3189"/>
      <c r="N28" s="3188" t="s">
        <v>2405</v>
      </c>
      <c r="O28" s="3190"/>
      <c r="P28" s="3188" t="s">
        <v>2406</v>
      </c>
      <c r="Q28" s="3191">
        <v>1.4999999999999999E-2</v>
      </c>
      <c r="R28" s="3192"/>
      <c r="S28" s="3144"/>
      <c r="T28" s="3144"/>
      <c r="U28" s="3144"/>
      <c r="V28" s="3171"/>
    </row>
    <row r="29" spans="1:22" s="3172" customFormat="1" ht="13.15" customHeight="1">
      <c r="A29" s="3153">
        <v>3</v>
      </c>
      <c r="B29" s="3154" t="s">
        <v>2407</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2408</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2409</v>
      </c>
      <c r="K31" s="3060"/>
      <c r="L31" s="3060"/>
      <c r="M31" s="3060"/>
      <c r="N31" s="3060"/>
      <c r="O31" s="3060"/>
      <c r="P31" s="3060"/>
      <c r="Q31" s="3060"/>
      <c r="R31" s="3061"/>
      <c r="S31" s="3144"/>
      <c r="T31" s="3062"/>
      <c r="U31" s="3062"/>
      <c r="V31" s="3171"/>
    </row>
    <row r="32" spans="1:22" s="3172" customFormat="1" ht="13.15" customHeight="1">
      <c r="A32" s="3153">
        <v>4</v>
      </c>
      <c r="B32" s="3154" t="s">
        <v>2410</v>
      </c>
      <c r="C32" s="3155">
        <f>C23-C26-C29</f>
        <v>0</v>
      </c>
      <c r="D32" s="3156">
        <f>D23-D26-D29</f>
        <v>0</v>
      </c>
      <c r="E32" s="3157">
        <f>E23-E26-E29</f>
        <v>0</v>
      </c>
      <c r="F32" s="3158"/>
      <c r="G32" s="3152"/>
      <c r="H32" s="3070"/>
      <c r="I32" s="3071"/>
      <c r="J32" s="3969" t="s">
        <v>2411</v>
      </c>
      <c r="K32" s="3970"/>
      <c r="L32" s="3072" t="s">
        <v>2412</v>
      </c>
      <c r="M32" s="3072" t="s">
        <v>2301</v>
      </c>
      <c r="N32" s="3072" t="s">
        <v>2302</v>
      </c>
      <c r="O32" s="3072" t="s">
        <v>2303</v>
      </c>
      <c r="P32" s="3072" t="s">
        <v>2304</v>
      </c>
      <c r="Q32" s="3073" t="s">
        <v>2413</v>
      </c>
      <c r="R32" s="3195" t="s">
        <v>2414</v>
      </c>
      <c r="S32" s="3144"/>
      <c r="T32" s="3062"/>
      <c r="U32" s="3062"/>
      <c r="V32" s="3171"/>
    </row>
    <row r="33" spans="1:23" s="3075" customFormat="1" ht="13.15" customHeight="1">
      <c r="A33" s="3153"/>
      <c r="B33" s="3154"/>
      <c r="C33" s="3155"/>
      <c r="D33" s="3196"/>
      <c r="E33" s="3197"/>
      <c r="F33" s="3158"/>
      <c r="G33" s="3152"/>
      <c r="H33" s="3180"/>
      <c r="I33" s="3171"/>
      <c r="J33" s="3971" t="s">
        <v>2415</v>
      </c>
      <c r="K33" s="3972"/>
      <c r="L33" s="3078"/>
      <c r="M33" s="3078"/>
      <c r="N33" s="3078"/>
      <c r="O33" s="3078"/>
      <c r="P33" s="3078"/>
      <c r="Q33" s="3079"/>
      <c r="R33" s="3198">
        <f>SUM(L33:Q33)</f>
        <v>0</v>
      </c>
      <c r="S33" s="3144"/>
      <c r="T33" s="3062"/>
      <c r="U33" s="3062"/>
      <c r="V33" s="3071"/>
    </row>
    <row r="34" spans="1:23" s="3075" customFormat="1" ht="13.15" customHeight="1">
      <c r="A34" s="3153">
        <v>5</v>
      </c>
      <c r="B34" s="3154" t="s">
        <v>2416</v>
      </c>
      <c r="C34" s="3199"/>
      <c r="D34" s="3200"/>
      <c r="E34" s="3201"/>
      <c r="F34" s="3158"/>
      <c r="G34" s="3152"/>
      <c r="H34" s="3180"/>
      <c r="I34" s="3171"/>
      <c r="J34" s="3971" t="s">
        <v>2417</v>
      </c>
      <c r="K34" s="397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2418</v>
      </c>
      <c r="C35" s="3203"/>
      <c r="D35" s="3204"/>
      <c r="E35" s="3205"/>
      <c r="F35" s="3158"/>
      <c r="G35" s="3206"/>
      <c r="H35" s="3070"/>
      <c r="I35" s="3171"/>
      <c r="J35" s="3089" t="s">
        <v>2419</v>
      </c>
      <c r="K35" s="3090"/>
      <c r="L35" s="3090"/>
      <c r="M35" s="3091"/>
      <c r="N35" s="3091"/>
      <c r="O35" s="3091"/>
      <c r="P35" s="3091"/>
      <c r="Q35" s="3091"/>
      <c r="R35" s="3207">
        <f>R40+R41+R43</f>
        <v>0</v>
      </c>
      <c r="S35" s="3144"/>
      <c r="T35" s="3062" t="s">
        <v>2420</v>
      </c>
      <c r="U35" s="3062"/>
      <c r="V35" s="3071"/>
    </row>
    <row r="36" spans="1:23" s="3075" customFormat="1" ht="13.15" customHeight="1" thickBot="1">
      <c r="A36" s="3153">
        <v>7</v>
      </c>
      <c r="B36" s="3208" t="s">
        <v>2421</v>
      </c>
      <c r="C36" s="3209"/>
      <c r="D36" s="3210"/>
      <c r="E36" s="3211"/>
      <c r="F36" s="3212">
        <f>C36+D36+E36</f>
        <v>0</v>
      </c>
      <c r="G36" s="3152"/>
      <c r="H36" s="3070"/>
      <c r="I36" s="3071"/>
      <c r="J36" s="3976">
        <v>1</v>
      </c>
      <c r="K36" s="3977" t="s">
        <v>2422</v>
      </c>
      <c r="L36" s="3096"/>
      <c r="M36" s="3097"/>
      <c r="N36" s="3097"/>
      <c r="O36" s="3097"/>
      <c r="P36" s="3097"/>
      <c r="Q36" s="3097"/>
      <c r="R36" s="3080" t="s">
        <v>2323</v>
      </c>
      <c r="S36" s="3144"/>
      <c r="T36" s="3062" t="s">
        <v>2324</v>
      </c>
      <c r="U36" s="3062"/>
      <c r="V36" s="3071"/>
    </row>
    <row r="37" spans="1:23" s="3075" customFormat="1" ht="13.15" customHeight="1">
      <c r="A37" s="3153"/>
      <c r="B37" s="3154"/>
      <c r="C37" s="3154"/>
      <c r="D37" s="3154"/>
      <c r="E37" s="3154"/>
      <c r="F37" s="3158"/>
      <c r="G37" s="3152"/>
      <c r="H37" s="3070"/>
      <c r="I37" s="3071"/>
      <c r="J37" s="3976"/>
      <c r="K37" s="3978"/>
      <c r="L37" s="3105"/>
      <c r="M37" s="3106"/>
      <c r="N37" s="3082"/>
      <c r="O37" s="3107"/>
      <c r="P37" s="3107"/>
      <c r="Q37" s="3108"/>
      <c r="R37" s="3109"/>
      <c r="S37" s="3144"/>
      <c r="T37" s="3062" t="s">
        <v>2327</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76"/>
      <c r="K38" s="3978"/>
      <c r="L38" s="3105"/>
      <c r="M38" s="3106"/>
      <c r="N38" s="3082"/>
      <c r="O38" s="3107"/>
      <c r="P38" s="3107"/>
      <c r="Q38" s="3108"/>
      <c r="R38" s="3109"/>
      <c r="S38" s="3144"/>
      <c r="T38" s="3062" t="s">
        <v>2334</v>
      </c>
      <c r="U38" s="3062"/>
      <c r="V38" s="3071"/>
    </row>
    <row r="39" spans="1:23" s="3075" customFormat="1" ht="13.15" customHeight="1">
      <c r="A39" s="3153">
        <v>9</v>
      </c>
      <c r="B39" s="3154" t="s">
        <v>2423</v>
      </c>
      <c r="C39" s="3119" t="e">
        <f>C38</f>
        <v>#DIV/0!</v>
      </c>
      <c r="D39" s="3154">
        <f>D38/(1+D34)^C36</f>
        <v>0</v>
      </c>
      <c r="E39" s="3154">
        <f>E38/(1+E34)^(C36+D36)</f>
        <v>0</v>
      </c>
      <c r="F39" s="3158"/>
      <c r="G39" s="3213"/>
      <c r="H39" s="3070"/>
      <c r="I39" s="3071"/>
      <c r="J39" s="3976"/>
      <c r="K39" s="3978"/>
      <c r="L39" s="3105"/>
      <c r="M39" s="3106"/>
      <c r="N39" s="3082"/>
      <c r="O39" s="3107"/>
      <c r="P39" s="3107"/>
      <c r="Q39" s="3108"/>
      <c r="R39" s="3109"/>
      <c r="S39" s="3144"/>
      <c r="T39" s="3062"/>
      <c r="U39" s="3062"/>
      <c r="V39" s="3071"/>
    </row>
    <row r="40" spans="1:23" s="3075" customFormat="1" ht="13.15" customHeight="1">
      <c r="A40" s="3214">
        <v>10</v>
      </c>
      <c r="B40" s="3154" t="s">
        <v>2424</v>
      </c>
      <c r="C40" s="3215" t="e">
        <f>C39+D39+E39</f>
        <v>#DIV/0!</v>
      </c>
      <c r="D40" s="3216"/>
      <c r="E40" s="3216"/>
      <c r="F40" s="3217"/>
      <c r="G40" s="3152"/>
      <c r="H40" s="3070"/>
      <c r="I40" s="3071"/>
      <c r="J40" s="3976"/>
      <c r="K40" s="3979"/>
      <c r="L40" s="3125" t="s">
        <v>2425</v>
      </c>
      <c r="M40" s="3126"/>
      <c r="N40" s="3126"/>
      <c r="O40" s="3127"/>
      <c r="P40" s="3127"/>
      <c r="Q40" s="3128"/>
      <c r="R40" s="3074">
        <f>SUM(R37:R39)</f>
        <v>0</v>
      </c>
      <c r="S40" s="3144"/>
      <c r="T40" s="3062"/>
      <c r="U40" s="3062"/>
      <c r="V40" s="3071"/>
    </row>
    <row r="41" spans="1:23" s="3075" customFormat="1" ht="13.15" customHeight="1" thickBot="1">
      <c r="A41" s="3218">
        <v>11</v>
      </c>
      <c r="B41" s="3219" t="s">
        <v>2426</v>
      </c>
      <c r="C41" s="3219" t="e">
        <f>ROUND(C40*10000/B4,0)</f>
        <v>#DIV/0!</v>
      </c>
      <c r="D41" s="3220"/>
      <c r="E41" s="3220"/>
      <c r="F41" s="3221"/>
      <c r="G41" s="3222"/>
      <c r="H41" s="3070"/>
      <c r="I41" s="3071"/>
      <c r="J41" s="3166">
        <v>2</v>
      </c>
      <c r="K41" s="3167" t="s">
        <v>2427</v>
      </c>
      <c r="L41" s="3168"/>
      <c r="M41" s="3168"/>
      <c r="N41" s="3168"/>
      <c r="O41" s="3168"/>
      <c r="P41" s="3169"/>
      <c r="Q41" s="3170"/>
      <c r="R41" s="3141">
        <f>ROUND(R40*Q41,0)</f>
        <v>0</v>
      </c>
      <c r="S41" s="3144"/>
      <c r="T41" s="3062"/>
      <c r="U41" s="3178"/>
      <c r="V41" s="3071"/>
    </row>
    <row r="42" spans="1:23" s="3075" customFormat="1" ht="13.15" customHeight="1">
      <c r="G42" s="3222"/>
      <c r="H42" s="3070"/>
      <c r="I42" s="3071"/>
      <c r="J42" s="3986">
        <v>3</v>
      </c>
      <c r="K42" s="3173" t="s">
        <v>2428</v>
      </c>
      <c r="L42" s="3174"/>
      <c r="M42" s="3175"/>
      <c r="N42" s="3176" t="s">
        <v>2429</v>
      </c>
      <c r="O42" s="3176" t="s">
        <v>2430</v>
      </c>
      <c r="P42" s="3177" t="s">
        <v>2431</v>
      </c>
      <c r="Q42" s="3177" t="s">
        <v>2432</v>
      </c>
      <c r="R42" s="3080" t="s">
        <v>2433</v>
      </c>
      <c r="S42" s="3178"/>
      <c r="T42" s="3178"/>
      <c r="U42" s="3062"/>
      <c r="V42" s="3071"/>
    </row>
    <row r="43" spans="1:23" ht="13.15" customHeight="1">
      <c r="A43" s="3075"/>
      <c r="B43" s="3075"/>
      <c r="C43" s="3075"/>
      <c r="D43" s="3075"/>
      <c r="E43" s="3075"/>
      <c r="F43" s="3075"/>
      <c r="I43" s="3057"/>
      <c r="J43" s="398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2434</v>
      </c>
      <c r="L44" s="3226" t="s">
        <v>2435</v>
      </c>
      <c r="M44" s="3189"/>
      <c r="N44" s="3226" t="s">
        <v>2436</v>
      </c>
      <c r="O44" s="3189"/>
      <c r="P44" s="3226" t="s">
        <v>2437</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2281</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74" t="s">
        <v>471</v>
      </c>
      <c r="D4" s="3875"/>
      <c r="E4" s="3876" t="s">
        <v>472</v>
      </c>
      <c r="F4" s="3877"/>
      <c r="G4" s="3874" t="s">
        <v>473</v>
      </c>
      <c r="H4" s="3875"/>
      <c r="I4" s="3874" t="s">
        <v>474</v>
      </c>
      <c r="J4" s="3875"/>
      <c r="K4" s="818"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819"/>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819"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58" t="s">
        <v>479</v>
      </c>
      <c r="Q7" s="3868"/>
      <c r="R7" s="1381" t="s">
        <v>10</v>
      </c>
      <c r="S7" s="1382">
        <f t="shared" ref="S7:S15" si="0">F7</f>
        <v>0</v>
      </c>
      <c r="T7" s="1381" t="s">
        <v>10</v>
      </c>
      <c r="U7" s="1382">
        <f t="shared" ref="U7:U15" si="1">H7</f>
        <v>0</v>
      </c>
      <c r="V7" s="1381" t="s">
        <v>10</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58" t="s">
        <v>482</v>
      </c>
      <c r="Q8" s="3859"/>
      <c r="R8" s="1381" t="s">
        <v>10</v>
      </c>
      <c r="S8" s="1382">
        <f t="shared" si="0"/>
        <v>0</v>
      </c>
      <c r="T8" s="1381" t="s">
        <v>10</v>
      </c>
      <c r="U8" s="1382">
        <f t="shared" si="1"/>
        <v>0</v>
      </c>
      <c r="V8" s="1381" t="s">
        <v>10</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93"/>
      <c r="Q11" s="1050" t="str">
        <f t="shared" si="6"/>
        <v>容积率</v>
      </c>
      <c r="R11" s="1381" t="s">
        <v>8</v>
      </c>
      <c r="S11" s="1382" t="e">
        <f t="shared" si="0"/>
        <v>#N/A</v>
      </c>
      <c r="T11" s="1381" t="s">
        <v>8</v>
      </c>
      <c r="U11" s="1382" t="e">
        <f t="shared" si="1"/>
        <v>#N/A</v>
      </c>
      <c r="V11" s="1381" t="s">
        <v>8</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93"/>
      <c r="Q12" s="1050">
        <f t="shared" si="6"/>
        <v>111</v>
      </c>
      <c r="R12" s="1381" t="s">
        <v>8</v>
      </c>
      <c r="S12" s="1382">
        <f t="shared" si="0"/>
        <v>100</v>
      </c>
      <c r="T12" s="1381" t="s">
        <v>8</v>
      </c>
      <c r="U12" s="1382">
        <f t="shared" si="1"/>
        <v>100</v>
      </c>
      <c r="V12" s="1381" t="s">
        <v>8</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93"/>
      <c r="Q13" s="1050">
        <f t="shared" si="6"/>
        <v>111</v>
      </c>
      <c r="R13" s="1381" t="s">
        <v>8</v>
      </c>
      <c r="S13" s="1382">
        <f t="shared" si="0"/>
        <v>100</v>
      </c>
      <c r="T13" s="1381" t="s">
        <v>8</v>
      </c>
      <c r="U13" s="1382">
        <f t="shared" si="1"/>
        <v>100</v>
      </c>
      <c r="V13" s="1381" t="s">
        <v>8</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93"/>
      <c r="Q14" s="1050">
        <f t="shared" si="6"/>
        <v>111</v>
      </c>
      <c r="R14" s="1381" t="s">
        <v>8</v>
      </c>
      <c r="S14" s="1382">
        <f t="shared" si="0"/>
        <v>100</v>
      </c>
      <c r="T14" s="1381" t="s">
        <v>8</v>
      </c>
      <c r="U14" s="1382">
        <f t="shared" si="1"/>
        <v>100</v>
      </c>
      <c r="V14" s="1381" t="s">
        <v>8</v>
      </c>
      <c r="W14" s="1382">
        <f t="shared" si="2"/>
        <v>100</v>
      </c>
      <c r="X14" s="1383"/>
      <c r="Y14" s="3807"/>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89" t="s">
        <v>489</v>
      </c>
      <c r="Q15" s="1385" t="str">
        <f t="shared" si="6"/>
        <v>居住社区成熟度</v>
      </c>
      <c r="R15" s="1386" t="s">
        <v>8</v>
      </c>
      <c r="S15" s="1387">
        <f t="shared" si="0"/>
        <v>100</v>
      </c>
      <c r="T15" s="1386" t="s">
        <v>8</v>
      </c>
      <c r="U15" s="1387">
        <f t="shared" si="1"/>
        <v>100</v>
      </c>
      <c r="V15" s="1386" t="s">
        <v>8</v>
      </c>
      <c r="W15" s="1387">
        <f t="shared" si="2"/>
        <v>100</v>
      </c>
      <c r="X15" s="1380"/>
      <c r="Y15" s="388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90"/>
      <c r="Q17" s="1385" t="str">
        <f>B17</f>
        <v>交通便捷度</v>
      </c>
      <c r="R17" s="1386" t="s">
        <v>8</v>
      </c>
      <c r="S17" s="1387">
        <f>F17</f>
        <v>100</v>
      </c>
      <c r="T17" s="1386" t="s">
        <v>8</v>
      </c>
      <c r="U17" s="1387">
        <f>H17</f>
        <v>100</v>
      </c>
      <c r="V17" s="1386" t="s">
        <v>8</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90"/>
      <c r="Q19" s="1385" t="str">
        <f>B19</f>
        <v>公共配套设施</v>
      </c>
      <c r="R19" s="1386" t="s">
        <v>8</v>
      </c>
      <c r="S19" s="1387">
        <f>F19</f>
        <v>100</v>
      </c>
      <c r="T19" s="1386" t="s">
        <v>8</v>
      </c>
      <c r="U19" s="1387">
        <f>H19</f>
        <v>100</v>
      </c>
      <c r="V19" s="1386" t="s">
        <v>8</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90"/>
      <c r="Q21" s="2190" t="str">
        <f>B21</f>
        <v>基础设施水平</v>
      </c>
      <c r="R21" s="1386" t="s">
        <v>8</v>
      </c>
      <c r="S21" s="1387">
        <f>F21</f>
        <v>100</v>
      </c>
      <c r="T21" s="1386" t="s">
        <v>8</v>
      </c>
      <c r="U21" s="1387">
        <f>H21</f>
        <v>100</v>
      </c>
      <c r="V21" s="1386" t="s">
        <v>8</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90"/>
      <c r="Q23" s="1385" t="str">
        <f>B23</f>
        <v>自然及人文环境</v>
      </c>
      <c r="R23" s="1386" t="s">
        <v>8</v>
      </c>
      <c r="S23" s="1387">
        <f>F23</f>
        <v>100</v>
      </c>
      <c r="T23" s="1386" t="s">
        <v>8</v>
      </c>
      <c r="U23" s="1387">
        <f>H23</f>
        <v>100</v>
      </c>
      <c r="V23" s="1386" t="s">
        <v>8</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90"/>
      <c r="Q25" s="1385" t="str">
        <f t="shared" ref="Q25:Q46" si="8">B25</f>
        <v>楼层-1</v>
      </c>
      <c r="R25" s="1386" t="s">
        <v>8</v>
      </c>
      <c r="S25" s="1387">
        <f>F25</f>
        <v>100</v>
      </c>
      <c r="T25" s="1386" t="s">
        <v>8</v>
      </c>
      <c r="U25" s="1387">
        <f>H25</f>
        <v>100</v>
      </c>
      <c r="V25" s="1386" t="s">
        <v>8</v>
      </c>
      <c r="W25" s="1387">
        <f>J25</f>
        <v>100</v>
      </c>
      <c r="X25" s="1380"/>
      <c r="Y25" s="389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90"/>
      <c r="Q26" s="1385" t="str">
        <f t="shared" si="8"/>
        <v>朝向</v>
      </c>
      <c r="R26" s="1386" t="s">
        <v>8</v>
      </c>
      <c r="S26" s="1387">
        <f>F26</f>
        <v>100</v>
      </c>
      <c r="T26" s="1386" t="s">
        <v>8</v>
      </c>
      <c r="U26" s="1387">
        <f>H26</f>
        <v>100</v>
      </c>
      <c r="V26" s="1386" t="s">
        <v>8</v>
      </c>
      <c r="W26" s="1387">
        <f>J26</f>
        <v>100</v>
      </c>
      <c r="X26" s="1380"/>
      <c r="Y26" s="389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90"/>
      <c r="Q27" s="1050" t="str">
        <f t="shared" si="8"/>
        <v>道路级别</v>
      </c>
      <c r="R27" s="1381" t="s">
        <v>8</v>
      </c>
      <c r="S27" s="1382">
        <f>F27</f>
        <v>100</v>
      </c>
      <c r="T27" s="1381" t="s">
        <v>8</v>
      </c>
      <c r="U27" s="1382">
        <f>H27</f>
        <v>100</v>
      </c>
      <c r="V27" s="1381" t="s">
        <v>8</v>
      </c>
      <c r="W27" s="1382">
        <f>J27</f>
        <v>100</v>
      </c>
      <c r="X27" s="1383"/>
      <c r="Y27" s="389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90"/>
      <c r="Q28" s="1385">
        <f t="shared" si="8"/>
        <v>111</v>
      </c>
      <c r="R28" s="1386" t="s">
        <v>8</v>
      </c>
      <c r="S28" s="1387">
        <f t="shared" ref="S28:S46" si="9">F28</f>
        <v>100</v>
      </c>
      <c r="T28" s="1386" t="s">
        <v>8</v>
      </c>
      <c r="U28" s="1387">
        <f t="shared" ref="U28:U46" si="10">H28</f>
        <v>100</v>
      </c>
      <c r="V28" s="1386" t="s">
        <v>8</v>
      </c>
      <c r="W28" s="1387">
        <f t="shared" ref="W28:W46" si="11">J28</f>
        <v>100</v>
      </c>
      <c r="X28" s="1380"/>
      <c r="Y28" s="389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90"/>
      <c r="Q29" s="1385">
        <f t="shared" si="8"/>
        <v>111</v>
      </c>
      <c r="R29" s="1386" t="s">
        <v>8</v>
      </c>
      <c r="S29" s="1387">
        <f t="shared" si="9"/>
        <v>100</v>
      </c>
      <c r="T29" s="1386" t="s">
        <v>8</v>
      </c>
      <c r="U29" s="1387">
        <f t="shared" si="10"/>
        <v>100</v>
      </c>
      <c r="V29" s="1386" t="s">
        <v>8</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90"/>
      <c r="Q30" s="1385">
        <f t="shared" si="8"/>
        <v>111</v>
      </c>
      <c r="R30" s="1386" t="s">
        <v>8</v>
      </c>
      <c r="S30" s="1387">
        <f t="shared" si="9"/>
        <v>100</v>
      </c>
      <c r="T30" s="1386" t="s">
        <v>8</v>
      </c>
      <c r="U30" s="1387">
        <f t="shared" si="10"/>
        <v>100</v>
      </c>
      <c r="V30" s="1386" t="s">
        <v>8</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90"/>
      <c r="Q31" s="1385">
        <f t="shared" si="8"/>
        <v>111</v>
      </c>
      <c r="R31" s="1386" t="s">
        <v>8</v>
      </c>
      <c r="S31" s="1387">
        <f t="shared" si="9"/>
        <v>100</v>
      </c>
      <c r="T31" s="1386" t="s">
        <v>8</v>
      </c>
      <c r="U31" s="1387">
        <f t="shared" si="10"/>
        <v>100</v>
      </c>
      <c r="V31" s="1386" t="s">
        <v>8</v>
      </c>
      <c r="W31" s="1387">
        <f t="shared" si="11"/>
        <v>100</v>
      </c>
      <c r="X31" s="1380"/>
      <c r="Y31" s="3890"/>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91" t="s">
        <v>499</v>
      </c>
      <c r="Q32" s="1385" t="str">
        <f t="shared" si="8"/>
        <v>建筑类型</v>
      </c>
      <c r="R32" s="1386" t="s">
        <v>8</v>
      </c>
      <c r="S32" s="1387">
        <f t="shared" si="9"/>
        <v>100</v>
      </c>
      <c r="T32" s="1386" t="s">
        <v>8</v>
      </c>
      <c r="U32" s="1387">
        <f t="shared" si="10"/>
        <v>100</v>
      </c>
      <c r="V32" s="1386" t="s">
        <v>8</v>
      </c>
      <c r="W32" s="1387">
        <f t="shared" si="11"/>
        <v>100</v>
      </c>
      <c r="X32" s="1380"/>
      <c r="Y32" s="389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92"/>
      <c r="Q33" s="1414" t="str">
        <f t="shared" si="8"/>
        <v>项目建筑规模</v>
      </c>
      <c r="R33" s="1390" t="s">
        <v>8</v>
      </c>
      <c r="S33" s="1391" t="e">
        <f t="shared" si="9"/>
        <v>#N/A</v>
      </c>
      <c r="T33" s="1390" t="s">
        <v>8</v>
      </c>
      <c r="U33" s="1391" t="e">
        <f t="shared" si="10"/>
        <v>#N/A</v>
      </c>
      <c r="V33" s="1390" t="s">
        <v>8</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92"/>
      <c r="Q34" s="1385" t="str">
        <f t="shared" si="8"/>
        <v>建筑结构</v>
      </c>
      <c r="R34" s="1386" t="s">
        <v>8</v>
      </c>
      <c r="S34" s="1387">
        <f t="shared" si="9"/>
        <v>100</v>
      </c>
      <c r="T34" s="1386" t="s">
        <v>8</v>
      </c>
      <c r="U34" s="1387">
        <f t="shared" si="10"/>
        <v>100</v>
      </c>
      <c r="V34" s="1386" t="s">
        <v>8</v>
      </c>
      <c r="W34" s="1387">
        <f t="shared" si="11"/>
        <v>100</v>
      </c>
      <c r="X34" s="1380"/>
      <c r="Y34" s="389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92"/>
      <c r="Q35" s="1385" t="str">
        <f t="shared" si="8"/>
        <v>建筑品质</v>
      </c>
      <c r="R35" s="1386" t="s">
        <v>8</v>
      </c>
      <c r="S35" s="1387">
        <f t="shared" si="9"/>
        <v>100</v>
      </c>
      <c r="T35" s="1386" t="s">
        <v>8</v>
      </c>
      <c r="U35" s="1387">
        <f t="shared" si="10"/>
        <v>100</v>
      </c>
      <c r="V35" s="1386" t="s">
        <v>8</v>
      </c>
      <c r="W35" s="1387">
        <f t="shared" si="11"/>
        <v>100</v>
      </c>
      <c r="X35" s="1380"/>
      <c r="Y35" s="389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92"/>
      <c r="Q36" s="1385" t="str">
        <f t="shared" si="8"/>
        <v>公共部分装修</v>
      </c>
      <c r="R36" s="1386" t="s">
        <v>8</v>
      </c>
      <c r="S36" s="1387">
        <f t="shared" si="9"/>
        <v>100</v>
      </c>
      <c r="T36" s="1386" t="s">
        <v>8</v>
      </c>
      <c r="U36" s="1387">
        <f t="shared" si="10"/>
        <v>100</v>
      </c>
      <c r="V36" s="1386" t="s">
        <v>8</v>
      </c>
      <c r="W36" s="1387">
        <f t="shared" si="11"/>
        <v>100</v>
      </c>
      <c r="X36" s="1380"/>
      <c r="Y36" s="389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92"/>
      <c r="Q37" s="1050" t="str">
        <f t="shared" si="8"/>
        <v>成新度</v>
      </c>
      <c r="R37" s="1381" t="s">
        <v>8</v>
      </c>
      <c r="S37" s="1382" t="e">
        <f t="shared" si="9"/>
        <v>#N/A</v>
      </c>
      <c r="T37" s="1381" t="s">
        <v>8</v>
      </c>
      <c r="U37" s="1382" t="e">
        <f t="shared" si="10"/>
        <v>#N/A</v>
      </c>
      <c r="V37" s="1381" t="s">
        <v>8</v>
      </c>
      <c r="W37" s="1382" t="e">
        <f t="shared" si="11"/>
        <v>#N/A</v>
      </c>
      <c r="X37" s="1383"/>
      <c r="Y37" s="389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92" t="s">
        <v>499</v>
      </c>
      <c r="Q38" s="1385" t="str">
        <f t="shared" si="8"/>
        <v>物业管理</v>
      </c>
      <c r="R38" s="1386" t="s">
        <v>8</v>
      </c>
      <c r="S38" s="1387">
        <f t="shared" si="9"/>
        <v>100</v>
      </c>
      <c r="T38" s="1386" t="s">
        <v>8</v>
      </c>
      <c r="U38" s="1387">
        <f t="shared" si="10"/>
        <v>100</v>
      </c>
      <c r="V38" s="1386" t="s">
        <v>8</v>
      </c>
      <c r="W38" s="1387">
        <f t="shared" si="11"/>
        <v>100</v>
      </c>
      <c r="X38" s="1380"/>
      <c r="Y38" s="3892"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92"/>
      <c r="Q39" s="1385" t="str">
        <f t="shared" si="8"/>
        <v>市政基础设施</v>
      </c>
      <c r="R39" s="1386" t="s">
        <v>8</v>
      </c>
      <c r="S39" s="1387">
        <f t="shared" si="9"/>
        <v>100</v>
      </c>
      <c r="T39" s="1386" t="s">
        <v>8</v>
      </c>
      <c r="U39" s="1387">
        <f t="shared" si="10"/>
        <v>100</v>
      </c>
      <c r="V39" s="1386" t="s">
        <v>8</v>
      </c>
      <c r="W39" s="1387">
        <f t="shared" si="11"/>
        <v>100</v>
      </c>
      <c r="X39" s="1380"/>
      <c r="Y39" s="389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92"/>
      <c r="Q40" s="1385" t="str">
        <f t="shared" si="8"/>
        <v>房型</v>
      </c>
      <c r="R40" s="1386" t="s">
        <v>8</v>
      </c>
      <c r="S40" s="1387">
        <f t="shared" si="9"/>
        <v>100</v>
      </c>
      <c r="T40" s="1386" t="s">
        <v>8</v>
      </c>
      <c r="U40" s="1387">
        <f t="shared" si="10"/>
        <v>100</v>
      </c>
      <c r="V40" s="1386" t="s">
        <v>8</v>
      </c>
      <c r="W40" s="1387">
        <f t="shared" si="11"/>
        <v>100</v>
      </c>
      <c r="X40" s="1380"/>
      <c r="Y40" s="389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92"/>
      <c r="Q41" s="1414" t="str">
        <f t="shared" si="8"/>
        <v>单套/主力户型建筑面积</v>
      </c>
      <c r="R41" s="1390" t="s">
        <v>8</v>
      </c>
      <c r="S41" s="1391">
        <f t="shared" si="9"/>
        <v>100</v>
      </c>
      <c r="T41" s="1390" t="s">
        <v>8</v>
      </c>
      <c r="U41" s="1391">
        <f t="shared" si="10"/>
        <v>100</v>
      </c>
      <c r="V41" s="1390" t="s">
        <v>8</v>
      </c>
      <c r="W41" s="1391">
        <f t="shared" si="11"/>
        <v>100</v>
      </c>
      <c r="X41" s="1392"/>
      <c r="Y41" s="389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92"/>
      <c r="Q42" s="1385" t="str">
        <f t="shared" si="8"/>
        <v>内部装修</v>
      </c>
      <c r="R42" s="1386" t="s">
        <v>8</v>
      </c>
      <c r="S42" s="1387">
        <f t="shared" si="9"/>
        <v>100</v>
      </c>
      <c r="T42" s="1386" t="s">
        <v>8</v>
      </c>
      <c r="U42" s="1387">
        <f t="shared" si="10"/>
        <v>100</v>
      </c>
      <c r="V42" s="1386" t="s">
        <v>8</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92"/>
      <c r="Q43" s="1385" t="str">
        <f t="shared" si="8"/>
        <v>内部装修维护情况</v>
      </c>
      <c r="R43" s="1386" t="s">
        <v>8</v>
      </c>
      <c r="S43" s="1387">
        <f t="shared" si="9"/>
        <v>100</v>
      </c>
      <c r="T43" s="1386" t="s">
        <v>8</v>
      </c>
      <c r="U43" s="1387">
        <f t="shared" si="10"/>
        <v>100</v>
      </c>
      <c r="V43" s="1386" t="s">
        <v>8</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92"/>
      <c r="Q44" s="1050">
        <f t="shared" si="8"/>
        <v>111</v>
      </c>
      <c r="R44" s="1381" t="s">
        <v>8</v>
      </c>
      <c r="S44" s="1382">
        <f t="shared" si="9"/>
        <v>100</v>
      </c>
      <c r="T44" s="1381" t="s">
        <v>8</v>
      </c>
      <c r="U44" s="1382">
        <f t="shared" si="10"/>
        <v>100</v>
      </c>
      <c r="V44" s="1381" t="s">
        <v>8</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92"/>
      <c r="Q45" s="1385">
        <f t="shared" si="8"/>
        <v>111</v>
      </c>
      <c r="R45" s="1386" t="s">
        <v>8</v>
      </c>
      <c r="S45" s="1387">
        <f t="shared" si="9"/>
        <v>100</v>
      </c>
      <c r="T45" s="1386" t="s">
        <v>8</v>
      </c>
      <c r="U45" s="1387">
        <f t="shared" si="10"/>
        <v>100</v>
      </c>
      <c r="V45" s="1386" t="s">
        <v>8</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65"/>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86"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86"/>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86"/>
      <c r="AC6" s="3873"/>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89" t="s">
        <v>489</v>
      </c>
      <c r="Q15" s="1385" t="str">
        <f t="shared" si="6"/>
        <v>商业繁华度</v>
      </c>
      <c r="R15" s="1386" t="s">
        <v>5</v>
      </c>
      <c r="S15" s="1387">
        <f t="shared" si="0"/>
        <v>100</v>
      </c>
      <c r="T15" s="1386" t="s">
        <v>5</v>
      </c>
      <c r="U15" s="1387">
        <f t="shared" si="1"/>
        <v>100</v>
      </c>
      <c r="V15" s="1386" t="s">
        <v>5</v>
      </c>
      <c r="W15" s="1387">
        <f t="shared" si="2"/>
        <v>100</v>
      </c>
      <c r="X15" s="1380"/>
      <c r="Y15" s="388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90"/>
      <c r="Q23" s="1385" t="str">
        <f>B23</f>
        <v>自然及人文环境</v>
      </c>
      <c r="R23" s="1386" t="s">
        <v>5</v>
      </c>
      <c r="S23" s="1387">
        <f>F23</f>
        <v>100</v>
      </c>
      <c r="T23" s="1386" t="s">
        <v>5</v>
      </c>
      <c r="U23" s="1387">
        <f>H23</f>
        <v>100</v>
      </c>
      <c r="V23" s="1386" t="s">
        <v>5</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90"/>
      <c r="Q25" s="1385" t="str">
        <f t="shared" ref="Q25:Q46" si="8">B25</f>
        <v>临街状况</v>
      </c>
      <c r="R25" s="1386" t="s">
        <v>5</v>
      </c>
      <c r="S25" s="1387">
        <f>F25</f>
        <v>100</v>
      </c>
      <c r="T25" s="1386" t="s">
        <v>5</v>
      </c>
      <c r="U25" s="1387">
        <f>H25</f>
        <v>100</v>
      </c>
      <c r="V25" s="1386" t="s">
        <v>5</v>
      </c>
      <c r="W25" s="1387">
        <f>J25</f>
        <v>100</v>
      </c>
      <c r="X25" s="1380"/>
      <c r="Y25" s="389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90"/>
      <c r="Q26" s="1385" t="str">
        <f t="shared" si="8"/>
        <v>平面位置/可视性</v>
      </c>
      <c r="R26" s="1386" t="s">
        <v>5</v>
      </c>
      <c r="S26" s="1387">
        <f>F26</f>
        <v>100</v>
      </c>
      <c r="T26" s="1386" t="s">
        <v>5</v>
      </c>
      <c r="U26" s="1387">
        <f>H26</f>
        <v>100</v>
      </c>
      <c r="V26" s="1386" t="s">
        <v>5</v>
      </c>
      <c r="W26" s="1387">
        <f>J26</f>
        <v>100</v>
      </c>
      <c r="X26" s="1380"/>
      <c r="Y26" s="389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90"/>
      <c r="Q27" s="1050" t="str">
        <f t="shared" si="8"/>
        <v>人流量</v>
      </c>
      <c r="R27" s="1381" t="s">
        <v>5</v>
      </c>
      <c r="S27" s="1382">
        <f>F27</f>
        <v>100</v>
      </c>
      <c r="T27" s="1381" t="s">
        <v>5</v>
      </c>
      <c r="U27" s="1382">
        <f>H27</f>
        <v>100</v>
      </c>
      <c r="V27" s="1381" t="s">
        <v>5</v>
      </c>
      <c r="W27" s="1382">
        <f>J27</f>
        <v>100</v>
      </c>
      <c r="X27" s="1383"/>
      <c r="Y27" s="389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9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90"/>
      <c r="Q29" s="1385">
        <f t="shared" si="8"/>
        <v>111</v>
      </c>
      <c r="R29" s="1386" t="s">
        <v>5</v>
      </c>
      <c r="S29" s="1387">
        <f t="shared" si="9"/>
        <v>100</v>
      </c>
      <c r="T29" s="1386" t="s">
        <v>5</v>
      </c>
      <c r="U29" s="1387">
        <f t="shared" si="10"/>
        <v>100</v>
      </c>
      <c r="V29" s="1386" t="s">
        <v>5</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91" t="s">
        <v>499</v>
      </c>
      <c r="Q32" s="1385" t="str">
        <f t="shared" si="8"/>
        <v>商业类型</v>
      </c>
      <c r="R32" s="1386" t="s">
        <v>5</v>
      </c>
      <c r="S32" s="1387">
        <f t="shared" si="9"/>
        <v>100</v>
      </c>
      <c r="T32" s="1386" t="s">
        <v>5</v>
      </c>
      <c r="U32" s="1387">
        <f t="shared" si="10"/>
        <v>100</v>
      </c>
      <c r="V32" s="1386" t="s">
        <v>5</v>
      </c>
      <c r="W32" s="1387">
        <f t="shared" si="11"/>
        <v>100</v>
      </c>
      <c r="X32" s="1380"/>
      <c r="Y32" s="389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92"/>
      <c r="Q33" s="1414" t="str">
        <f t="shared" si="8"/>
        <v>项目建筑规模</v>
      </c>
      <c r="R33" s="1390" t="s">
        <v>5</v>
      </c>
      <c r="S33" s="1391" t="e">
        <f t="shared" si="9"/>
        <v>#N/A</v>
      </c>
      <c r="T33" s="1390" t="s">
        <v>5</v>
      </c>
      <c r="U33" s="1391" t="e">
        <f t="shared" si="10"/>
        <v>#N/A</v>
      </c>
      <c r="V33" s="1390" t="s">
        <v>5</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92"/>
      <c r="Q34" s="1385" t="str">
        <f t="shared" si="8"/>
        <v>建筑结构</v>
      </c>
      <c r="R34" s="1386" t="s">
        <v>5</v>
      </c>
      <c r="S34" s="1387">
        <f t="shared" si="9"/>
        <v>100</v>
      </c>
      <c r="T34" s="1386" t="s">
        <v>5</v>
      </c>
      <c r="U34" s="1387">
        <f t="shared" si="10"/>
        <v>100</v>
      </c>
      <c r="V34" s="1386" t="s">
        <v>5</v>
      </c>
      <c r="W34" s="1387">
        <f t="shared" si="11"/>
        <v>100</v>
      </c>
      <c r="X34" s="1380"/>
      <c r="Y34" s="389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92"/>
      <c r="Q35" s="1385" t="str">
        <f t="shared" si="8"/>
        <v>公共部分装修</v>
      </c>
      <c r="R35" s="1386" t="s">
        <v>5</v>
      </c>
      <c r="S35" s="1387">
        <f t="shared" si="9"/>
        <v>100</v>
      </c>
      <c r="T35" s="1386" t="s">
        <v>5</v>
      </c>
      <c r="U35" s="1387">
        <f t="shared" si="10"/>
        <v>100</v>
      </c>
      <c r="V35" s="1386" t="s">
        <v>5</v>
      </c>
      <c r="W35" s="1387">
        <f t="shared" si="11"/>
        <v>100</v>
      </c>
      <c r="X35" s="1380"/>
      <c r="Y35" s="389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92"/>
      <c r="Q36" s="1385" t="str">
        <f t="shared" si="8"/>
        <v>成新度</v>
      </c>
      <c r="R36" s="1386" t="s">
        <v>5</v>
      </c>
      <c r="S36" s="1387" t="e">
        <f t="shared" si="9"/>
        <v>#N/A</v>
      </c>
      <c r="T36" s="1386" t="s">
        <v>5</v>
      </c>
      <c r="U36" s="1387" t="e">
        <f t="shared" si="10"/>
        <v>#N/A</v>
      </c>
      <c r="V36" s="1386" t="s">
        <v>5</v>
      </c>
      <c r="W36" s="1387" t="e">
        <f t="shared" si="11"/>
        <v>#N/A</v>
      </c>
      <c r="X36" s="1380"/>
      <c r="Y36" s="3892"/>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92"/>
      <c r="Q37" s="1050" t="str">
        <f t="shared" si="8"/>
        <v>市政基础设施</v>
      </c>
      <c r="R37" s="1381" t="s">
        <v>5</v>
      </c>
      <c r="S37" s="1382">
        <f t="shared" si="9"/>
        <v>100</v>
      </c>
      <c r="T37" s="1381" t="s">
        <v>5</v>
      </c>
      <c r="U37" s="1382">
        <f t="shared" si="10"/>
        <v>100</v>
      </c>
      <c r="V37" s="1381" t="s">
        <v>5</v>
      </c>
      <c r="W37" s="1382">
        <f t="shared" si="11"/>
        <v>100</v>
      </c>
      <c r="X37" s="1383"/>
      <c r="Y37" s="389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92" t="s">
        <v>706</v>
      </c>
      <c r="Q38" s="1385" t="str">
        <f t="shared" si="8"/>
        <v>业态</v>
      </c>
      <c r="R38" s="1386" t="s">
        <v>5</v>
      </c>
      <c r="S38" s="1387">
        <f t="shared" si="9"/>
        <v>100</v>
      </c>
      <c r="T38" s="1386" t="s">
        <v>5</v>
      </c>
      <c r="U38" s="1387">
        <f t="shared" si="10"/>
        <v>100</v>
      </c>
      <c r="V38" s="1386" t="s">
        <v>5</v>
      </c>
      <c r="W38" s="1387">
        <f t="shared" si="11"/>
        <v>100</v>
      </c>
      <c r="X38" s="1380"/>
      <c r="Y38" s="389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92"/>
      <c r="Q39" s="1385" t="str">
        <f t="shared" si="8"/>
        <v>层高</v>
      </c>
      <c r="R39" s="1386" t="s">
        <v>5</v>
      </c>
      <c r="S39" s="1387">
        <f t="shared" si="9"/>
        <v>100</v>
      </c>
      <c r="T39" s="1386" t="s">
        <v>5</v>
      </c>
      <c r="U39" s="1387">
        <f t="shared" si="10"/>
        <v>100</v>
      </c>
      <c r="V39" s="1386" t="s">
        <v>5</v>
      </c>
      <c r="W39" s="1387">
        <f t="shared" si="11"/>
        <v>100</v>
      </c>
      <c r="X39" s="1380"/>
      <c r="Y39" s="389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92"/>
      <c r="Q40" s="1385" t="str">
        <f t="shared" si="8"/>
        <v>单套建筑面积</v>
      </c>
      <c r="R40" s="1386" t="s">
        <v>5</v>
      </c>
      <c r="S40" s="1387">
        <f t="shared" si="9"/>
        <v>100</v>
      </c>
      <c r="T40" s="1386" t="s">
        <v>5</v>
      </c>
      <c r="U40" s="1387">
        <f t="shared" si="10"/>
        <v>100</v>
      </c>
      <c r="V40" s="1386" t="s">
        <v>5</v>
      </c>
      <c r="W40" s="1387">
        <f t="shared" si="11"/>
        <v>100</v>
      </c>
      <c r="X40" s="1380"/>
      <c r="Y40" s="389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92"/>
      <c r="Q41" s="1414" t="str">
        <f t="shared" si="8"/>
        <v>进深比</v>
      </c>
      <c r="R41" s="1390" t="s">
        <v>5</v>
      </c>
      <c r="S41" s="1391">
        <f t="shared" si="9"/>
        <v>100</v>
      </c>
      <c r="T41" s="1390" t="s">
        <v>5</v>
      </c>
      <c r="U41" s="1391">
        <f t="shared" si="10"/>
        <v>100</v>
      </c>
      <c r="V41" s="1390" t="s">
        <v>5</v>
      </c>
      <c r="W41" s="1391">
        <f t="shared" si="11"/>
        <v>100</v>
      </c>
      <c r="X41" s="1392"/>
      <c r="Y41" s="389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92"/>
      <c r="Q42" s="1385" t="str">
        <f t="shared" si="8"/>
        <v>内部装修</v>
      </c>
      <c r="R42" s="1386" t="s">
        <v>5</v>
      </c>
      <c r="S42" s="1387">
        <f t="shared" si="9"/>
        <v>100</v>
      </c>
      <c r="T42" s="1386" t="s">
        <v>5</v>
      </c>
      <c r="U42" s="1387">
        <f t="shared" si="10"/>
        <v>100</v>
      </c>
      <c r="V42" s="1386" t="s">
        <v>5</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92"/>
      <c r="Q43" s="1385" t="str">
        <f t="shared" si="8"/>
        <v>内部装修维护情况</v>
      </c>
      <c r="R43" s="1386" t="s">
        <v>5</v>
      </c>
      <c r="S43" s="1387">
        <f t="shared" si="9"/>
        <v>100</v>
      </c>
      <c r="T43" s="1386" t="s">
        <v>5</v>
      </c>
      <c r="U43" s="1387">
        <f t="shared" si="10"/>
        <v>100</v>
      </c>
      <c r="V43" s="1386" t="s">
        <v>5</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92"/>
      <c r="Q44" s="1050">
        <f t="shared" si="8"/>
        <v>111</v>
      </c>
      <c r="R44" s="1381" t="s">
        <v>5</v>
      </c>
      <c r="S44" s="1382">
        <f t="shared" si="9"/>
        <v>100</v>
      </c>
      <c r="T44" s="1381" t="s">
        <v>5</v>
      </c>
      <c r="U44" s="1382">
        <f t="shared" si="10"/>
        <v>100</v>
      </c>
      <c r="V44" s="1381" t="s">
        <v>5</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92"/>
      <c r="Q45" s="1385">
        <f t="shared" si="8"/>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54"/>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74" t="s">
        <v>471</v>
      </c>
      <c r="D4" s="3875"/>
      <c r="E4" s="3876" t="s">
        <v>472</v>
      </c>
      <c r="F4" s="3877"/>
      <c r="G4" s="3874" t="s">
        <v>473</v>
      </c>
      <c r="H4" s="3875"/>
      <c r="I4" s="3874" t="s">
        <v>474</v>
      </c>
      <c r="J4" s="3875"/>
      <c r="K4" s="484" t="s">
        <v>475</v>
      </c>
      <c r="L4" s="1853"/>
      <c r="M4" s="1854"/>
      <c r="N4" s="1854"/>
      <c r="O4" s="1854"/>
      <c r="P4" s="3992"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993"/>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994"/>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6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68" t="s">
        <v>482</v>
      </c>
      <c r="Q8" s="3859"/>
      <c r="R8" s="1381" t="s">
        <v>5</v>
      </c>
      <c r="S8" s="1382">
        <f t="shared" si="0"/>
        <v>0</v>
      </c>
      <c r="T8" s="1381" t="s">
        <v>5</v>
      </c>
      <c r="U8" s="1382">
        <f t="shared" si="1"/>
        <v>0</v>
      </c>
      <c r="V8" s="1381" t="s">
        <v>5</v>
      </c>
      <c r="W8" s="1382">
        <f t="shared" si="2"/>
        <v>0</v>
      </c>
      <c r="X8" s="1383"/>
      <c r="Y8" s="3858" t="s">
        <v>482</v>
      </c>
      <c r="Z8" s="3859"/>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89" t="s">
        <v>489</v>
      </c>
      <c r="Q15" s="1385" t="str">
        <f t="shared" si="6"/>
        <v>办公集聚程度</v>
      </c>
      <c r="R15" s="1386" t="s">
        <v>5</v>
      </c>
      <c r="S15" s="1387">
        <f t="shared" si="0"/>
        <v>100</v>
      </c>
      <c r="T15" s="1386" t="s">
        <v>5</v>
      </c>
      <c r="U15" s="1387">
        <f t="shared" si="1"/>
        <v>100</v>
      </c>
      <c r="V15" s="1386" t="s">
        <v>5</v>
      </c>
      <c r="W15" s="1387">
        <f t="shared" si="2"/>
        <v>100</v>
      </c>
      <c r="X15" s="1380"/>
      <c r="Y15" s="388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90"/>
      <c r="Q16" s="1385"/>
      <c r="R16" s="1386"/>
      <c r="S16" s="1387"/>
      <c r="T16" s="1386"/>
      <c r="U16" s="1387"/>
      <c r="V16" s="1386"/>
      <c r="W16" s="1387"/>
      <c r="X16" s="1380"/>
      <c r="Y16" s="389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90"/>
      <c r="Q18" s="1385"/>
      <c r="R18" s="1386"/>
      <c r="S18" s="1387"/>
      <c r="T18" s="1386"/>
      <c r="U18" s="1387"/>
      <c r="V18" s="1386"/>
      <c r="W18" s="1387"/>
      <c r="X18" s="1380"/>
      <c r="Y18" s="3890"/>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90"/>
      <c r="Q20" s="1385"/>
      <c r="R20" s="1386"/>
      <c r="S20" s="1387"/>
      <c r="T20" s="1386"/>
      <c r="U20" s="1387"/>
      <c r="V20" s="1386"/>
      <c r="W20" s="1387"/>
      <c r="X20" s="1380"/>
      <c r="Y20" s="3890"/>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90"/>
      <c r="Q22" s="2190"/>
      <c r="R22" s="1386"/>
      <c r="S22" s="1387"/>
      <c r="T22" s="1386"/>
      <c r="U22" s="1387"/>
      <c r="V22" s="1386"/>
      <c r="W22" s="1387"/>
      <c r="X22" s="2192"/>
      <c r="Y22" s="3890"/>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90"/>
      <c r="Q24" s="1385"/>
      <c r="R24" s="1386"/>
      <c r="S24" s="1387"/>
      <c r="T24" s="1386"/>
      <c r="U24" s="1387"/>
      <c r="V24" s="1386"/>
      <c r="W24" s="1387"/>
      <c r="X24" s="1380"/>
      <c r="Y24" s="389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90"/>
      <c r="Q25" s="1385" t="str">
        <f>B25</f>
        <v>毗邻道路的类型与等级</v>
      </c>
      <c r="R25" s="1386" t="s">
        <v>5</v>
      </c>
      <c r="S25" s="1387">
        <f>F25</f>
        <v>100</v>
      </c>
      <c r="T25" s="1386" t="s">
        <v>5</v>
      </c>
      <c r="U25" s="1387">
        <f>H25</f>
        <v>100</v>
      </c>
      <c r="V25" s="1386" t="s">
        <v>5</v>
      </c>
      <c r="W25" s="1387">
        <f>J25</f>
        <v>100</v>
      </c>
      <c r="X25" s="1380"/>
      <c r="Y25" s="389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90"/>
      <c r="Q26" s="1385"/>
      <c r="R26" s="1386"/>
      <c r="S26" s="1387"/>
      <c r="T26" s="1386"/>
      <c r="U26" s="1387"/>
      <c r="V26" s="1386"/>
      <c r="W26" s="1387"/>
      <c r="X26" s="1380"/>
      <c r="Y26" s="389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90"/>
      <c r="Q27" s="1385" t="str">
        <f t="shared" ref="Q27:Q47" si="8">B27</f>
        <v>楼层</v>
      </c>
      <c r="R27" s="1386" t="s">
        <v>5</v>
      </c>
      <c r="S27" s="1387">
        <f>F27</f>
        <v>100</v>
      </c>
      <c r="T27" s="1386" t="s">
        <v>5</v>
      </c>
      <c r="U27" s="1387">
        <f>H27</f>
        <v>100</v>
      </c>
      <c r="V27" s="1386" t="s">
        <v>5</v>
      </c>
      <c r="W27" s="1387">
        <f>J27</f>
        <v>100</v>
      </c>
      <c r="X27" s="1380"/>
      <c r="Y27" s="389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90"/>
      <c r="Q28" s="1050" t="str">
        <f t="shared" si="8"/>
        <v>朝向</v>
      </c>
      <c r="R28" s="1381" t="s">
        <v>5</v>
      </c>
      <c r="S28" s="1382">
        <f>F28</f>
        <v>100</v>
      </c>
      <c r="T28" s="1381" t="s">
        <v>5</v>
      </c>
      <c r="U28" s="1382">
        <f>H28</f>
        <v>100</v>
      </c>
      <c r="V28" s="1381" t="s">
        <v>5</v>
      </c>
      <c r="W28" s="1382">
        <f>J28</f>
        <v>100</v>
      </c>
      <c r="X28" s="1383"/>
      <c r="Y28" s="389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90"/>
      <c r="Q29" s="1385">
        <f t="shared" si="8"/>
        <v>111</v>
      </c>
      <c r="R29" s="1386" t="s">
        <v>5</v>
      </c>
      <c r="S29" s="1387">
        <f t="shared" ref="S29:S47" si="9">F29</f>
        <v>100</v>
      </c>
      <c r="T29" s="1386" t="s">
        <v>5</v>
      </c>
      <c r="U29" s="1387">
        <f t="shared" ref="U29:U47" si="10">H29</f>
        <v>100</v>
      </c>
      <c r="V29" s="1386" t="s">
        <v>5</v>
      </c>
      <c r="W29" s="1387">
        <f t="shared" ref="W29:W47" si="11">J29</f>
        <v>100</v>
      </c>
      <c r="X29" s="1380"/>
      <c r="Y29" s="389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90"/>
      <c r="Q32" s="1385">
        <f t="shared" si="8"/>
        <v>111</v>
      </c>
      <c r="R32" s="1386" t="s">
        <v>5</v>
      </c>
      <c r="S32" s="1387">
        <f t="shared" si="9"/>
        <v>100</v>
      </c>
      <c r="T32" s="1386" t="s">
        <v>5</v>
      </c>
      <c r="U32" s="1387">
        <f t="shared" si="10"/>
        <v>100</v>
      </c>
      <c r="V32" s="1386" t="s">
        <v>5</v>
      </c>
      <c r="W32" s="1387">
        <f t="shared" si="11"/>
        <v>100</v>
      </c>
      <c r="X32" s="1380"/>
      <c r="Y32" s="3890"/>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91" t="s">
        <v>499</v>
      </c>
      <c r="Q33" s="1385" t="str">
        <f t="shared" si="8"/>
        <v>建筑类型</v>
      </c>
      <c r="R33" s="1386" t="s">
        <v>5</v>
      </c>
      <c r="S33" s="1387">
        <f t="shared" si="9"/>
        <v>100</v>
      </c>
      <c r="T33" s="1386" t="s">
        <v>5</v>
      </c>
      <c r="U33" s="1387">
        <f t="shared" si="10"/>
        <v>100</v>
      </c>
      <c r="V33" s="1386" t="s">
        <v>5</v>
      </c>
      <c r="W33" s="1387">
        <f t="shared" si="11"/>
        <v>100</v>
      </c>
      <c r="X33" s="1380"/>
      <c r="Y33" s="389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92"/>
      <c r="Q34" s="1414" t="str">
        <f t="shared" si="8"/>
        <v>项目建筑规模</v>
      </c>
      <c r="R34" s="1390" t="s">
        <v>5</v>
      </c>
      <c r="S34" s="1391" t="e">
        <f t="shared" si="9"/>
        <v>#N/A</v>
      </c>
      <c r="T34" s="1390" t="s">
        <v>5</v>
      </c>
      <c r="U34" s="1391" t="e">
        <f t="shared" si="10"/>
        <v>#N/A</v>
      </c>
      <c r="V34" s="1390" t="s">
        <v>5</v>
      </c>
      <c r="W34" s="1391" t="e">
        <f t="shared" si="11"/>
        <v>#N/A</v>
      </c>
      <c r="X34" s="1392"/>
      <c r="Y34" s="389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92"/>
      <c r="Q35" s="1385" t="str">
        <f t="shared" si="8"/>
        <v>建筑结构</v>
      </c>
      <c r="R35" s="1386" t="s">
        <v>5</v>
      </c>
      <c r="S35" s="1387">
        <f t="shared" si="9"/>
        <v>100</v>
      </c>
      <c r="T35" s="1386" t="s">
        <v>5</v>
      </c>
      <c r="U35" s="1387">
        <f t="shared" si="10"/>
        <v>100</v>
      </c>
      <c r="V35" s="1386" t="s">
        <v>5</v>
      </c>
      <c r="W35" s="1387">
        <f t="shared" si="11"/>
        <v>100</v>
      </c>
      <c r="X35" s="1380"/>
      <c r="Y35" s="389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92"/>
      <c r="Q36" s="1385" t="str">
        <f t="shared" si="8"/>
        <v>公共部分装修</v>
      </c>
      <c r="R36" s="1386" t="s">
        <v>5</v>
      </c>
      <c r="S36" s="1387">
        <f t="shared" si="9"/>
        <v>100</v>
      </c>
      <c r="T36" s="1386" t="s">
        <v>5</v>
      </c>
      <c r="U36" s="1387">
        <f t="shared" si="10"/>
        <v>100</v>
      </c>
      <c r="V36" s="1386" t="s">
        <v>5</v>
      </c>
      <c r="W36" s="1387">
        <f t="shared" si="11"/>
        <v>100</v>
      </c>
      <c r="X36" s="1380"/>
      <c r="Y36" s="389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92"/>
      <c r="Q37" s="1385" t="str">
        <f t="shared" si="8"/>
        <v>成新度</v>
      </c>
      <c r="R37" s="1386" t="s">
        <v>5</v>
      </c>
      <c r="S37" s="1387" t="e">
        <f t="shared" si="9"/>
        <v>#N/A</v>
      </c>
      <c r="T37" s="1386" t="s">
        <v>5</v>
      </c>
      <c r="U37" s="1387" t="e">
        <f t="shared" si="10"/>
        <v>#N/A</v>
      </c>
      <c r="V37" s="1386" t="s">
        <v>5</v>
      </c>
      <c r="W37" s="1387" t="e">
        <f t="shared" si="11"/>
        <v>#N/A</v>
      </c>
      <c r="X37" s="1380"/>
      <c r="Y37" s="389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92"/>
      <c r="Q38" s="1050" t="str">
        <f t="shared" si="8"/>
        <v>写字楼等级</v>
      </c>
      <c r="R38" s="1381" t="s">
        <v>5</v>
      </c>
      <c r="S38" s="1382">
        <f t="shared" si="9"/>
        <v>100</v>
      </c>
      <c r="T38" s="1381" t="s">
        <v>5</v>
      </c>
      <c r="U38" s="1382">
        <f t="shared" si="10"/>
        <v>100</v>
      </c>
      <c r="V38" s="1381" t="s">
        <v>5</v>
      </c>
      <c r="W38" s="1382">
        <f t="shared" si="11"/>
        <v>100</v>
      </c>
      <c r="X38" s="1383"/>
      <c r="Y38" s="389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92" t="s">
        <v>499</v>
      </c>
      <c r="Q39" s="1385" t="str">
        <f t="shared" si="8"/>
        <v>物业管理</v>
      </c>
      <c r="R39" s="1386" t="s">
        <v>5</v>
      </c>
      <c r="S39" s="1387">
        <f t="shared" si="9"/>
        <v>100</v>
      </c>
      <c r="T39" s="1386" t="s">
        <v>5</v>
      </c>
      <c r="U39" s="1387">
        <f t="shared" si="10"/>
        <v>100</v>
      </c>
      <c r="V39" s="1386" t="s">
        <v>5</v>
      </c>
      <c r="W39" s="1387">
        <f t="shared" si="11"/>
        <v>100</v>
      </c>
      <c r="X39" s="1380"/>
      <c r="Y39" s="3892"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92"/>
      <c r="Q40" s="1385" t="str">
        <f t="shared" si="8"/>
        <v>市政基础设施</v>
      </c>
      <c r="R40" s="1386" t="s">
        <v>5</v>
      </c>
      <c r="S40" s="1387">
        <f t="shared" si="9"/>
        <v>100</v>
      </c>
      <c r="T40" s="1386" t="s">
        <v>5</v>
      </c>
      <c r="U40" s="1387">
        <f t="shared" si="10"/>
        <v>100</v>
      </c>
      <c r="V40" s="1386" t="s">
        <v>5</v>
      </c>
      <c r="W40" s="1387">
        <f t="shared" si="11"/>
        <v>100</v>
      </c>
      <c r="X40" s="1380"/>
      <c r="Y40" s="389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92"/>
      <c r="Q41" s="1385" t="str">
        <f t="shared" si="8"/>
        <v>层高</v>
      </c>
      <c r="R41" s="1386" t="s">
        <v>5</v>
      </c>
      <c r="S41" s="1387">
        <f t="shared" si="9"/>
        <v>100</v>
      </c>
      <c r="T41" s="1386" t="s">
        <v>5</v>
      </c>
      <c r="U41" s="1387">
        <f t="shared" si="10"/>
        <v>100</v>
      </c>
      <c r="V41" s="1386" t="s">
        <v>5</v>
      </c>
      <c r="W41" s="1387">
        <f t="shared" si="11"/>
        <v>100</v>
      </c>
      <c r="X41" s="1380"/>
      <c r="Y41" s="389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92"/>
      <c r="Q42" s="1414" t="str">
        <f t="shared" si="8"/>
        <v>单套建筑面积</v>
      </c>
      <c r="R42" s="1390" t="s">
        <v>5</v>
      </c>
      <c r="S42" s="1391">
        <f t="shared" si="9"/>
        <v>100</v>
      </c>
      <c r="T42" s="1390" t="s">
        <v>5</v>
      </c>
      <c r="U42" s="1391">
        <f t="shared" si="10"/>
        <v>100</v>
      </c>
      <c r="V42" s="1390" t="s">
        <v>5</v>
      </c>
      <c r="W42" s="1391">
        <f t="shared" si="11"/>
        <v>100</v>
      </c>
      <c r="X42" s="1392"/>
      <c r="Y42" s="389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92"/>
      <c r="Q43" s="1385" t="str">
        <f t="shared" si="8"/>
        <v>内部装修</v>
      </c>
      <c r="R43" s="1386" t="s">
        <v>5</v>
      </c>
      <c r="S43" s="1387">
        <f t="shared" si="9"/>
        <v>100</v>
      </c>
      <c r="T43" s="1386" t="s">
        <v>5</v>
      </c>
      <c r="U43" s="1387">
        <f t="shared" si="10"/>
        <v>100</v>
      </c>
      <c r="V43" s="1386" t="s">
        <v>5</v>
      </c>
      <c r="W43" s="1387">
        <f t="shared" si="11"/>
        <v>100</v>
      </c>
      <c r="X43" s="1380"/>
      <c r="Y43" s="389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92"/>
      <c r="Q44" s="1385" t="str">
        <f t="shared" si="8"/>
        <v>内部装修维护情况</v>
      </c>
      <c r="R44" s="1386" t="s">
        <v>5</v>
      </c>
      <c r="S44" s="1387">
        <f t="shared" si="9"/>
        <v>100</v>
      </c>
      <c r="T44" s="1386" t="s">
        <v>5</v>
      </c>
      <c r="U44" s="1387">
        <f t="shared" si="10"/>
        <v>100</v>
      </c>
      <c r="V44" s="1386" t="s">
        <v>5</v>
      </c>
      <c r="W44" s="1387">
        <f t="shared" si="11"/>
        <v>100</v>
      </c>
      <c r="X44" s="1380"/>
      <c r="Y44" s="389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92"/>
      <c r="Q45" s="1050">
        <f t="shared" si="8"/>
        <v>111</v>
      </c>
      <c r="R45" s="1381" t="s">
        <v>5</v>
      </c>
      <c r="S45" s="1382">
        <f t="shared" si="9"/>
        <v>100</v>
      </c>
      <c r="T45" s="1381" t="s">
        <v>5</v>
      </c>
      <c r="U45" s="1382">
        <f t="shared" si="10"/>
        <v>100</v>
      </c>
      <c r="V45" s="1381" t="s">
        <v>5</v>
      </c>
      <c r="W45" s="1382">
        <f t="shared" si="11"/>
        <v>100</v>
      </c>
      <c r="X45" s="1383"/>
      <c r="Y45" s="389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92"/>
      <c r="Q46" s="1385">
        <f t="shared" si="8"/>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99" t="str">
        <f>A48</f>
        <v>成交单价（元/平方米）</v>
      </c>
      <c r="Q48" s="3893"/>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37" t="e">
        <f>R50</f>
        <v>#DIV/0!</v>
      </c>
      <c r="D49" s="2753" t="s">
        <v>2257</v>
      </c>
      <c r="E49" s="2238" t="e">
        <f>R49</f>
        <v>#DIV/0!</v>
      </c>
      <c r="F49" s="2754"/>
      <c r="G49" s="2237" t="e">
        <f>T49</f>
        <v>#DIV/0!</v>
      </c>
      <c r="H49" s="2754"/>
      <c r="I49" s="2238" t="e">
        <f>V49</f>
        <v>#DIV/0!</v>
      </c>
      <c r="J49" s="2754"/>
      <c r="K49" s="2762">
        <f>F49+H49+J49</f>
        <v>0</v>
      </c>
      <c r="L49" s="1864"/>
      <c r="M49" s="1854"/>
      <c r="N49" s="1854"/>
      <c r="O49" s="1854"/>
      <c r="P49" s="3899" t="str">
        <f>A49</f>
        <v>比较价格（元/平方米）</v>
      </c>
      <c r="Q49" s="3893"/>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1" t="str">
        <f>A50</f>
        <v>估价对象XX用房的比较价格（楼面单价，元/平方米）</v>
      </c>
      <c r="Q50" s="3899"/>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2"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89" t="s">
        <v>489</v>
      </c>
      <c r="Q15" s="1385" t="str">
        <f t="shared" si="6"/>
        <v>产业集聚程度</v>
      </c>
      <c r="R15" s="1386" t="s">
        <v>5</v>
      </c>
      <c r="S15" s="1387">
        <f t="shared" si="0"/>
        <v>100</v>
      </c>
      <c r="T15" s="1386" t="s">
        <v>5</v>
      </c>
      <c r="U15" s="1387">
        <f t="shared" si="1"/>
        <v>100</v>
      </c>
      <c r="V15" s="1386" t="s">
        <v>5</v>
      </c>
      <c r="W15" s="1387">
        <f t="shared" si="2"/>
        <v>100</v>
      </c>
      <c r="X15" s="1380"/>
      <c r="Y15" s="388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90"/>
      <c r="Q25" s="1385">
        <f>B25</f>
        <v>111</v>
      </c>
      <c r="R25" s="1386" t="s">
        <v>5</v>
      </c>
      <c r="S25" s="1387">
        <f>F25</f>
        <v>100</v>
      </c>
      <c r="T25" s="1386" t="s">
        <v>5</v>
      </c>
      <c r="U25" s="1387">
        <f>H25</f>
        <v>100</v>
      </c>
      <c r="V25" s="1386" t="s">
        <v>5</v>
      </c>
      <c r="W25" s="1387">
        <f>J25</f>
        <v>100</v>
      </c>
      <c r="X25" s="1380"/>
      <c r="Y25" s="389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90"/>
      <c r="Q26" s="1385">
        <f t="shared" ref="Q26:Q40" si="8">B26</f>
        <v>111</v>
      </c>
      <c r="R26" s="1386" t="s">
        <v>5</v>
      </c>
      <c r="S26" s="1387">
        <f>F26</f>
        <v>100</v>
      </c>
      <c r="T26" s="1386" t="s">
        <v>5</v>
      </c>
      <c r="U26" s="1387">
        <f>H26</f>
        <v>100</v>
      </c>
      <c r="V26" s="1386" t="s">
        <v>5</v>
      </c>
      <c r="W26" s="1387">
        <f>J26</f>
        <v>100</v>
      </c>
      <c r="X26" s="1380"/>
      <c r="Y26" s="389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90"/>
      <c r="Q27" s="1050">
        <f t="shared" si="8"/>
        <v>111</v>
      </c>
      <c r="R27" s="1381" t="s">
        <v>5</v>
      </c>
      <c r="S27" s="1382">
        <f>F27</f>
        <v>100</v>
      </c>
      <c r="T27" s="1381" t="s">
        <v>5</v>
      </c>
      <c r="U27" s="1382">
        <f>H27</f>
        <v>100</v>
      </c>
      <c r="V27" s="1381" t="s">
        <v>5</v>
      </c>
      <c r="W27" s="1382">
        <f>J27</f>
        <v>100</v>
      </c>
      <c r="X27" s="1383"/>
      <c r="Y27" s="389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90"/>
      <c r="Q28" s="1385">
        <f t="shared" si="8"/>
        <v>111</v>
      </c>
      <c r="R28" s="1386" t="s">
        <v>5</v>
      </c>
      <c r="S28" s="1387">
        <f t="shared" ref="S28:S40" si="9">F28</f>
        <v>100</v>
      </c>
      <c r="T28" s="1386" t="s">
        <v>5</v>
      </c>
      <c r="U28" s="1387">
        <f t="shared" ref="U28:U40" si="10">H28</f>
        <v>100</v>
      </c>
      <c r="V28" s="1386" t="s">
        <v>5</v>
      </c>
      <c r="W28" s="1387">
        <f t="shared" ref="W28:W40" si="11">J28</f>
        <v>100</v>
      </c>
      <c r="X28" s="1380"/>
      <c r="Y28" s="3890"/>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91" t="s">
        <v>499</v>
      </c>
      <c r="Q29" s="1385" t="str">
        <f t="shared" si="8"/>
        <v>建筑类型</v>
      </c>
      <c r="R29" s="1386" t="s">
        <v>5</v>
      </c>
      <c r="S29" s="1387">
        <f t="shared" si="9"/>
        <v>100</v>
      </c>
      <c r="T29" s="1386" t="s">
        <v>5</v>
      </c>
      <c r="U29" s="1387">
        <f t="shared" si="10"/>
        <v>100</v>
      </c>
      <c r="V29" s="1386" t="s">
        <v>5</v>
      </c>
      <c r="W29" s="1387">
        <f t="shared" si="11"/>
        <v>100</v>
      </c>
      <c r="X29" s="1380"/>
      <c r="Y29" s="389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92"/>
      <c r="Q30" s="1414" t="str">
        <f t="shared" si="8"/>
        <v>项目建筑规模</v>
      </c>
      <c r="R30" s="1390" t="s">
        <v>5</v>
      </c>
      <c r="S30" s="1391" t="e">
        <f t="shared" si="9"/>
        <v>#N/A</v>
      </c>
      <c r="T30" s="1390" t="s">
        <v>5</v>
      </c>
      <c r="U30" s="1391" t="e">
        <f t="shared" si="10"/>
        <v>#N/A</v>
      </c>
      <c r="V30" s="1390" t="s">
        <v>5</v>
      </c>
      <c r="W30" s="1391" t="e">
        <f t="shared" si="11"/>
        <v>#N/A</v>
      </c>
      <c r="X30" s="1392"/>
      <c r="Y30" s="389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92"/>
      <c r="Q31" s="1385" t="str">
        <f t="shared" si="8"/>
        <v>建筑结构</v>
      </c>
      <c r="R31" s="1386" t="s">
        <v>5</v>
      </c>
      <c r="S31" s="1387">
        <f t="shared" si="9"/>
        <v>100</v>
      </c>
      <c r="T31" s="1386" t="s">
        <v>5</v>
      </c>
      <c r="U31" s="1387">
        <f t="shared" si="10"/>
        <v>100</v>
      </c>
      <c r="V31" s="1386" t="s">
        <v>5</v>
      </c>
      <c r="W31" s="1387">
        <f t="shared" si="11"/>
        <v>100</v>
      </c>
      <c r="X31" s="1380"/>
      <c r="Y31" s="389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92"/>
      <c r="Q32" s="1385" t="str">
        <f t="shared" si="8"/>
        <v>公共部分装修</v>
      </c>
      <c r="R32" s="1386" t="s">
        <v>5</v>
      </c>
      <c r="S32" s="1387">
        <f t="shared" si="9"/>
        <v>100</v>
      </c>
      <c r="T32" s="1386" t="s">
        <v>5</v>
      </c>
      <c r="U32" s="1387">
        <f t="shared" si="10"/>
        <v>100</v>
      </c>
      <c r="V32" s="1386" t="s">
        <v>5</v>
      </c>
      <c r="W32" s="1387">
        <f t="shared" si="11"/>
        <v>100</v>
      </c>
      <c r="X32" s="1380"/>
      <c r="Y32" s="389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92"/>
      <c r="Q33" s="1385" t="str">
        <f t="shared" si="8"/>
        <v>成新度</v>
      </c>
      <c r="R33" s="1386" t="s">
        <v>5</v>
      </c>
      <c r="S33" s="1387" t="e">
        <f t="shared" si="9"/>
        <v>#N/A</v>
      </c>
      <c r="T33" s="1386" t="s">
        <v>5</v>
      </c>
      <c r="U33" s="1387" t="e">
        <f t="shared" si="10"/>
        <v>#N/A</v>
      </c>
      <c r="V33" s="1386" t="s">
        <v>5</v>
      </c>
      <c r="W33" s="1387" t="e">
        <f t="shared" si="11"/>
        <v>#N/A</v>
      </c>
      <c r="X33" s="1380"/>
      <c r="Y33" s="389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92"/>
      <c r="Q34" s="1050" t="str">
        <f t="shared" si="8"/>
        <v>物业管理</v>
      </c>
      <c r="R34" s="1381" t="s">
        <v>5</v>
      </c>
      <c r="S34" s="1382">
        <f t="shared" si="9"/>
        <v>100</v>
      </c>
      <c r="T34" s="1381" t="s">
        <v>5</v>
      </c>
      <c r="U34" s="1382">
        <f t="shared" si="10"/>
        <v>100</v>
      </c>
      <c r="V34" s="1381" t="s">
        <v>5</v>
      </c>
      <c r="W34" s="1382">
        <f t="shared" si="11"/>
        <v>100</v>
      </c>
      <c r="X34" s="1383"/>
      <c r="Y34" s="3892"/>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92" t="s">
        <v>499</v>
      </c>
      <c r="Q35" s="1385" t="str">
        <f t="shared" si="8"/>
        <v>市政基础设施</v>
      </c>
      <c r="R35" s="1386" t="s">
        <v>5</v>
      </c>
      <c r="S35" s="1387">
        <f t="shared" si="9"/>
        <v>100</v>
      </c>
      <c r="T35" s="1386" t="s">
        <v>5</v>
      </c>
      <c r="U35" s="1387">
        <f t="shared" si="10"/>
        <v>100</v>
      </c>
      <c r="V35" s="1386" t="s">
        <v>5</v>
      </c>
      <c r="W35" s="1387">
        <f t="shared" si="11"/>
        <v>100</v>
      </c>
      <c r="X35" s="1380"/>
      <c r="Y35" s="389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92"/>
      <c r="Q36" s="1385" t="str">
        <f t="shared" si="8"/>
        <v>内部装修</v>
      </c>
      <c r="R36" s="1386" t="s">
        <v>5</v>
      </c>
      <c r="S36" s="1387">
        <f t="shared" si="9"/>
        <v>100</v>
      </c>
      <c r="T36" s="1386" t="s">
        <v>5</v>
      </c>
      <c r="U36" s="1387">
        <f t="shared" si="10"/>
        <v>100</v>
      </c>
      <c r="V36" s="1386" t="s">
        <v>5</v>
      </c>
      <c r="W36" s="1387">
        <f t="shared" si="11"/>
        <v>100</v>
      </c>
      <c r="X36" s="1380"/>
      <c r="Y36" s="389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92"/>
      <c r="Q37" s="1385" t="str">
        <f t="shared" si="8"/>
        <v>内部装修状况</v>
      </c>
      <c r="R37" s="1386" t="s">
        <v>5</v>
      </c>
      <c r="S37" s="1387">
        <f t="shared" si="9"/>
        <v>100</v>
      </c>
      <c r="T37" s="1386" t="s">
        <v>5</v>
      </c>
      <c r="U37" s="1387">
        <f t="shared" si="10"/>
        <v>100</v>
      </c>
      <c r="V37" s="1386" t="s">
        <v>5</v>
      </c>
      <c r="W37" s="1387">
        <f t="shared" si="11"/>
        <v>100</v>
      </c>
      <c r="X37" s="1380"/>
      <c r="Y37" s="389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92"/>
      <c r="Q38" s="1414">
        <f t="shared" si="8"/>
        <v>111</v>
      </c>
      <c r="R38" s="1390" t="s">
        <v>5</v>
      </c>
      <c r="S38" s="1391">
        <f t="shared" si="9"/>
        <v>100</v>
      </c>
      <c r="T38" s="1390" t="s">
        <v>5</v>
      </c>
      <c r="U38" s="1391">
        <f t="shared" si="10"/>
        <v>100</v>
      </c>
      <c r="V38" s="1390" t="s">
        <v>5</v>
      </c>
      <c r="W38" s="1391">
        <f t="shared" si="11"/>
        <v>100</v>
      </c>
      <c r="X38" s="1392"/>
      <c r="Y38" s="389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92"/>
      <c r="Q39" s="1385">
        <f t="shared" si="8"/>
        <v>111</v>
      </c>
      <c r="R39" s="1386" t="s">
        <v>5</v>
      </c>
      <c r="S39" s="1387">
        <f t="shared" si="9"/>
        <v>100</v>
      </c>
      <c r="T39" s="1386" t="s">
        <v>5</v>
      </c>
      <c r="U39" s="1387">
        <f t="shared" si="10"/>
        <v>100</v>
      </c>
      <c r="V39" s="1386" t="s">
        <v>5</v>
      </c>
      <c r="W39" s="1387">
        <f t="shared" si="11"/>
        <v>100</v>
      </c>
      <c r="X39" s="1380"/>
      <c r="Y39" s="389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93" t="str">
        <f>A41</f>
        <v>成交单价（元/平方米）</v>
      </c>
      <c r="Q41" s="3893"/>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37" t="e">
        <f>R43</f>
        <v>#DIV/0!</v>
      </c>
      <c r="D42" s="2753" t="s">
        <v>2257</v>
      </c>
      <c r="E42" s="2238" t="e">
        <f>R42</f>
        <v>#DIV/0!</v>
      </c>
      <c r="F42" s="2754"/>
      <c r="G42" s="2237" t="e">
        <f>T42</f>
        <v>#DIV/0!</v>
      </c>
      <c r="H42" s="2754"/>
      <c r="I42" s="2238" t="e">
        <f>V42</f>
        <v>#DIV/0!</v>
      </c>
      <c r="J42" s="2754"/>
      <c r="K42" s="2762">
        <f>F42+H42+J42</f>
        <v>0</v>
      </c>
      <c r="L42" s="1864"/>
      <c r="M42" s="1865"/>
      <c r="N42" s="1854"/>
      <c r="O42" s="1865"/>
      <c r="P42" s="3893" t="str">
        <f>A42</f>
        <v>比较价格（元/平方米）</v>
      </c>
      <c r="Q42" s="3893"/>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98" t="str">
        <f>A43</f>
        <v>估价对象XX用房的比较价格（楼面单价，元/平方米）</v>
      </c>
      <c r="Q43" s="3899"/>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4" t="s">
        <v>739</v>
      </c>
      <c r="F4" s="3875"/>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64" t="s">
        <v>2190</v>
      </c>
      <c r="F5" s="3865"/>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907" t="s">
        <v>2193</v>
      </c>
      <c r="F6" s="3908"/>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90"/>
      <c r="Q24" s="1385">
        <f t="shared" ref="Q24:Q36"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9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92"/>
      <c r="Q27" s="1414" t="str">
        <f t="shared" si="8"/>
        <v>项目停车位配比</v>
      </c>
      <c r="R27" s="1390" t="s">
        <v>5</v>
      </c>
      <c r="S27" s="1391">
        <f t="shared" si="9"/>
        <v>100</v>
      </c>
      <c r="T27" s="1390" t="s">
        <v>5</v>
      </c>
      <c r="U27" s="1391">
        <f t="shared" si="10"/>
        <v>100</v>
      </c>
      <c r="V27" s="1390" t="s">
        <v>5</v>
      </c>
      <c r="W27" s="1391">
        <f t="shared" si="11"/>
        <v>100</v>
      </c>
      <c r="X27" s="1392"/>
      <c r="Y27" s="389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92"/>
      <c r="Q28" s="1385" t="str">
        <f t="shared" si="8"/>
        <v>公共部分装修</v>
      </c>
      <c r="R28" s="1386" t="s">
        <v>5</v>
      </c>
      <c r="S28" s="1387">
        <f t="shared" si="9"/>
        <v>100</v>
      </c>
      <c r="T28" s="1386" t="s">
        <v>5</v>
      </c>
      <c r="U28" s="1387">
        <f t="shared" si="10"/>
        <v>100</v>
      </c>
      <c r="V28" s="1386" t="s">
        <v>5</v>
      </c>
      <c r="W28" s="1387">
        <f t="shared" si="11"/>
        <v>100</v>
      </c>
      <c r="X28" s="1380"/>
      <c r="Y28" s="389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92"/>
      <c r="Q29" s="1385" t="str">
        <f t="shared" si="8"/>
        <v>成新率</v>
      </c>
      <c r="R29" s="1386" t="s">
        <v>5</v>
      </c>
      <c r="S29" s="1387" t="e">
        <f t="shared" si="9"/>
        <v>#N/A</v>
      </c>
      <c r="T29" s="1386" t="s">
        <v>5</v>
      </c>
      <c r="U29" s="1387" t="e">
        <f t="shared" si="10"/>
        <v>#N/A</v>
      </c>
      <c r="V29" s="1386" t="s">
        <v>5</v>
      </c>
      <c r="W29" s="1387" t="e">
        <f t="shared" si="11"/>
        <v>#N/A</v>
      </c>
      <c r="X29" s="1380"/>
      <c r="Y29" s="389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92"/>
      <c r="Q30" s="1385" t="str">
        <f t="shared" si="8"/>
        <v>物业等级</v>
      </c>
      <c r="R30" s="1386" t="s">
        <v>5</v>
      </c>
      <c r="S30" s="1387">
        <f t="shared" si="9"/>
        <v>100</v>
      </c>
      <c r="T30" s="1386" t="s">
        <v>5</v>
      </c>
      <c r="U30" s="1387">
        <f t="shared" si="10"/>
        <v>100</v>
      </c>
      <c r="V30" s="1386" t="s">
        <v>5</v>
      </c>
      <c r="W30" s="1387">
        <f t="shared" si="11"/>
        <v>100</v>
      </c>
      <c r="X30" s="1380"/>
      <c r="Y30" s="389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92"/>
      <c r="Q31" s="1050" t="str">
        <f t="shared" si="8"/>
        <v>停车位面积</v>
      </c>
      <c r="R31" s="1381" t="s">
        <v>5</v>
      </c>
      <c r="S31" s="1382" t="e">
        <f t="shared" si="9"/>
        <v>#N/A</v>
      </c>
      <c r="T31" s="1381" t="s">
        <v>5</v>
      </c>
      <c r="U31" s="1382" t="e">
        <f t="shared" si="10"/>
        <v>#N/A</v>
      </c>
      <c r="V31" s="1381" t="s">
        <v>5</v>
      </c>
      <c r="W31" s="1382" t="e">
        <f t="shared" si="11"/>
        <v>#N/A</v>
      </c>
      <c r="X31" s="1383"/>
      <c r="Y31" s="389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92" t="s">
        <v>499</v>
      </c>
      <c r="Q32" s="1385" t="str">
        <f t="shared" si="8"/>
        <v>车位类型</v>
      </c>
      <c r="R32" s="1386" t="s">
        <v>5</v>
      </c>
      <c r="S32" s="1387">
        <f t="shared" si="9"/>
        <v>100</v>
      </c>
      <c r="T32" s="1386" t="s">
        <v>5</v>
      </c>
      <c r="U32" s="1387">
        <f t="shared" si="10"/>
        <v>100</v>
      </c>
      <c r="V32" s="1386" t="s">
        <v>5</v>
      </c>
      <c r="W32" s="1387">
        <f t="shared" si="11"/>
        <v>100</v>
      </c>
      <c r="X32" s="1380"/>
      <c r="Y32" s="389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92"/>
      <c r="Q33" s="1385" t="str">
        <f t="shared" si="8"/>
        <v>是否直接入户</v>
      </c>
      <c r="R33" s="1386" t="s">
        <v>5</v>
      </c>
      <c r="S33" s="1387">
        <f t="shared" si="9"/>
        <v>100</v>
      </c>
      <c r="T33" s="1386" t="s">
        <v>5</v>
      </c>
      <c r="U33" s="1387">
        <f t="shared" si="10"/>
        <v>100</v>
      </c>
      <c r="V33" s="1386" t="s">
        <v>5</v>
      </c>
      <c r="W33" s="1387">
        <f t="shared" si="11"/>
        <v>100</v>
      </c>
      <c r="X33" s="1380"/>
      <c r="Y33" s="389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92"/>
      <c r="Q35" s="1414">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92"/>
      <c r="Q36" s="1385">
        <f t="shared" si="8"/>
        <v>111</v>
      </c>
      <c r="R36" s="1386" t="s">
        <v>5</v>
      </c>
      <c r="S36" s="1387">
        <f t="shared" si="9"/>
        <v>100</v>
      </c>
      <c r="T36" s="1386" t="s">
        <v>5</v>
      </c>
      <c r="U36" s="1387">
        <f t="shared" si="10"/>
        <v>100</v>
      </c>
      <c r="V36" s="1386" t="s">
        <v>5</v>
      </c>
      <c r="W36" s="1387">
        <f t="shared" si="11"/>
        <v>100</v>
      </c>
      <c r="X36" s="1380"/>
      <c r="Y36" s="3892"/>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93" t="str">
        <f>A37</f>
        <v>成交单价</v>
      </c>
      <c r="Q37" s="3893"/>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37" t="e">
        <f>R39</f>
        <v>#DIV/0!</v>
      </c>
      <c r="D38" s="2753" t="s">
        <v>2257</v>
      </c>
      <c r="E38" s="2238" t="e">
        <f>R38</f>
        <v>#DIV/0!</v>
      </c>
      <c r="F38" s="2754"/>
      <c r="G38" s="2237" t="e">
        <f>T38</f>
        <v>#DIV/0!</v>
      </c>
      <c r="H38" s="2754"/>
      <c r="I38" s="2238" t="e">
        <f>V38</f>
        <v>#DIV/0!</v>
      </c>
      <c r="J38" s="2754"/>
      <c r="K38" s="2762">
        <f>F38+H38+J38</f>
        <v>0</v>
      </c>
      <c r="L38" s="1864"/>
      <c r="M38" s="1865"/>
      <c r="N38" s="1865"/>
      <c r="O38" s="1865"/>
      <c r="P38" s="3893" t="str">
        <f>A38</f>
        <v>比较价格（元/平方米）</v>
      </c>
      <c r="Q38" s="3893"/>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98" t="str">
        <f>A39</f>
        <v>估价对象XX用房的比较价格（楼面单价，元/平方米）</v>
      </c>
      <c r="Q39" s="3899"/>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6" t="s">
        <v>739</v>
      </c>
      <c r="F4" s="3877"/>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90"/>
      <c r="Q24" s="1385">
        <f t="shared" ref="Q24:Q34"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9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92"/>
      <c r="Q27" s="1414" t="str">
        <f t="shared" si="8"/>
        <v>成新率</v>
      </c>
      <c r="R27" s="1390" t="s">
        <v>5</v>
      </c>
      <c r="S27" s="1391" t="e">
        <f t="shared" si="9"/>
        <v>#N/A</v>
      </c>
      <c r="T27" s="1390" t="s">
        <v>5</v>
      </c>
      <c r="U27" s="1391" t="e">
        <f t="shared" si="10"/>
        <v>#N/A</v>
      </c>
      <c r="V27" s="1390" t="s">
        <v>5</v>
      </c>
      <c r="W27" s="1391" t="e">
        <f t="shared" si="11"/>
        <v>#N/A</v>
      </c>
      <c r="X27" s="1392"/>
      <c r="Y27" s="389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92"/>
      <c r="Q28" s="1385" t="str">
        <f t="shared" si="8"/>
        <v>物业等级</v>
      </c>
      <c r="R28" s="1386" t="s">
        <v>5</v>
      </c>
      <c r="S28" s="1387">
        <f t="shared" si="9"/>
        <v>100</v>
      </c>
      <c r="T28" s="1386" t="s">
        <v>5</v>
      </c>
      <c r="U28" s="1387">
        <f t="shared" si="10"/>
        <v>100</v>
      </c>
      <c r="V28" s="1386" t="s">
        <v>5</v>
      </c>
      <c r="W28" s="1387">
        <f t="shared" si="11"/>
        <v>100</v>
      </c>
      <c r="X28" s="1380"/>
      <c r="Y28" s="389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92"/>
      <c r="Q29" s="1385" t="str">
        <f t="shared" si="8"/>
        <v>有无电梯</v>
      </c>
      <c r="R29" s="1386" t="s">
        <v>5</v>
      </c>
      <c r="S29" s="1387">
        <f t="shared" si="9"/>
        <v>100</v>
      </c>
      <c r="T29" s="1386" t="s">
        <v>5</v>
      </c>
      <c r="U29" s="1387">
        <f t="shared" si="10"/>
        <v>100</v>
      </c>
      <c r="V29" s="1386" t="s">
        <v>5</v>
      </c>
      <c r="W29" s="1387">
        <f t="shared" si="11"/>
        <v>100</v>
      </c>
      <c r="X29" s="1380"/>
      <c r="Y29" s="389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92"/>
      <c r="Q30" s="1385" t="str">
        <f t="shared" si="8"/>
        <v>建筑面积</v>
      </c>
      <c r="R30" s="1386" t="s">
        <v>5</v>
      </c>
      <c r="S30" s="1387" t="e">
        <f t="shared" si="9"/>
        <v>#N/A</v>
      </c>
      <c r="T30" s="1386" t="s">
        <v>5</v>
      </c>
      <c r="U30" s="1387" t="e">
        <f t="shared" si="10"/>
        <v>#N/A</v>
      </c>
      <c r="V30" s="1386" t="s">
        <v>5</v>
      </c>
      <c r="W30" s="1387" t="e">
        <f t="shared" si="11"/>
        <v>#N/A</v>
      </c>
      <c r="X30" s="1380"/>
      <c r="Y30" s="389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92"/>
      <c r="Q31" s="1050" t="str">
        <f t="shared" si="8"/>
        <v>是否封闭</v>
      </c>
      <c r="R31" s="1381" t="s">
        <v>5</v>
      </c>
      <c r="S31" s="1382">
        <f t="shared" si="9"/>
        <v>100</v>
      </c>
      <c r="T31" s="1381" t="s">
        <v>5</v>
      </c>
      <c r="U31" s="1382">
        <f t="shared" si="10"/>
        <v>100</v>
      </c>
      <c r="V31" s="1381" t="s">
        <v>5</v>
      </c>
      <c r="W31" s="1382">
        <f t="shared" si="11"/>
        <v>100</v>
      </c>
      <c r="X31" s="1383"/>
      <c r="Y31" s="389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92" t="s">
        <v>499</v>
      </c>
      <c r="Q32" s="1385">
        <f t="shared" si="8"/>
        <v>111</v>
      </c>
      <c r="R32" s="1386" t="s">
        <v>5</v>
      </c>
      <c r="S32" s="1387">
        <f t="shared" si="9"/>
        <v>100</v>
      </c>
      <c r="T32" s="1386" t="s">
        <v>5</v>
      </c>
      <c r="U32" s="1387">
        <f t="shared" si="10"/>
        <v>100</v>
      </c>
      <c r="V32" s="1386" t="s">
        <v>5</v>
      </c>
      <c r="W32" s="1387">
        <f t="shared" si="11"/>
        <v>100</v>
      </c>
      <c r="X32" s="1380"/>
      <c r="Y32" s="389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92"/>
      <c r="Q33" s="1385">
        <f t="shared" si="8"/>
        <v>111</v>
      </c>
      <c r="R33" s="1386" t="s">
        <v>5</v>
      </c>
      <c r="S33" s="1387">
        <f t="shared" si="9"/>
        <v>100</v>
      </c>
      <c r="T33" s="1386" t="s">
        <v>5</v>
      </c>
      <c r="U33" s="1387">
        <f t="shared" si="10"/>
        <v>100</v>
      </c>
      <c r="V33" s="1386" t="s">
        <v>5</v>
      </c>
      <c r="W33" s="1387">
        <f t="shared" si="11"/>
        <v>100</v>
      </c>
      <c r="X33" s="1380"/>
      <c r="Y33" s="389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93" t="str">
        <f>A35</f>
        <v>成交单价（元/平方米）</v>
      </c>
      <c r="Q35" s="3893"/>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37" t="e">
        <f>R37</f>
        <v>#DIV/0!</v>
      </c>
      <c r="D36" s="2753" t="s">
        <v>2258</v>
      </c>
      <c r="E36" s="2238" t="e">
        <f>R36</f>
        <v>#DIV/0!</v>
      </c>
      <c r="F36" s="2754"/>
      <c r="G36" s="2237" t="e">
        <f>T36</f>
        <v>#DIV/0!</v>
      </c>
      <c r="H36" s="2754"/>
      <c r="I36" s="2238" t="e">
        <f>V36</f>
        <v>#DIV/0!</v>
      </c>
      <c r="J36" s="2754"/>
      <c r="K36" s="2762">
        <f>F36+H36+J36</f>
        <v>0</v>
      </c>
      <c r="L36" s="1864"/>
      <c r="M36" s="1865"/>
      <c r="N36" s="1854"/>
      <c r="O36" s="1865"/>
      <c r="P36" s="3893" t="str">
        <f>A36</f>
        <v>比较价格（元/平方米）</v>
      </c>
      <c r="Q36" s="3893"/>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98" t="str">
        <f>A37</f>
        <v>估价对象XX用房的比较价格（楼面单价，元/平方米）</v>
      </c>
      <c r="Q37" s="3899"/>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98" t="s">
        <v>1661</v>
      </c>
      <c r="D1" s="3999"/>
      <c r="E1" s="3999"/>
      <c r="F1" s="3999"/>
      <c r="G1" s="3999"/>
      <c r="H1" s="3999"/>
      <c r="I1" s="3999"/>
      <c r="J1" s="3999"/>
      <c r="K1" s="3999"/>
      <c r="L1" s="3999"/>
      <c r="M1" s="3999"/>
      <c r="N1" s="3999"/>
      <c r="O1" s="3999"/>
      <c r="P1" s="3999"/>
      <c r="Q1" s="3999"/>
      <c r="R1" s="3999"/>
      <c r="S1" s="400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2286</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1" t="s">
        <v>1560</v>
      </c>
      <c r="F4" s="2251" t="s">
        <v>2026</v>
      </c>
      <c r="G4" s="2251" t="s">
        <v>1554</v>
      </c>
      <c r="H4" s="2251" t="s">
        <v>1555</v>
      </c>
      <c r="I4" s="2251" t="s">
        <v>2027</v>
      </c>
      <c r="J4" s="2251" t="s">
        <v>1554</v>
      </c>
      <c r="K4" s="3693"/>
      <c r="L4" s="3693"/>
      <c r="M4" s="3692"/>
      <c r="N4" s="3694"/>
      <c r="O4" s="3692"/>
      <c r="P4" s="3693"/>
      <c r="Q4" s="3693"/>
      <c r="R4" s="3693"/>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129</v>
      </c>
      <c r="Q5" s="1595">
        <f ca="1">结果表!D42</f>
        <v>218</v>
      </c>
      <c r="R5" s="1596">
        <f ca="1">结果表!C42</f>
        <v>1026</v>
      </c>
    </row>
    <row r="6" spans="1:18">
      <c r="A6" s="3688" t="str">
        <f>IF(项目基本情况!B9="市场价格","——","抵押价格")</f>
        <v>——</v>
      </c>
      <c r="B6" s="3689"/>
      <c r="C6" s="3689"/>
      <c r="D6" s="3689"/>
      <c r="E6" s="3689"/>
      <c r="F6" s="3689"/>
      <c r="G6" s="3689"/>
      <c r="H6" s="3689"/>
      <c r="I6" s="3689"/>
      <c r="J6" s="3689"/>
      <c r="K6" s="3689"/>
      <c r="L6" s="3689"/>
      <c r="M6" s="3689"/>
      <c r="N6" s="3689"/>
      <c r="O6" s="3689"/>
      <c r="P6" s="3689"/>
      <c r="Q6" s="3690"/>
      <c r="R6" s="1597"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597"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7" t="s">
        <v>1583</v>
      </c>
      <c r="B1" s="3697"/>
      <c r="C1" s="3697"/>
      <c r="D1" s="3697"/>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696" t="s">
        <v>1584</v>
      </c>
      <c r="B5" s="3696"/>
      <c r="C5" s="3696"/>
      <c r="D5" s="3696"/>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7"/>
      <c r="C8" s="3697"/>
      <c r="D8" s="3697"/>
    </row>
    <row r="9" spans="1:4" ht="33.75" customHeight="1">
      <c r="A9" s="3697" t="str">
        <f>IF(项目基本情况!B8="抵押","3.抵押双方在办理抵押登记手续时，应使用本公司出具的正式《土地估价报告》，特提请报告使用者注意。","——")</f>
        <v>——</v>
      </c>
      <c r="B9" s="3697"/>
      <c r="C9" s="3697"/>
      <c r="D9" s="3697"/>
    </row>
    <row r="10" spans="1:4">
      <c r="A10" s="3697" t="str">
        <f>IF(项目基本情况!B8="抵押","4.估价师所知悉的法定优先受偿款情况为：","——")</f>
        <v>——</v>
      </c>
      <c r="B10" s="3697"/>
      <c r="C10" s="3697"/>
      <c r="D10" s="3697"/>
    </row>
    <row r="11" spans="1:4" ht="37.5" customHeight="1">
      <c r="A11" s="3699" t="str">
        <f>IF(项目基本情况!B8="抵押","（1）"&amp;CONCATENATE(项目基本情况!L24,项目基本情况!L25,项目基本情况!L26),"——")</f>
        <v>——</v>
      </c>
      <c r="B11" s="3699"/>
      <c r="C11" s="3699"/>
      <c r="D11" s="3699"/>
    </row>
    <row r="12" spans="1:4" ht="168" customHeight="1">
      <c r="A12" s="3696" t="s">
        <v>1586</v>
      </c>
      <c r="B12" s="3696"/>
      <c r="C12" s="3696"/>
      <c r="D12" s="3696"/>
    </row>
    <row r="13" spans="1:4">
      <c r="A13" s="3700" t="s">
        <v>2028</v>
      </c>
      <c r="B13" s="3700"/>
      <c r="C13" s="3700"/>
      <c r="D13" s="3700"/>
    </row>
    <row r="14" spans="1:4">
      <c r="A14" s="3699" t="str">
        <f>IF(项目基本情况!B8="抵押","综上，"&amp;结果表!K47,"——")</f>
        <v>——</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697" t="s">
        <v>1981</v>
      </c>
      <c r="B23" s="3697"/>
      <c r="C23" s="3697"/>
      <c r="D23" s="3697"/>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8" t="s">
        <v>27</v>
      </c>
      <c r="B15" s="3709" t="s">
        <v>784</v>
      </c>
      <c r="C15" s="3705"/>
    </row>
    <row r="16" spans="1:7" ht="14.25">
      <c r="A16" s="3708"/>
      <c r="B16" s="3706" t="s">
        <v>28</v>
      </c>
      <c r="C16" s="1070" t="s">
        <v>27</v>
      </c>
    </row>
    <row r="17" spans="1:3" ht="14.25">
      <c r="A17" s="3708"/>
      <c r="B17" s="3706"/>
      <c r="C17" s="1070" t="s">
        <v>29</v>
      </c>
    </row>
    <row r="18" spans="1:3" ht="14.25">
      <c r="A18" s="3708"/>
      <c r="B18" s="3706"/>
      <c r="C18" s="1070" t="s">
        <v>30</v>
      </c>
    </row>
    <row r="19" spans="1:3" ht="14.25">
      <c r="A19" s="3708"/>
      <c r="B19" s="3704" t="s">
        <v>31</v>
      </c>
      <c r="C19" s="3705"/>
    </row>
    <row r="20" spans="1:3" ht="14.25">
      <c r="A20" s="1071" t="s">
        <v>32</v>
      </c>
      <c r="B20" s="1072"/>
      <c r="C20" s="1073"/>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4" t="s">
        <v>775</v>
      </c>
    </row>
    <row r="25" spans="1:3" ht="14.25">
      <c r="A25" s="3707"/>
      <c r="B25" s="3711"/>
      <c r="C25" s="1074" t="s">
        <v>776</v>
      </c>
    </row>
    <row r="26" spans="1:3" ht="14.25">
      <c r="A26" s="3707"/>
      <c r="B26" s="3711"/>
      <c r="C26" s="1074" t="s">
        <v>777</v>
      </c>
    </row>
    <row r="27" spans="1:3" ht="14.25">
      <c r="A27" s="3707"/>
      <c r="B27" s="3711"/>
      <c r="C27" s="1074" t="s">
        <v>778</v>
      </c>
    </row>
    <row r="28" spans="1:3" ht="14.25">
      <c r="A28" s="3707"/>
      <c r="B28" s="3711"/>
      <c r="C28" s="1074" t="s">
        <v>779</v>
      </c>
    </row>
    <row r="29" spans="1:3" ht="14.25">
      <c r="A29" s="3707"/>
      <c r="B29" s="3711"/>
      <c r="C29" s="1074" t="s">
        <v>780</v>
      </c>
    </row>
    <row r="30" spans="1:3" ht="14.25">
      <c r="A30" s="3707"/>
      <c r="B30" s="3711"/>
      <c r="C30" s="1074" t="s">
        <v>781</v>
      </c>
    </row>
    <row r="31" spans="1:3" ht="14.25">
      <c r="A31" s="3707"/>
      <c r="B31" s="3711"/>
      <c r="C31" s="1074" t="s">
        <v>782</v>
      </c>
    </row>
    <row r="32" spans="1:3" ht="14.25">
      <c r="A32" s="3707"/>
      <c r="B32" s="3711"/>
      <c r="C32" s="1074" t="s">
        <v>1181</v>
      </c>
    </row>
    <row r="33" spans="1:3" ht="14.25">
      <c r="A33" s="3707"/>
      <c r="B33" s="3701" t="s">
        <v>1187</v>
      </c>
      <c r="C33" s="1074" t="s">
        <v>1182</v>
      </c>
    </row>
    <row r="34" spans="1:3" ht="14.25">
      <c r="A34" s="3707"/>
      <c r="B34" s="3702"/>
      <c r="C34" s="1079" t="s">
        <v>1183</v>
      </c>
    </row>
    <row r="35" spans="1:3" ht="14.25">
      <c r="A35" s="3707"/>
      <c r="B35" s="3702"/>
      <c r="C35" s="1080" t="s">
        <v>1184</v>
      </c>
    </row>
    <row r="36" spans="1:3" ht="14.25">
      <c r="A36" s="3707"/>
      <c r="B36" s="3702"/>
      <c r="C36" s="1080" t="s">
        <v>1185</v>
      </c>
    </row>
    <row r="37" spans="1:3" ht="14.25">
      <c r="A37" s="3707"/>
      <c r="B37" s="370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44964</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2246</v>
      </c>
      <c r="B15" s="2769">
        <f ca="1">IF(C15&lt;B2,"已过期",1119980106)</f>
        <v>1119980106</v>
      </c>
      <c r="C15" s="2772">
        <v>44969</v>
      </c>
      <c r="D15" s="2780"/>
      <c r="E15" s="2769"/>
      <c r="F15" s="2769"/>
      <c r="G15" s="2764"/>
    </row>
    <row r="16" spans="1:7" ht="20.25" customHeight="1">
      <c r="A16" s="2768" t="s">
        <v>2446</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5" t="s">
        <v>1448</v>
      </c>
      <c r="B18" s="3716"/>
      <c r="C18" s="3716"/>
      <c r="D18" s="3716"/>
      <c r="E18" s="3716"/>
      <c r="F18" s="3716"/>
      <c r="G18" s="2773"/>
    </row>
    <row r="19" spans="1:7" ht="20.25" customHeight="1">
      <c r="A19" s="3712" t="s">
        <v>1449</v>
      </c>
      <c r="B19" s="3712"/>
      <c r="C19" s="3713"/>
      <c r="D19" s="3714" t="s">
        <v>1450</v>
      </c>
      <c r="E19" s="3712"/>
      <c r="F19" s="371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2447</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2759</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1" t="s">
        <v>2744</v>
      </c>
      <c r="I8" s="7" t="s">
        <v>2751</v>
      </c>
    </row>
    <row r="9" spans="1:23">
      <c r="A9" s="6" t="s">
        <v>77</v>
      </c>
      <c r="B9" s="6" t="s">
        <v>122</v>
      </c>
      <c r="C9" s="1368" t="s">
        <v>1245</v>
      </c>
      <c r="F9" s="7" t="s">
        <v>78</v>
      </c>
      <c r="H9" s="7"/>
      <c r="I9" s="7" t="s">
        <v>2752</v>
      </c>
    </row>
    <row r="10" spans="1:23">
      <c r="A10" s="6" t="s">
        <v>79</v>
      </c>
      <c r="B10" s="6" t="s">
        <v>123</v>
      </c>
      <c r="C10" s="1368" t="s">
        <v>1246</v>
      </c>
      <c r="F10" s="3331"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2259</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2023-02-07T03:58:04Z</dcterms:modified>
</cp:coreProperties>
</file>